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defaultThemeVersion="124226"/>
  <mc:AlternateContent xmlns:mc="http://schemas.openxmlformats.org/markup-compatibility/2006">
    <mc:Choice Requires="x15">
      <x15ac:absPath xmlns:x15ac="http://schemas.microsoft.com/office/spreadsheetml/2010/11/ac" url="X:\Schools accountancy\Benchmarking\2024-25\"/>
    </mc:Choice>
  </mc:AlternateContent>
  <xr:revisionPtr revIDLastSave="0" documentId="13_ncr:1_{A1954F52-AD67-4DCD-A575-667DDF78C033}" xr6:coauthVersionLast="47" xr6:coauthVersionMax="47" xr10:uidLastSave="{00000000-0000-0000-0000-000000000000}"/>
  <workbookProtection workbookAlgorithmName="SHA-512" workbookHashValue="ZlSlYZxxTKmrPt1vGHbgo9eu4MMVLIM5gG/ux0/NI9hizFcHR8F/NBO/Iym/FnXNFfCXp8r4d8iicTAM4vJV/Q==" workbookSaltValue="lAtIgqEjPx6e9OrnbXlm8A==" workbookSpinCount="100000" lockStructure="1"/>
  <bookViews>
    <workbookView xWindow="-108" yWindow="-108" windowWidth="23256" windowHeight="12456" tabRatio="842" xr2:uid="{00000000-000D-0000-FFFF-FFFF00000000}"/>
  </bookViews>
  <sheets>
    <sheet name="Benchmarking Ratio's Comparison" sheetId="14" r:id="rId1"/>
    <sheet name="All Schools Data view only" sheetId="3" r:id="rId2"/>
    <sheet name="CFR20232024_BenchMarkDataReport" sheetId="59" state="hidden" r:id="rId3"/>
    <sheet name="CFR20242025_BenchMarkDataReport" sheetId="62" state="hidden" r:id="rId4"/>
    <sheet name="Pupil on roll 24-25" sheetId="65" state="hidden" r:id="rId5"/>
    <sheet name="Sheet1" sheetId="67" state="hidden" r:id="rId6"/>
    <sheet name="Pupils on roll 23-24" sheetId="60" state="hidden" r:id="rId7"/>
    <sheet name="FEE 34 Spring 24 - 25" sheetId="66" state="hidden" r:id="rId8"/>
    <sheet name="FEE3Spr 23 - 24" sheetId="61" state="hidden" r:id="rId9"/>
    <sheet name="CFR20222023_BenchMarkDataReport" sheetId="56" state="hidden" r:id="rId10"/>
    <sheet name="Pupil Nos BenchmarkData 21-22" sheetId="54" state="hidden" r:id="rId11"/>
    <sheet name="Barnet Pupil Premium Nos 22-23" sheetId="57" state="hidden" r:id="rId12"/>
    <sheet name="CFR20212022_BenchMarkDataReport" sheetId="52" state="hidden" r:id="rId13"/>
    <sheet name="BARNET SCHS PUPIL PREMIUM Nos" sheetId="55" state="hidden" r:id="rId14"/>
    <sheet name="Jan 20 Census Count of pupils " sheetId="51" state="hidden" r:id="rId15"/>
    <sheet name="Payments to schs by CFR 20-21" sheetId="47" state="hidden" r:id="rId16"/>
    <sheet name="2014-15 CFR" sheetId="33" state="hidden" r:id="rId17"/>
    <sheet name="Pupil Premium 2020-21 DfE data" sheetId="50" state="hidden" r:id="rId18"/>
    <sheet name="Total Funding for Schools" sheetId="41" state="hidden"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_______AD1">#REF!</definedName>
    <definedName name="_______AD2">#REF!</definedName>
    <definedName name="______AD1">#REF!</definedName>
    <definedName name="______AD2">#REF!</definedName>
    <definedName name="_____AD1">#REF!</definedName>
    <definedName name="_____AD2">#REF!</definedName>
    <definedName name="_____KS1">#REF!</definedName>
    <definedName name="_____KS2">#REF!</definedName>
    <definedName name="_____KS3">#REF!</definedName>
    <definedName name="____AD1">#REF!</definedName>
    <definedName name="____AD2">#REF!</definedName>
    <definedName name="____KS1">#REF!</definedName>
    <definedName name="____KS2">#REF!</definedName>
    <definedName name="____KS3">#REF!</definedName>
    <definedName name="____lea95">#REF!</definedName>
    <definedName name="____lea96">#REF!</definedName>
    <definedName name="____lea97">#REF!</definedName>
    <definedName name="____lea98">#REF!</definedName>
    <definedName name="____lu9495">#REF!</definedName>
    <definedName name="____lu9596">#REF!</definedName>
    <definedName name="____lu9697">#REF!</definedName>
    <definedName name="____Num2">'[1]Running info'!#REF!</definedName>
    <definedName name="____pup1">#REF!</definedName>
    <definedName name="____pup2">#REF!</definedName>
    <definedName name="____RO1">#REF!</definedName>
    <definedName name="___AD1">#REF!</definedName>
    <definedName name="___AD2">#REF!</definedName>
    <definedName name="___KS1">#REF!</definedName>
    <definedName name="___KS2">#REF!</definedName>
    <definedName name="___KS3">#REF!</definedName>
    <definedName name="___lea95">#REF!</definedName>
    <definedName name="___lea96">#REF!</definedName>
    <definedName name="___lea97">#REF!</definedName>
    <definedName name="___lea98">#REF!</definedName>
    <definedName name="___lu9495">#REF!</definedName>
    <definedName name="___lu9596">#REF!</definedName>
    <definedName name="___lu9697">#REF!</definedName>
    <definedName name="___Num2">'[1]Running info'!#REF!</definedName>
    <definedName name="___pup1">#REF!</definedName>
    <definedName name="___pup2">#REF!</definedName>
    <definedName name="___RO1">#REF!</definedName>
    <definedName name="___v2" hidden="1">[2]weekly!#REF!</definedName>
    <definedName name="__123Graph_ADUMMY" hidden="1">[2]weekly!#REF!</definedName>
    <definedName name="__123Graph_AMAIN" hidden="1">[2]weekly!#REF!</definedName>
    <definedName name="__123Graph_AMONTHLY" hidden="1">[2]weekly!#REF!</definedName>
    <definedName name="__123Graph_AMONTHLY2" hidden="1">[2]weekly!#REF!</definedName>
    <definedName name="__123Graph_BDUMMY" hidden="1">[2]weekly!#REF!</definedName>
    <definedName name="__123Graph_BMAIN" hidden="1">[2]weekly!#REF!</definedName>
    <definedName name="__123Graph_BMONTHLY" hidden="1">[2]weekly!#REF!</definedName>
    <definedName name="__123Graph_BMONTHLY2" hidden="1">[2]weekly!#REF!</definedName>
    <definedName name="__123Graph_CDUMMY" hidden="1">[2]weekly!#REF!</definedName>
    <definedName name="__123Graph_CMONTHLY" hidden="1">[2]weekly!#REF!</definedName>
    <definedName name="__123Graph_CMONTHLY2" hidden="1">[2]weekly!#REF!</definedName>
    <definedName name="__123Graph_DMONTHLY2" hidden="1">[2]weekly!#REF!</definedName>
    <definedName name="__123Graph_EMONTHLY2" hidden="1">[2]weekly!#REF!</definedName>
    <definedName name="__123Graph_FMONTHLY2" hidden="1">[2]weekly!#REF!</definedName>
    <definedName name="__123Graph_XMAIN" hidden="1">[2]weekly!#REF!</definedName>
    <definedName name="__123Graph_XMONTHLY" hidden="1">[2]weekly!#REF!</definedName>
    <definedName name="__123Graph_XMONTHLY2" hidden="1">[2]weekly!#REF!</definedName>
    <definedName name="__AD1">#REF!</definedName>
    <definedName name="__AD2">#REF!</definedName>
    <definedName name="__KS1">#REF!</definedName>
    <definedName name="__KS2">#REF!</definedName>
    <definedName name="__KS3">#REF!</definedName>
    <definedName name="__lea95">#REF!</definedName>
    <definedName name="__lea96">#REF!</definedName>
    <definedName name="__lea97">#REF!</definedName>
    <definedName name="__lea98">#REF!</definedName>
    <definedName name="__lu9495">#REF!</definedName>
    <definedName name="__lu9596">#REF!</definedName>
    <definedName name="__lu9697">#REF!</definedName>
    <definedName name="__Num2">'[1]Running info'!#REF!</definedName>
    <definedName name="__pup1">#REF!</definedName>
    <definedName name="__pup2">#REF!</definedName>
    <definedName name="__RO1">#REF!</definedName>
    <definedName name="__v2" hidden="1">[2]weekly!#REF!</definedName>
    <definedName name="_AD1">#REF!</definedName>
    <definedName name="_AD2">#REF!</definedName>
    <definedName name="_xlnm._FilterDatabase" localSheetId="3" hidden="1">CFR20242025_BenchMarkDataReport!$A$3:$DA$88</definedName>
    <definedName name="_xlnm._FilterDatabase" localSheetId="7" hidden="1">'FEE 34 Spring 24 - 25'!$A$1:$Z$76</definedName>
    <definedName name="_xlnm._FilterDatabase" localSheetId="8" hidden="1">'FEE3Spr 23 - 24'!$A$2:$AB$75</definedName>
    <definedName name="_xlnm._FilterDatabase" localSheetId="10" hidden="1">'Pupil Nos BenchmarkData 21-22'!$C$2:$E$94</definedName>
    <definedName name="_xlnm._FilterDatabase" localSheetId="4" hidden="1">'Pupil on roll 24-25'!$A$4:$S$130</definedName>
    <definedName name="_xlnm._FilterDatabase" localSheetId="18" hidden="1">'Total Funding for Schools'!$A$3:$Q$96</definedName>
    <definedName name="_Key1" hidden="1">#REF!</definedName>
    <definedName name="_KS1">#REF!</definedName>
    <definedName name="_KS2">#REF!</definedName>
    <definedName name="_KS3">#REF!</definedName>
    <definedName name="_lea95">#REF!</definedName>
    <definedName name="_lea96">#REF!</definedName>
    <definedName name="_lea97">#REF!</definedName>
    <definedName name="_lea98">#REF!</definedName>
    <definedName name="_lu9495">#REF!</definedName>
    <definedName name="_lu9596">#REF!</definedName>
    <definedName name="_lu9697">#REF!</definedName>
    <definedName name="_Num2">'[1]Running info'!#REF!</definedName>
    <definedName name="_Order1" hidden="1">255</definedName>
    <definedName name="_Order2" hidden="1">0</definedName>
    <definedName name="_pup1">#REF!</definedName>
    <definedName name="_pup2">#REF!</definedName>
    <definedName name="_RO1">#REF!</definedName>
    <definedName name="_Sort" hidden="1">#REF!</definedName>
    <definedName name="_v2" hidden="1">[2]weekly!#REF!</definedName>
    <definedName name="ab">#REF!</definedName>
    <definedName name="ACA">[3]tables!$J$2:$K$152</definedName>
    <definedName name="ACA_Option">#REF!</definedName>
    <definedName name="ACA_Option_1">#REF!</definedName>
    <definedName name="ACA_table">#REF!</definedName>
    <definedName name="Academy">[4]Choose!$D$16</definedName>
    <definedName name="Access_Button" hidden="1">"BeneOUTb_database_List"</definedName>
    <definedName name="AccessDatabase" hidden="1">"N:\USERS\BENCHMARKING\Benefits Admin\BeneOUTb.mdb"</definedName>
    <definedName name="AD">#REF!</definedName>
    <definedName name="ADJ3YO">'[5]3yo adjustment'!#REF!</definedName>
    <definedName name="Adjustments_To_1314_SBS">'[6]Local Factors'!$AA$5</definedName>
    <definedName name="Adjustments_To_1415_SBS">#REF!</definedName>
    <definedName name="Adjustments_To_1516_SBS">'[7]Local Factors'!$AB$5</definedName>
    <definedName name="Adjustments_To_PY_SBS">'[8]Local Factors'!$AA$5</definedName>
    <definedName name="ADMIN">#REF!</definedName>
    <definedName name="admin.admin.costs">#REF!</definedName>
    <definedName name="admin.manual.costs">#REF!</definedName>
    <definedName name="admin.net.expend">#REF!</definedName>
    <definedName name="admin.nonpay.costs">#REF!</definedName>
    <definedName name="admin.otherstaff.costs">#REF!</definedName>
    <definedName name="admin.PRC">'[9]Other Forecasting'!#REF!</definedName>
    <definedName name="admin.teachers.pay">#REF!</definedName>
    <definedName name="adminpayinc.1">'[9]Inputs for SWGE Forecasting'!#REF!</definedName>
    <definedName name="adminprcprop">'[9]Other Forecasting'!#REF!</definedName>
    <definedName name="admintotalprc">#REF!</definedName>
    <definedName name="ADULT">#REF!</definedName>
    <definedName name="adult.average.sal">'[10]Inputs for SWGE Forecasting'!#REF!</definedName>
    <definedName name="adult.enhancement">'[10]Inputs for SWGE Forecasting'!#REF!</definedName>
    <definedName name="adult.entitlement">'[10]Inputs for SWGE Forecasting'!#REF!</definedName>
    <definedName name="adult.mortality">'[10]Inputs for SWGE Forecasting'!#REF!</definedName>
    <definedName name="adult.prc.costs">'[10]PRC Repricing Factor'!#REF!</definedName>
    <definedName name="adult.prc.nos">'[9]Inputs for SWGE Forecasting'!#REF!</definedName>
    <definedName name="adult.redundancy">'[10]Inputs for SWGE Forecasting'!#REF!</definedName>
    <definedName name="adult.total.retirees">'[10]Inputs for SWGE Forecasting'!#REF!</definedName>
    <definedName name="adults.prc.index">'[10]PRC Repricing Factor'!#REF!</definedName>
    <definedName name="ADV">'[11]Grant 1.2'!$I$3</definedName>
    <definedName name="ae">[12]TRANS!#REF!</definedName>
    <definedName name="AEN_UnitCost">#REF!</definedName>
    <definedName name="AENuprate">'[13]03-04 Unit costs'!$D$7</definedName>
    <definedName name="Age_weighted_funding">#REF!</definedName>
    <definedName name="ak">'All Schools Data view only'!$DD$2</definedName>
    <definedName name="all">#REF!</definedName>
    <definedName name="All_distance_threshold">[8]Proforma!$D$49</definedName>
    <definedName name="All_primary_school_pupils">#REF!</definedName>
    <definedName name="All_PupilNo_threshold">[8]Proforma!$G$49</definedName>
    <definedName name="all_rows">#REF!</definedName>
    <definedName name="all_schools">#REF!</definedName>
    <definedName name="All_secondary_school_pupils">#REF!</definedName>
    <definedName name="AllCol">#REF!</definedName>
    <definedName name="Alllines">#REF!</definedName>
    <definedName name="Allocations">#REF!</definedName>
    <definedName name="AllRow_1">#REF!</definedName>
    <definedName name="AllRow_2">#REF!</definedName>
    <definedName name="AllRow_3">#REF!</definedName>
    <definedName name="AllRow_4">#REF!</definedName>
    <definedName name="AllRow_5">#REF!</definedName>
    <definedName name="AllRow_6">#REF!</definedName>
    <definedName name="Alt_Gains_Cap">[8]Proforma!#REF!</definedName>
    <definedName name="amend.netexpend">#REF!</definedName>
    <definedName name="amended.net.expend">'[14]Split Under Fives from Primary'!#REF!</definedName>
    <definedName name="Anchor_DD">'[15]G) De Delegation'!#REF!</definedName>
    <definedName name="Anchor_Factors">[16]Factors!$A$3</definedName>
    <definedName name="Anchor_Input">#REF!</definedName>
    <definedName name="Anchor_NDShare">'[15]F) New Delegation Control'!#REF!</definedName>
    <definedName name="anchor_T1">#REF!</definedName>
    <definedName name="anchor_T4">#REF!</definedName>
    <definedName name="ASB">#REF!</definedName>
    <definedName name="ASD_Alt">[17]Classifications!$O$31</definedName>
    <definedName name="ass_ri">'[18]Adults Fwd Plan'!#REF!</definedName>
    <definedName name="Autumn_term_EFA_prop">[19]Policy_decisions!$I$6</definedName>
    <definedName name="Autumn_term_LA_prop">[19]Policy_decisions!$J$6</definedName>
    <definedName name="AWPU_KS3">[20]UnitValues!$E$9</definedName>
    <definedName name="AWPU_KS3_Rate">[8]Proforma!$E$15</definedName>
    <definedName name="AWPU_KS4">[20]UnitValues!$E$10</definedName>
    <definedName name="AWPU_KS4_Rate">[8]Proforma!$E$16</definedName>
    <definedName name="AWPU_Pri">[20]UnitValues!$E$8</definedName>
    <definedName name="AWPU_Pri_Rate">[8]Proforma!$E$14</definedName>
    <definedName name="AWPU_Primary_DD_rate">'[8]De Delegation'!$X$8</definedName>
    <definedName name="AWPU_Sec_DD_rate">'[8]De Delegation'!$Y$9</definedName>
    <definedName name="Base_Data">#REF!</definedName>
    <definedName name="Baseline_LocationFactor_1">[21]Control!$D$74</definedName>
    <definedName name="Baseline_PhaseWeight_1">[21]Control!$D$73</definedName>
    <definedName name="Baseline_Unit_1">[21]Control!$D$76</definedName>
    <definedName name="BeginCol_1">#REF!</definedName>
    <definedName name="BeginCol_2">#REF!</definedName>
    <definedName name="BeginCol_3">#REF!</definedName>
    <definedName name="BeginCol_4">#REF!</definedName>
    <definedName name="BESD_Alt">[17]Classifications!$O$26</definedName>
    <definedName name="BreakdownSurp00Pri">'[22]2000 Surplus Breakdown'!$A$8:$H$159</definedName>
    <definedName name="BreakdownSurp00Sec">'[22]2000 Surplus Breakdown'!$J$8:$Q$159</definedName>
    <definedName name="BS">[4]Choose!$E$16</definedName>
    <definedName name="Capping_Scaling_YesNo">[8]Proforma!$J$71</definedName>
    <definedName name="careers">'[9]Other Forecasting'!#REF!</definedName>
    <definedName name="careers.service">'[9]Inputs for SWGE Forecasting'!#REF!</definedName>
    <definedName name="cec_e">'[18]CE &amp; Strategy Fwd Plan'!#REF!</definedName>
    <definedName name="cec_ri">'[18]CE &amp; Strategy Fwd Plan'!#REF!</definedName>
    <definedName name="Ceiling">[8]Proforma!$D$72</definedName>
    <definedName name="Centralblock">[23]Central!$C$11:$AZ$27</definedName>
    <definedName name="cexp_e">'[18]CentExp Fwd Plan'!#REF!</definedName>
    <definedName name="cexp_ri">'[18]CentExp Fwd Plan'!#REF!</definedName>
    <definedName name="CG">#REF!</definedName>
    <definedName name="CG.admin.costs">#REF!</definedName>
    <definedName name="CG.gross.expend">#REF!</definedName>
    <definedName name="CG.income">#REF!</definedName>
    <definedName name="CG.manual.costs">#REF!</definedName>
    <definedName name="CG.net.expend">#REF!</definedName>
    <definedName name="CG.nonpay.costs">#REF!</definedName>
    <definedName name="CG.otherstaff.costs">#REF!</definedName>
    <definedName name="CG.PRC.proportion">'[9]Other Forecasting'!#REF!</definedName>
    <definedName name="CG.teaching.costs">#REF!</definedName>
    <definedName name="cgprctotal">#REF!</definedName>
    <definedName name="Chart_Change">#REF!</definedName>
    <definedName name="Chart_Ind">#REF!</definedName>
    <definedName name="checkdate">[24]Howto!$B$5</definedName>
    <definedName name="CHILD_GUIDANCE">#REF!</definedName>
    <definedName name="CilCnt_4">#REF!</definedName>
    <definedName name="claim">#REF!</definedName>
    <definedName name="claim2">#REF!</definedName>
    <definedName name="Claremont">[25]MFG!$N$6</definedName>
    <definedName name="Client_Table">'[26]Client Data'!$A$3:$E$900</definedName>
    <definedName name="ClubForText">[17]Submit!$F$89</definedName>
    <definedName name="Col_Ref_DD">'[15]G) De Delegation'!#REF!</definedName>
    <definedName name="Col_Ref_Factors">'[15]C) Factors'!#REF!</definedName>
    <definedName name="Col_Ref_Input">#REF!</definedName>
    <definedName name="Col_Ref_NDShare">'[15]F) New Delegation Control'!#REF!</definedName>
    <definedName name="Col_Ref_T1">#REF!</definedName>
    <definedName name="Col_Ref_T4">#REF!</definedName>
    <definedName name="ColCnt_3">#REF!</definedName>
    <definedName name="ColCnt_5">#REF!</definedName>
    <definedName name="ColCnt_6">#REF!</definedName>
    <definedName name="colls">#REF!</definedName>
    <definedName name="cols10">#REF!</definedName>
    <definedName name="cols11">#REF!</definedName>
    <definedName name="cols12">#REF!</definedName>
    <definedName name="cols13">#REF!</definedName>
    <definedName name="cols14">#REF!</definedName>
    <definedName name="cols14a">#REF!</definedName>
    <definedName name="cols16">#REF!</definedName>
    <definedName name="cols17">#REF!</definedName>
    <definedName name="cols3a">#REF!</definedName>
    <definedName name="cols3b">#REF!</definedName>
    <definedName name="cols3c">#REF!</definedName>
    <definedName name="cols3d">#REF!</definedName>
    <definedName name="cols5">#REF!</definedName>
    <definedName name="cols6">#REF!</definedName>
    <definedName name="cols6a">#REF!</definedName>
    <definedName name="cols7">#REF!</definedName>
    <definedName name="cols8">#REF!</definedName>
    <definedName name="cols9">#REF!</definedName>
    <definedName name="Complex">#REF!</definedName>
    <definedName name="Condition_A">[21]Control!#REF!</definedName>
    <definedName name="copyright">#REF!</definedName>
    <definedName name="COUNTRY">[27]information!$H$3</definedName>
    <definedName name="cs_ri">'[18]Children Fwd Plan'!#REF!</definedName>
    <definedName name="ctrl_1516_Pot_DFC">[21]Control!#REF!</definedName>
    <definedName name="ctrl_1617_pot_DFC">[21]Control!#REF!</definedName>
    <definedName name="ctrl_1718_pot_DFC">[21]Control!#REF!</definedName>
    <definedName name="d_ass">#REF!</definedName>
    <definedName name="d_cec">#REF!</definedName>
    <definedName name="d_cexp">#REF!</definedName>
    <definedName name="d_cs">#REF!</definedName>
    <definedName name="d_et">#REF!</definedName>
    <definedName name="d_gov">#REF!</definedName>
    <definedName name="d_hra">#REF!</definedName>
    <definedName name="d_hsg">#REF!</definedName>
    <definedName name="d_pep">#REF!</definedName>
    <definedName name="d_r">#REF!</definedName>
    <definedName name="d_sd">#REF!</definedName>
    <definedName name="d_speg">#REF!</definedName>
    <definedName name="Data">#REF!</definedName>
    <definedName name="DATA1">#REF!</definedName>
    <definedName name="DATA10">[28]CCs!#REF!</definedName>
    <definedName name="DATA11">[28]CCs!#REF!</definedName>
    <definedName name="DATA12">[28]CCs!#REF!</definedName>
    <definedName name="DATA13">#REF!</definedName>
    <definedName name="DATA14">#REF!</definedName>
    <definedName name="DATA2">#REF!</definedName>
    <definedName name="DATA3">#REF!</definedName>
    <definedName name="DATA4">#REF!</definedName>
    <definedName name="DATA5">#REF!</definedName>
    <definedName name="DATA6">'[29]SAP Download'!#REF!</definedName>
    <definedName name="DATA7">[28]CCs!#REF!</definedName>
    <definedName name="DATA8">[28]CCs!#REF!</definedName>
    <definedName name="DATA9">[28]CCs!#REF!</definedName>
    <definedName name="_xlnm.Database">#REF!</definedName>
    <definedName name="DataDD">'[15]G) De Delegation'!#REF!</definedName>
    <definedName name="DataInput">#REF!</definedName>
    <definedName name="DataNDShare">'[15]F) New Delegation Control'!#REF!</definedName>
    <definedName name="datarows">#REF!</definedName>
    <definedName name="Dated">[4]Choose!$C$14</definedName>
    <definedName name="DCSF">#REF!</definedName>
    <definedName name="DCSF1">#REF!</definedName>
    <definedName name="DCSF2">[30]Report!$L$8</definedName>
    <definedName name="DD_MF">[17]Submit!$D$72:$D$74</definedName>
    <definedName name="DD_Need">[17]Submit!$D$56:$D$69</definedName>
    <definedName name="DD_NIghts">[17]Submit!$D$39:$D$47</definedName>
    <definedName name="DD_Weeks">[17]Submit!$D$50:$D$53</definedName>
    <definedName name="December">[12]TRANS!#REF!</definedName>
    <definedName name="Depr_Infl_option">#REF!</definedName>
    <definedName name="Depr_Infl_option_1">#REF!</definedName>
    <definedName name="Deprivation_Option">#REF!</definedName>
    <definedName name="Deprivation_Option_1">#REF!</definedName>
    <definedName name="Deprivation_Pot">#REF!</definedName>
    <definedName name="Deprivation_Pot_1">#REF!</definedName>
    <definedName name="DFC_LocationFactor_1">[21]Control!$D$64</definedName>
    <definedName name="DFC_LS_1">[21]Control!$D$62</definedName>
    <definedName name="DFC_PhaseWeight_1">[21]Control!$D$63</definedName>
    <definedName name="DFC_Q_1">[21]Control!$D$46</definedName>
    <definedName name="DFC_Unit_1">[21]Control!$D$67</definedName>
    <definedName name="DFENO">[12]Home!$T$21</definedName>
    <definedName name="DFENUM">[4]Choose!$L$18</definedName>
    <definedName name="DISC_AWARDS">#REF!</definedName>
    <definedName name="EAL_Pri">[8]Proforma!$E$28</definedName>
    <definedName name="EAL_Pri_DD_rate">'[8]De Delegation'!$X$21</definedName>
    <definedName name="EAL_Pri_Option">[8]Proforma!$D$28</definedName>
    <definedName name="EAL_Pri_Scaled">[20]UnitValues!$E$26</definedName>
    <definedName name="EAL_Sec">[8]Proforma!$F$29</definedName>
    <definedName name="EAL_Sec_DD_rate">'[8]De Delegation'!$Y$22</definedName>
    <definedName name="EAL_Sec_Option">[8]Proforma!$D$29</definedName>
    <definedName name="EAL_Sec_Scaled">[20]UnitValues!$E$27</definedName>
    <definedName name="EAL_Seci_Scaled">[31]UnitValues!$E$26</definedName>
    <definedName name="EAnglia">'[32]Qtab output'!$B$20,'[32]Qtab output'!$B$79,'[32]Qtab output'!$B$105</definedName>
    <definedName name="Earlyyearsblock">[23]EarlyYears!$C$12:$AZ$15</definedName>
    <definedName name="Emidlands">'[32]Qtab output'!$B$31,'[32]Qtab output'!$B$70,'[32]Qtab output'!$B$72,'[32]Qtab output'!$B$82,'[32]Qtab output'!$B$84</definedName>
    <definedName name="end">[12]TRANS!#REF!</definedName>
    <definedName name="endaug">[24]Summary!$A$6</definedName>
    <definedName name="EndCol_1">#REF!</definedName>
    <definedName name="EndCol_2">#REF!</definedName>
    <definedName name="EndCol_3">#REF!</definedName>
    <definedName name="enddate">[24]Howto!$B$6</definedName>
    <definedName name="enddec">[24]Summary!$A$7</definedName>
    <definedName name="enddfes">#REF!</definedName>
    <definedName name="eoy">[24]Summary!$A$5</definedName>
    <definedName name="EOYtext">[4]Choose!$F$14</definedName>
    <definedName name="EQU">'[11]Grant 1.2'!$I$2</definedName>
    <definedName name="ESG_General_Funding_Rate_for_mainstream_schools">#REF!</definedName>
    <definedName name="ESG_General_Funding_Rate_for_PRUs">#REF!</definedName>
    <definedName name="ESG_General_Funding_Rate_for_special_schools">#REF!</definedName>
    <definedName name="ESG_Retained_Duties_Funding_Rate">#REF!</definedName>
    <definedName name="ESGrate">#REF!</definedName>
    <definedName name="et_ri">'[18]E&amp;O Fwd Plan'!#REF!</definedName>
    <definedName name="Ever6_Pri_DD_Rate">'[8]De Delegation'!$X$11</definedName>
    <definedName name="Ever6_pri_rate">[8]Proforma!$E$19</definedName>
    <definedName name="Ever6_Sec_DD_Rate">'[8]De Delegation'!$Y$11</definedName>
    <definedName name="Ever6_sec_rate">[8]Proforma!$F$19</definedName>
    <definedName name="Exc_Cir1_Total">#REF!</definedName>
    <definedName name="Exc_Cir2_Total">#REF!</definedName>
    <definedName name="Exc_Cir3_Total">#REF!</definedName>
    <definedName name="Exc_Cir4_Total">#REF!</definedName>
    <definedName name="Exc_Cir5_Total">#REF!</definedName>
    <definedName name="Exc_Cir6_Total">#REF!</definedName>
    <definedName name="Exc_Cir7_Total">#REF!</definedName>
    <definedName name="EY">[12]EarlyYears!$T$23</definedName>
    <definedName name="f">[33]information!$H$5</definedName>
    <definedName name="FACTORS">#REF!</definedName>
    <definedName name="FE.for.Adults.PRC">'[9]Inputs for SWGE Forecasting'!#REF!</definedName>
    <definedName name="FE.reprice.index">'[9]Calculation of Repricing Factor'!#REF!</definedName>
    <definedName name="FE_Salary_Repricing_Factor">'[10]Inputs for SWGE Forecasting'!#REF!</definedName>
    <definedName name="FED">[12]MFG!$F$23</definedName>
    <definedName name="fednum">[4]Choose!$C$16</definedName>
    <definedName name="fee.income">#REF!</definedName>
    <definedName name="FEFC_PERCENT">#REF!</definedName>
    <definedName name="feforadultsprctotal">#REF!</definedName>
    <definedName name="FEHE">#REF!</definedName>
    <definedName name="FILENAME">[27]information!$H$5</definedName>
    <definedName name="FirstOcc">'[1]Running info'!#REF!</definedName>
    <definedName name="Floor">#REF!</definedName>
    <definedName name="Floor_Option">#REF!</definedName>
    <definedName name="FLOOR_Y1_1">[21]Control!$D$79</definedName>
    <definedName name="Floor_Y2_1">[21]Control!$D$80</definedName>
    <definedName name="Floor_Y3_1">[21]Control!$D$81</definedName>
    <definedName name="Forname">#REF!</definedName>
    <definedName name="Fringe_Total">#REF!</definedName>
    <definedName name="FSM_Pri_DD_rate">'[8]De Delegation'!$X$10</definedName>
    <definedName name="FSM_Pri_Rate">[8]Proforma!$E$18</definedName>
    <definedName name="FSM_Pri_Scaled">[20]UnitValues!$E$11</definedName>
    <definedName name="FSM_Sec_DD_rate">'[8]De Delegation'!$Y$10</definedName>
    <definedName name="FSM_Sec_Rate">[8]Proforma!$F$18</definedName>
    <definedName name="FSM_Sec_Scaled">[20]UnitValues!$E$12</definedName>
    <definedName name="FSM_UnitCost">#REF!</definedName>
    <definedName name="FSM6_Pri_premium">[19]Policy_decisions!$C$4</definedName>
    <definedName name="FSM6_Sec_premium">[19]Policy_decisions!$C$5</definedName>
    <definedName name="FSMPO2">[34]Proforma!$D$15</definedName>
    <definedName name="Funding">[35]Home!#REF!</definedName>
    <definedName name="Funding_Floor">[36]Proforma!$H$72</definedName>
    <definedName name="Funding_Floor_Adjustment">'[36]New ISB'!$BJ$5</definedName>
    <definedName name="FY.prim.pups">'[14]Split Under Fives from Primary'!#REF!</definedName>
    <definedName name="General_1314_Pot_1">#REF!</definedName>
    <definedName name="GM_ALLOC">#REF!</definedName>
    <definedName name="gor">#REF!</definedName>
    <definedName name="gov_ri">'[18]Corp Governance Fwd Plan'!#REF!</definedName>
    <definedName name="GRAND_TOTAL">#REF!</definedName>
    <definedName name="grant1997_98">#REF!</definedName>
    <definedName name="GroupID_1">#REF!</definedName>
    <definedName name="GroupID_10">#REF!</definedName>
    <definedName name="GroupID_11">#REF!</definedName>
    <definedName name="GroupID_12">#REF!</definedName>
    <definedName name="GroupID_13">#REF!</definedName>
    <definedName name="GroupID_14">#REF!</definedName>
    <definedName name="GroupID_15">#REF!</definedName>
    <definedName name="GroupID_16">#REF!</definedName>
    <definedName name="GroupID_17">#REF!</definedName>
    <definedName name="GroupID_18">#REF!</definedName>
    <definedName name="GroupID_19">#REF!</definedName>
    <definedName name="GroupID_2">#REF!</definedName>
    <definedName name="GroupID_3">#REF!</definedName>
    <definedName name="GroupID_4">#REF!</definedName>
    <definedName name="GroupID_5">#REF!</definedName>
    <definedName name="GroupID_6">#REF!</definedName>
    <definedName name="GroupID_7">#REF!</definedName>
    <definedName name="GroupID_8">#REF!</definedName>
    <definedName name="GroupID_9">#REF!</definedName>
    <definedName name="H1Tot">#REF!</definedName>
    <definedName name="H2Tot">#REF!</definedName>
    <definedName name="HEADING">[37]Home!$D$9</definedName>
    <definedName name="HEFEIncome">#REF!</definedName>
    <definedName name="HI_Alt">[17]Classifications!$O$36</definedName>
    <definedName name="Highneedsblock">[23]HighNeeds!$C$12:$AZ$23</definedName>
    <definedName name="Holiday_List">'[38]Holidays &amp; Term Dates'!$B$3:$B$112</definedName>
    <definedName name="HOURS">#REF!</definedName>
    <definedName name="hra_ri">'[18]HRA FWD Plan'!#REF!</definedName>
    <definedName name="hsg_e">#REF!</definedName>
    <definedName name="hsg_fye">#REF!</definedName>
    <definedName name="hsg_p">#REF!</definedName>
    <definedName name="hsg_r">#REF!</definedName>
    <definedName name="hsg_ri">#REF!</definedName>
    <definedName name="IDACI_B1_Pri">[8]Proforma!$E$20</definedName>
    <definedName name="IDACI_B1_Pri_DD_rate">'[8]De Delegation'!$X$12</definedName>
    <definedName name="IDACI_B1_Sec">[8]Proforma!$F$20</definedName>
    <definedName name="IDACI_B1_Sec_DD_rate">'[8]De Delegation'!$Y$12</definedName>
    <definedName name="IDACI_B2_Pri">[8]Proforma!$E$21</definedName>
    <definedName name="IDACI_B2_Pri_DD_rate">'[8]De Delegation'!$X$13</definedName>
    <definedName name="IDACI_B2_Sec">[8]Proforma!$F$21</definedName>
    <definedName name="IDACI_B2_Sec_DD_rate">'[8]De Delegation'!$Y$13</definedName>
    <definedName name="IDACI_B3_Pri">[8]Proforma!$E$22</definedName>
    <definedName name="IDACI_B3_Pri_DD_rate">'[8]De Delegation'!$X$14</definedName>
    <definedName name="IDACI_B3_Sec">[8]Proforma!$F$22</definedName>
    <definedName name="IDACI_B3_Sec_DD_rate">'[8]De Delegation'!$Y$14</definedName>
    <definedName name="IDACI_B4_Pri">[8]Proforma!$E$23</definedName>
    <definedName name="IDACI_B4_Pri_DD_rate">'[8]De Delegation'!$X$15</definedName>
    <definedName name="IDACI_B4_Sec">[8]Proforma!$F$23</definedName>
    <definedName name="IDACI_B4_Sec_DD_rate">'[8]De Delegation'!$Y$15</definedName>
    <definedName name="IDACI_B5_Pri">[8]Proforma!$E$24</definedName>
    <definedName name="IDACI_B5_Pri_DD_rate">'[8]De Delegation'!$X$16</definedName>
    <definedName name="IDACI_B5_Sec">[8]Proforma!$F$24</definedName>
    <definedName name="IDACI_B5_Sec_DD_rate">'[8]De Delegation'!$Y$16</definedName>
    <definedName name="IDACI_B6_Pri">[8]Proforma!$E$25</definedName>
    <definedName name="IDACI_B6_Pri_DD_rate">'[8]De Delegation'!$X$17</definedName>
    <definedName name="IDACI_B6_Sec">[8]Proforma!$F$25</definedName>
    <definedName name="IDACI_B6_Sec_DD_rate">'[8]De Delegation'!$Y$17</definedName>
    <definedName name="IDACI1_Pri_Scaled">[20]UnitValues!$E$13</definedName>
    <definedName name="IDACI1_Sec_Scaled">[20]UnitValues!$E$14</definedName>
    <definedName name="IDACI2_Pri_Scaled">[20]UnitValues!$E$15</definedName>
    <definedName name="IDACI2_Sec_Scaled">[20]UnitValues!$E$16</definedName>
    <definedName name="IDACI3_Pri_Scaled">[20]UnitValues!$E$17</definedName>
    <definedName name="IDACI3_Sec_Scaled">[20]UnitValues!$E$18</definedName>
    <definedName name="IDACI4_Pri_Scaled">[20]UnitValues!$E$19</definedName>
    <definedName name="IDACI4_Sec_Scaled">[20]UnitValues!$E$20</definedName>
    <definedName name="IDACI5_Pri_Scaled">[20]UnitValues!$E$21</definedName>
    <definedName name="IDACI5_Sec_Scaled">[20]UnitValues!$E$22</definedName>
    <definedName name="IDACI6_Pri_Scaled">[20]UnitValues!$E$23</definedName>
    <definedName name="IDACI6_Sec_Scaled">[20]UnitValues!$E$24</definedName>
    <definedName name="ijds_pupil_data">#REF!</definedName>
    <definedName name="Incomeblock">[23]Income!$C$13:$AZ$21</definedName>
    <definedName name="INDEPENDENT_FEES">#REF!</definedName>
    <definedName name="Index_Bottom_1">[21]Control!$D$119</definedName>
    <definedName name="Index_LocationFactor_1">[21]Control!$D$112</definedName>
    <definedName name="Index_Max_1">[21]Control!$D$116</definedName>
    <definedName name="Index_Measure_1">[21]Control!$D$113</definedName>
    <definedName name="Index_Min_1">[21]Control!$D$117</definedName>
    <definedName name="Index_PhaseWeight_1">[21]Control!$D$111</definedName>
    <definedName name="Index_Range_1">[21]Control!#REF!</definedName>
    <definedName name="Index_Top_1">[21]Control!$D$118</definedName>
    <definedName name="Indicator">[39]CodeSet!$A$1:$A$2</definedName>
    <definedName name="Indicator2">[39]CodeSet!$A$4:$A$6</definedName>
    <definedName name="INDICATORS">#REF!</definedName>
    <definedName name="Infant">#REF!</definedName>
    <definedName name="Innlond">'[32]Qtab output'!$B$21,'[32]Qtab output'!$B$44,'[32]Qtab output'!$B$47:$B$48,'[32]Qtab output'!$B$61:$B$62,'[32]Qtab output'!$B$67,'[32]Qtab output'!$B$71,'[32]Qtab output'!$B$101,'[32]Qtab output'!$B$110,'[32]Qtab output'!$B$115,'[32]Qtab output'!$B$23:$B$24</definedName>
    <definedName name="inspect.admin.costs">'[10]Other Forecasting'!#REF!</definedName>
    <definedName name="inspect.gross.expend">'[10]Other Forecasting'!#REF!</definedName>
    <definedName name="inspect.income">'[10]Other Forecasting'!#REF!</definedName>
    <definedName name="inspect.manual.costs">'[10]Other Forecasting'!#REF!</definedName>
    <definedName name="inspect.nonpay.costs">'[10]Other Forecasting'!#REF!</definedName>
    <definedName name="inspect.otherstaff.costs">'[10]Other Forecasting'!#REF!</definedName>
    <definedName name="inspect.prc.costs">'[10]Other Forecasting'!#REF!</definedName>
    <definedName name="inspect.PRC.proportion">'[9]Other Forecasting'!#REF!</definedName>
    <definedName name="inspect.teachers.pay">'[10]Other Forecasting'!#REF!</definedName>
    <definedName name="INSPECTION">#REF!</definedName>
    <definedName name="inspection.final.total">'[10]Other Forecasting'!#REF!</definedName>
    <definedName name="inspectprcprop">'[9]Other Forecasting'!#REF!</definedName>
    <definedName name="inspectprctotal">'[10]Other Forecasting'!#REF!</definedName>
    <definedName name="iTotRow">#REF!</definedName>
    <definedName name="j">#REF!,#REF!,#REF!,#REF!,#REF!,#REF!,#REF!,#REF!,#REF!,#REF!,#REF!,#REF!,#REF!,#REF!,#REF!</definedName>
    <definedName name="Jan12_Pupils">#REF!</definedName>
    <definedName name="JournalEntries">[40]Adjust0506!#REF!</definedName>
    <definedName name="JournalEntries2">[40]Adjust0506!#REF!</definedName>
    <definedName name="July">[12]TRANS!#REF!</definedName>
    <definedName name="Jump_GA1">#REF!</definedName>
    <definedName name="Jump_GB">#REF!</definedName>
    <definedName name="jump_GB2">#REF!</definedName>
    <definedName name="Jump_GC">#REF!</definedName>
    <definedName name="Jump_Guidance">#REF!</definedName>
    <definedName name="jun">[12]TRANS!#REF!</definedName>
    <definedName name="June">[12]TRANS!#REF!</definedName>
    <definedName name="junesetpayinc.1">'[9]Inputs for SWGE Forecasting'!#REF!</definedName>
    <definedName name="Junior">#REF!</definedName>
    <definedName name="junko">#REF!</definedName>
    <definedName name="l">#REF!</definedName>
    <definedName name="LA_Block_1213_rates">#REF!</definedName>
    <definedName name="LA_Ever_6_FSM_Pupils">#REF!</definedName>
    <definedName name="LA_List">[41]LA_School_Names!$A$6:$A$156</definedName>
    <definedName name="LA_lookup">'[42]Lookup tab'!$A$2:$B$153</definedName>
    <definedName name="LA_num">'[42]Lookup tab'!$A$2:$A$153</definedName>
    <definedName name="LA_retention_Option">#REF!</definedName>
    <definedName name="LA_retention_Option_1">#REF!</definedName>
    <definedName name="LA_retention_pot">#REF!</definedName>
    <definedName name="LA_retention_pot_1">#REF!</definedName>
    <definedName name="LAC_premium">[19]Policy_decisions!$C$6</definedName>
    <definedName name="LAC_Pri_DD_rate">'[8]De Delegation'!$X$18</definedName>
    <definedName name="LAC_Rate">[8]Proforma!$E$27</definedName>
    <definedName name="LAC_Scaled">[20]UnitValues!$E$25</definedName>
    <definedName name="LAC_Sec_DD_rate">'[8]De Delegation'!$Y$18</definedName>
    <definedName name="LAchartSelector">[43]Chart_LAbudgetBreakdown!$B$2</definedName>
    <definedName name="LACode">[44]LALookup!$A$1</definedName>
    <definedName name="LALookup">[45]LALookup!$A$3:$D$154</definedName>
    <definedName name="LAnames_NotPartFringe">#REF!</definedName>
    <definedName name="LAnames_PartFringe">#REF!</definedName>
    <definedName name="LAST_Nursery">#REF!</definedName>
    <definedName name="LAST_Primary">#REF!</definedName>
    <definedName name="LAST_PriMiddle">#REF!</definedName>
    <definedName name="LAST_SecMiddle">#REF!</definedName>
    <definedName name="LAST_SECONDARY">#REF!</definedName>
    <definedName name="LAST_Special">#REF!</definedName>
    <definedName name="LastDataRow">#REF!</definedName>
    <definedName name="LastT1Used">'[1]Running info'!#REF!</definedName>
    <definedName name="LCHI_Pri">[8]Proforma!$F$32</definedName>
    <definedName name="LCHI_Pri_DD_rate">'[8]De Delegation'!$X$19</definedName>
    <definedName name="LCHI_Pri_Option">[46]Proforma!$D$30</definedName>
    <definedName name="LCHI_Sec">[8]Proforma!$F$33</definedName>
    <definedName name="LCHI_Sec_DD_rate">'[8]De Delegation'!$Y$20</definedName>
    <definedName name="lea">#REF!</definedName>
    <definedName name="LEA25perc_Primary">#REF!</definedName>
    <definedName name="LEA25SpecialMeasures_Primary">#REF!</definedName>
    <definedName name="LEA25SpecialMeasures_Secondary">#REF!</definedName>
    <definedName name="leagor">#REF!</definedName>
    <definedName name="lealookup">#REF!</definedName>
    <definedName name="LEAnopassport">#REF!</definedName>
    <definedName name="leanos">#REF!</definedName>
    <definedName name="LEAs">#REF!</definedName>
    <definedName name="lect.reprice.sum">'[9]Calculation of Repricing Factor'!#REF!</definedName>
    <definedName name="Lines">#REF!</definedName>
    <definedName name="LPA_Pri_Scaled">[20]UnitValues!$E$28</definedName>
    <definedName name="LPA_Sec_Scaled">[20]UnitValues!$E$29</definedName>
    <definedName name="lu">#REF!</definedName>
    <definedName name="Lump_Sum_Limit">#REF!</definedName>
    <definedName name="Lump_sum_Pri_DD_rate">'[8]De Delegation'!$X$24</definedName>
    <definedName name="Lump_sum_Sec_DD_rate">'[8]De Delegation'!$Y$24</definedName>
    <definedName name="Lump_Sum_total">#REF!</definedName>
    <definedName name="LumpSum">#REF!</definedName>
    <definedName name="LumpSum_Pri_Scaled">[20]UnitValues!$E$30</definedName>
    <definedName name="LumpSum_Sec_Scaled">[20]UnitValues!$E$31</definedName>
    <definedName name="LYear">[4]Choose!$D$14</definedName>
    <definedName name="LYPupils">[47]MFGreport!#REF!</definedName>
    <definedName name="manpayinc.1">'[9]Inputs for SWGE Forecasting'!#REF!</definedName>
    <definedName name="md_2">#REF!</definedName>
    <definedName name="MD_3">#REF!</definedName>
    <definedName name="MDProw">#REF!</definedName>
    <definedName name="MDrow">#REF!</definedName>
    <definedName name="mdsrow">#REF!</definedName>
    <definedName name="MEALS">#REF!</definedName>
    <definedName name="meals.admin.costs">#REF!</definedName>
    <definedName name="meals.income">#REF!</definedName>
    <definedName name="meals.kitchen.costs">#REF!</definedName>
    <definedName name="meals.PRC.proportion">'[9]Other Forecasting'!#REF!</definedName>
    <definedName name="meals.subtotal">#REF!</definedName>
    <definedName name="meals.variable.nonpay">#REF!</definedName>
    <definedName name="mealsprcprop">'[9]Other Forecasting'!#REF!</definedName>
    <definedName name="mealsprctotal">#REF!</definedName>
    <definedName name="Member">[12]BudgetShare!$G$29</definedName>
    <definedName name="MFG">#REF!</definedName>
    <definedName name="MFG_Rate">[8]Proforma!$H$69</definedName>
    <definedName name="MFG_Total">#REF!</definedName>
    <definedName name="Mid_distance_threshold">[8]Proforma!$D$48</definedName>
    <definedName name="Mid_PupilNo_threshold">[8]Proforma!$G$48</definedName>
    <definedName name="million">[48]DSGDec!$I$1</definedName>
    <definedName name="min_pupil_rate_KS3">[8]Proforma!$E$9</definedName>
    <definedName name="min_pupil_rate_KS4">[8]Proforma!$G$9</definedName>
    <definedName name="min_pupil_rate_pri">[8]Proforma!$D$9</definedName>
    <definedName name="min_pupil_rate_sec">[8]Proforma!$I$9</definedName>
    <definedName name="MLD_Alt">[17]Classifications!$O$20</definedName>
    <definedName name="Mobility_Pri">[8]Proforma!$E$30</definedName>
    <definedName name="Mobility_Pri_DD_Rate">'[8]De Delegation'!$X$23</definedName>
    <definedName name="Mobility_Sec">[8]Proforma!$F$30</definedName>
    <definedName name="Mobility_Sec_DD_Rate">'[8]De Delegation'!$Y$23</definedName>
    <definedName name="month">'[49]New Report'!$J$4</definedName>
    <definedName name="MP">#REF!</definedName>
    <definedName name="MP_Rows">#REF!</definedName>
    <definedName name="mppf_pri">#REF!</definedName>
    <definedName name="mppf_sec">#REF!</definedName>
    <definedName name="MS_Rows">#REF!</definedName>
    <definedName name="msg">#REF!</definedName>
    <definedName name="MSI_Alt">[17]Classifications!$O$37</definedName>
    <definedName name="names">#REF!</definedName>
    <definedName name="ND_Headers">#REF!</definedName>
    <definedName name="NDEP">[50]ISB!#REF!</definedName>
    <definedName name="neff">#REF!</definedName>
    <definedName name="new.second.PRC">'[9]Secondary Forecasting'!#REF!</definedName>
    <definedName name="New_and_growing_prop">[19]Policy_decisions!$F$11</definedName>
    <definedName name="NewCol_1">#REF!</definedName>
    <definedName name="newcol_10">#REF!</definedName>
    <definedName name="newcol_11">#REF!</definedName>
    <definedName name="newcol_12">#REF!</definedName>
    <definedName name="newcol_13">#REF!</definedName>
    <definedName name="newcol_14">#REF!</definedName>
    <definedName name="newcol_15">#REF!</definedName>
    <definedName name="newcol_16">#REF!</definedName>
    <definedName name="newcol_17">#REF!</definedName>
    <definedName name="newcol_2">#REF!</definedName>
    <definedName name="newcol_20">#REF!</definedName>
    <definedName name="newcol_3">#REF!</definedName>
    <definedName name="newcol_4">#REF!</definedName>
    <definedName name="newcol_5">#REF!</definedName>
    <definedName name="newcol_6">#REF!</definedName>
    <definedName name="newcol_7">#REF!</definedName>
    <definedName name="newcol_8">#REF!</definedName>
    <definedName name="newcol_9">#REF!</definedName>
    <definedName name="NEWN">[51]EarlyYears!$AA$19</definedName>
    <definedName name="News">[12]News!#REF!</definedName>
    <definedName name="NewSheet_Nursery">#REF!</definedName>
    <definedName name="NewSheet_Primary">#REF!</definedName>
    <definedName name="Newsheet_PriMiddle">#REF!</definedName>
    <definedName name="NewSheet_SecMiddle">#REF!</definedName>
    <definedName name="NewSheet_Secondary">#REF!</definedName>
    <definedName name="NewSheet_Special">#REF!</definedName>
    <definedName name="NewSheetNursery">#REF!</definedName>
    <definedName name="non_nurse">#REF!</definedName>
    <definedName name="non_prim">#REF!,#REF!</definedName>
    <definedName name="non_sec">#REF!,#REF!</definedName>
    <definedName name="non_spe">#REF!,#REF!</definedName>
    <definedName name="Nonable2_3">#REF!</definedName>
    <definedName name="nonpay.costs">#REF!</definedName>
    <definedName name="nonpay.reprice.sum">'[9]Calculation of Repricing Factor'!$B$349:$G$352</definedName>
    <definedName name="nontable2">#REF!</definedName>
    <definedName name="NonTable2_1">#REF!</definedName>
    <definedName name="NonTable2_2">#REF!</definedName>
    <definedName name="NonTable2_3">#REF!</definedName>
    <definedName name="NonTable2_4">#REF!</definedName>
    <definedName name="NonTable2Rows">#REF!</definedName>
    <definedName name="NOR_TYPE">#REF!</definedName>
    <definedName name="North">'[32]Qtab output'!$B$42,'[32]Qtab output'!$B$77,'[32]Qtab output'!$B$80,'[32]Qtab output'!$B$100,'[32]Qtab output'!$B$106,'[32]Qtab output'!$B$25,'[32]Qtab output'!$B$30,'[32]Qtab output'!$B$36,'[32]Qtab output'!$B$83</definedName>
    <definedName name="Northwest">'[32]Qtab output'!$B$66,'[32]Qtab output'!$B$102,'[32]Qtab output'!$B$94,'[32]Qtab output'!$B$121,'[32]Qtab output'!$B$13,'[32]Qtab output'!$B$18,'[32]Qtab output'!$B$73:$B$74,'[32]Qtab output'!$B$85,'[32]Qtab output'!$B$90,'[32]Qtab output'!$B$92,'[32]Qtab output'!$B$104</definedName>
    <definedName name="Notional_SEN_AWPU_KS3">[8]Proforma!$L$15</definedName>
    <definedName name="Notional_SEN_AWPU_KS4">[8]Proforma!$L$16</definedName>
    <definedName name="Notional_SEN_AWPU_Pri">[8]Proforma!$L$14</definedName>
    <definedName name="Notional_SEN_EAL_Pri">[8]Proforma!$L$28</definedName>
    <definedName name="Notional_SEN_EAL_Sec">[8]Proforma!$M$29</definedName>
    <definedName name="Notional_SEN_Ever6_Pri">[8]Proforma!$L$19</definedName>
    <definedName name="Notional_SEN_Ever6_Sec">[8]Proforma!$M$19</definedName>
    <definedName name="Notional_SEN_ExCir2">[8]Proforma!$L$57</definedName>
    <definedName name="Notional_SEN_ExCir3">[8]Proforma!$L$58</definedName>
    <definedName name="Notional_SEN_ExCir4">[8]Proforma!$L$59</definedName>
    <definedName name="Notional_SEN_ExCir5">[8]Proforma!$L$60</definedName>
    <definedName name="Notional_SEN_ExCir6">[8]Proforma!$L$61</definedName>
    <definedName name="Notional_SEN_ExCir7">[8]Proforma!$L$62</definedName>
    <definedName name="Notional_SEN_FF">[36]Proforma!$L$72</definedName>
    <definedName name="Notional_SEN_FSM_Pri">[8]Proforma!$L$18</definedName>
    <definedName name="Notional_SEN_FSM_Sec">[8]Proforma!$M$18</definedName>
    <definedName name="Notional_SEN_IDACI_B1_Pri">[8]Proforma!$L$20</definedName>
    <definedName name="Notional_SEN_IDACI_B1_Sec">[8]Proforma!$M$20</definedName>
    <definedName name="Notional_SEN_IDACI_B2_Pri">[8]Proforma!$L$21</definedName>
    <definedName name="Notional_SEN_IDACI_B2_Sec">[8]Proforma!$M$21</definedName>
    <definedName name="Notional_SEN_IDACI_B3_Pri">[8]Proforma!$L$22</definedName>
    <definedName name="Notional_SEN_IDACI_B3_Sec">[8]Proforma!$M$22</definedName>
    <definedName name="Notional_SEN_IDACI_B4_Pri">[8]Proforma!$L$23</definedName>
    <definedName name="Notional_SEN_IDACI_B4_Sec">[8]Proforma!$M$23</definedName>
    <definedName name="Notional_SEN_IDACI_B5_Pri">[8]Proforma!$L$24</definedName>
    <definedName name="Notional_SEN_IDACI_B5_Sec">[8]Proforma!$M$24</definedName>
    <definedName name="Notional_SEN_IDACI_B6_Pri">[8]Proforma!$L$25</definedName>
    <definedName name="Notional_SEN_IDACI_B6_Sec">[8]Proforma!$M$25</definedName>
    <definedName name="Notional_SEN_LAC">[8]Proforma!$L$27</definedName>
    <definedName name="Notional_SEN_LCHI_Pri">[8]Proforma!$L$32</definedName>
    <definedName name="Notional_SEN_LCHI_Sec">[8]Proforma!$M$33</definedName>
    <definedName name="Notional_SEN_Lump_sum_Pri">[8]Proforma!$L$43</definedName>
    <definedName name="Notional_SEN_Lump_sum_Sec">[8]Proforma!$M$43</definedName>
    <definedName name="Notional_SEN_MFG">[8]Proforma!$L$76</definedName>
    <definedName name="Notional_SEN_Mobility_Pri">[8]Proforma!$L$30</definedName>
    <definedName name="Notional_SEN_Mobility_Sec">[8]Proforma!$M$30</definedName>
    <definedName name="Notional_SEN_MPPF">[8]Proforma!$L$66</definedName>
    <definedName name="Notional_SEN_PFI">[8]Proforma!$L$53</definedName>
    <definedName name="Notional_SEN_Rates">[8]Proforma!$L$52</definedName>
    <definedName name="Notional_SEN_SixthForm">[46]Proforma!$L$48</definedName>
    <definedName name="Notional_SEN_Sparsity_Pri">[8]Proforma!$L$44</definedName>
    <definedName name="Notional_SEN_Sparsity_Sec">[8]Proforma!$M$44</definedName>
    <definedName name="Notional_SEN_Split_sites">[8]Proforma!$L$51</definedName>
    <definedName name="NQT_top_up">[52]Control!#REF!</definedName>
    <definedName name="nrecol_15">#REF!</definedName>
    <definedName name="Nrow">#REF!</definedName>
    <definedName name="NS_Rows">#REF!</definedName>
    <definedName name="NSEN">[50]ISB!#REF!</definedName>
    <definedName name="nurcol2">#REF!</definedName>
    <definedName name="NurCols">#REF!</definedName>
    <definedName name="nurs.classes.income">#REF!</definedName>
    <definedName name="nurs.classes.julypay">#REF!</definedName>
    <definedName name="nurs.classes.netexpend">#REF!</definedName>
    <definedName name="nurs.classes.novpay">#REF!</definedName>
    <definedName name="nurs.classes.othercosts">#REF!</definedName>
    <definedName name="nurs.classes.teaching">#REF!</definedName>
    <definedName name="nurs.pups.income">#REF!</definedName>
    <definedName name="nurs.pups.julypay">#REF!</definedName>
    <definedName name="nurs.pups.netexpend">#REF!</definedName>
    <definedName name="nurs.pups.novpay">#REF!</definedName>
    <definedName name="nurs.pups.othercosts">#REF!</definedName>
    <definedName name="nurs.pups.teaching">#REF!</definedName>
    <definedName name="nursclas.pups">'[9]Inputs for SWGE Forecasting'!$B$144:$H$144</definedName>
    <definedName name="nursclass.wts">'[9]Inputs for SWGE Forecasting'!$C$152:$C$157</definedName>
    <definedName name="nurse_rows">#REF!</definedName>
    <definedName name="nursery">#REF!,#REF!,#REF!,#REF!,#REF!,#REF!,#REF!,#REF!,#REF!,#REF!,#REF!</definedName>
    <definedName name="nurspups.wts">'[9]Inputs for SWGE Forecasting'!$B$152:$B$157</definedName>
    <definedName name="OESR">#REF!</definedName>
    <definedName name="OESR.admin.costs">#REF!</definedName>
    <definedName name="OESR.manual.costs">#REF!</definedName>
    <definedName name="OESR.nonpay.costs">#REF!</definedName>
    <definedName name="OESR.otherstaff.costs">#REF!</definedName>
    <definedName name="OESR.PRC.proportion">'[9]Other Forecasting'!#REF!</definedName>
    <definedName name="OESR.teachers.pay">#REF!</definedName>
    <definedName name="OESRprcprop">'[9]Other Forecasting'!#REF!</definedName>
    <definedName name="OESRprctotal">#REF!</definedName>
    <definedName name="ofsted">'[10]Other Forecasting'!#REF!</definedName>
    <definedName name="old.second.PRC">'[9]Secondary Forecasting'!#REF!</definedName>
    <definedName name="OLDLAESTAB">[12]Home!$B$3</definedName>
    <definedName name="openclose">#REF!</definedName>
    <definedName name="OthColEnd">#REF!</definedName>
    <definedName name="OthColStart">#REF!</definedName>
    <definedName name="other.income">#REF!</definedName>
    <definedName name="Other.nonpay.cost">'[14]Split Under Fives from Primary'!#REF!</definedName>
    <definedName name="OTHER_TRANSPORT">#REF!</definedName>
    <definedName name="OtherCols">#REF!</definedName>
    <definedName name="otherprcprop">'[10]Inputs for SWGE Forecasting'!#REF!</definedName>
    <definedName name="OtherStaffProportion_AllPhases">[53]StaffProportion!$U$17</definedName>
    <definedName name="OtherStaffProportion_PrimSec">[54]StaffProportion!$V$17</definedName>
    <definedName name="otheru5.income">#REF!</definedName>
    <definedName name="otheru5.julypay">#REF!</definedName>
    <definedName name="otheru5.netexpend">#REF!</definedName>
    <definedName name="otheru5.novpay">#REF!</definedName>
    <definedName name="otheru5.othercosts">#REF!</definedName>
    <definedName name="otheru5.pups">'[9]Inputs for SWGE Forecasting'!$B$145:$H$145</definedName>
    <definedName name="otheru5.teaching">#REF!</definedName>
    <definedName name="OthSE">'[32]Qtab output'!$B$9:$B$10,'[32]Qtab output'!$B$17,'[32]Qtab output'!$B$39,'[32]Qtab output'!$B$41,'[32]Qtab output'!$B$49,'[32]Qtab output'!$B$54,'[32]Qtab output'!$B$59,'[32]Qtab output'!$B$63,'[32]Qtab output'!$B$86,'[32]Qtab output'!$B$107,'[32]Qtab output'!$B$118</definedName>
    <definedName name="P_P_POP">#REF!</definedName>
    <definedName name="PD_Alt">[17]Classifications!$O$38</definedName>
    <definedName name="PDS_A_1">[21]Control!$D$93</definedName>
    <definedName name="PDS_B_1">[21]Control!$D$94</definedName>
    <definedName name="PDS_C_1">[21]Control!$D$95</definedName>
    <definedName name="PDS_D_1">[21]Control!$D$96</definedName>
    <definedName name="PDS_LocationFactor_1">[21]Control!$D$97</definedName>
    <definedName name="PDS_Measure_1">[21]Control!$D$104</definedName>
    <definedName name="PDS_Method_1">[21]Control!$D$105</definedName>
    <definedName name="PDS_PP_Limit_1">[21]Control!$D$102</definedName>
    <definedName name="PDS_PP_Weights">[21]Control!$D$103</definedName>
    <definedName name="PDS_Q_1">[21]Control!$D$56</definedName>
    <definedName name="PDS_Summ_Type">#REF!</definedName>
    <definedName name="PDS_WeightSpecial_1">[21]Control!$D$98</definedName>
    <definedName name="PDS_WeightVA_1">[21]Control!$D$99</definedName>
    <definedName name="Pension_Repricing_Factor">'[10]Inputs for SWGE Forecasting'!#REF!</definedName>
    <definedName name="pep_e">'[18]Planning, Housing &amp; Regen(cld)'!#REF!</definedName>
    <definedName name="pep_fye">'[18]Planning, Housing &amp; Regen(cld)'!#REF!</definedName>
    <definedName name="pep_ri">'[18]Planning, Housing &amp; Regen(cld)'!#REF!</definedName>
    <definedName name="PFI_Total">#REF!</definedName>
    <definedName name="Phase_Weight_P16">[21]Control!$G$22</definedName>
    <definedName name="Phase_Weight_P16_Br">[21]Control!$I$22</definedName>
    <definedName name="Phase_Weight_Pr">[21]Control!$G$19</definedName>
    <definedName name="Phase_Weight_Pr_B">[21]Control!$I$19</definedName>
    <definedName name="Phase_Weight_Sec">[21]Control!$G$20</definedName>
    <definedName name="Phase_Weight_Sec_Br">[21]Control!$I$20</definedName>
    <definedName name="Phase_Weight_Sp">[21]Control!$G$21</definedName>
    <definedName name="Phase_Weight_Sp_Br">[21]Control!$I$21</definedName>
    <definedName name="PhaseTot">#REF!,#REF!,#REF!,#REF!</definedName>
    <definedName name="PhaseTot_1">#REF!</definedName>
    <definedName name="PhaseTot_2">#REF!</definedName>
    <definedName name="PhaseTot_3">#REF!</definedName>
    <definedName name="PhaseTot_4">#REF!</definedName>
    <definedName name="Places1516">#REF!</definedName>
    <definedName name="plus5.income">#REF!</definedName>
    <definedName name="plus5.julypay">#REF!</definedName>
    <definedName name="plus5.netexpend">#REF!</definedName>
    <definedName name="plus5.novpay">#REF!</definedName>
    <definedName name="plus5.othercosts">#REF!</definedName>
    <definedName name="plus5.pups">'[9]Inputs for SWGE Forecasting'!$B$147:$H$147</definedName>
    <definedName name="plus5.teaching">#REF!</definedName>
    <definedName name="PMDTot">#REF!</definedName>
    <definedName name="PMLD_Alt">[17]Classifications!$O$22</definedName>
    <definedName name="pmrow">#REF!</definedName>
    <definedName name="Post_16">#REF!</definedName>
    <definedName name="Post_LAC_premium">[19]Policy_decisions!$C$7</definedName>
    <definedName name="PP_LocationFactor_1">[21]Control!$D$87</definedName>
    <definedName name="PP_LS_1">[21]Control!$D$85</definedName>
    <definedName name="PP_PhaseWeight_1">[21]Control!$D$86</definedName>
    <definedName name="PP_Unit_1">[21]Control!$D$90</definedName>
    <definedName name="PPMDP">#REF!</definedName>
    <definedName name="PPMDS">#REF!</definedName>
    <definedName name="PPN">#REF!</definedName>
    <definedName name="PPP">#REF!</definedName>
    <definedName name="PPS">#REF!</definedName>
    <definedName name="PPSP">#REF!</definedName>
    <definedName name="PRC">#REF!</definedName>
    <definedName name="prc.prim">'[14]Split Under Fives from Primary'!#REF!</definedName>
    <definedName name="prc.sec">'[9]Secondary Forecasting'!#REF!</definedName>
    <definedName name="prcprop">'[9]Secondary Forecasting'!#REF!</definedName>
    <definedName name="Pri_distance_threshold">[8]Proforma!$D$46</definedName>
    <definedName name="Pri_PupilNo_threshold">[8]Proforma!$G$46</definedName>
    <definedName name="prim.average.sal">'[9]Inputs for SWGE Forecasting'!#REF!</definedName>
    <definedName name="prim.bdg.index">'[14]Split Under Fives from Primary'!#REF!</definedName>
    <definedName name="prim.enhancement">'[10]Inputs for SWGE Forecasting'!#REF!</definedName>
    <definedName name="prim.entitlement">'[10]Inputs for SWGE Forecasting'!#REF!</definedName>
    <definedName name="prim.mortality">'[10]Inputs for SWGE Forecasting'!#REF!</definedName>
    <definedName name="prim.net.expend">'[14]Split Under Fives from Primary'!#REF!</definedName>
    <definedName name="prim.nontea.adj">'[9]Inputs for SWGE Forecasting'!$C$135:$H$135</definedName>
    <definedName name="prim.prc.nos">'[10]Inputs for SWGE Forecasting'!#REF!</definedName>
    <definedName name="prim.redundancy">'[10]Inputs for SWGE Forecasting'!#REF!</definedName>
    <definedName name="prim.reprice.ind">'[9]Calculation of Repricing Factor'!$K$240:$P$240</definedName>
    <definedName name="prim.salary.drift">'[14]Split Under Fives from Primary'!#REF!</definedName>
    <definedName name="prim.sect.adj">'[9]Inputs for SWGE Forecasting'!#REF!</definedName>
    <definedName name="prim.subtotal">'[14]Split Under Fives from Primary'!#REF!</definedName>
    <definedName name="prim.total.retirees">'[10]Inputs for SWGE Forecasting'!#REF!</definedName>
    <definedName name="prim_rows">#REF!</definedName>
    <definedName name="primary">#REF!,#REF!,#REF!,#REF!,#REF!</definedName>
    <definedName name="primary.final.total">'[14]Split Under Fives from Primary'!#REF!</definedName>
    <definedName name="primary.prc.costs">'[10]PRC Repricing Factor'!#REF!</definedName>
    <definedName name="primary.prc.index">'[10]PRC Repricing Factor'!#REF!</definedName>
    <definedName name="Primary_Lump_sum">[8]Proforma!$F$43</definedName>
    <definedName name="Primary_new">#REF!</definedName>
    <definedName name="primaryprctotal">'[14]Split Under Fives from Primary'!#REF!</definedName>
    <definedName name="primbldg.in">'[9]Inputs for SWGE Forecasting'!$C$160:$H$160</definedName>
    <definedName name="primbldg.out">'[9]Inputs for SWGE Forecasting'!$C$161:$H$161</definedName>
    <definedName name="primPRC">'[9]Inputs for SWGE Forecasting'!#REF!</definedName>
    <definedName name="primteas">'[9]Inputs for SWGE Forecasting'!$B$139:$H$139</definedName>
    <definedName name="proportion.PRC.second">'[9]Secondary Forecasting'!#REF!</definedName>
    <definedName name="Prorata">[55]EarlyYears!$R$9</definedName>
    <definedName name="Provider_List">'[56]Provider Listing'!$A$2:$A$411</definedName>
    <definedName name="Provider_Table">'[56]Provider Listing'!$A$2:$B$411</definedName>
    <definedName name="Prow">#REF!</definedName>
    <definedName name="PS_Rows">#REF!</definedName>
    <definedName name="PSBP2_Switch">[21]Control!$D$70</definedName>
    <definedName name="pup">#REF!</definedName>
    <definedName name="pupeq">'[11]Grant 1.2'!$K$5</definedName>
    <definedName name="pupf">'[11]Grant 1.2'!$K$1</definedName>
    <definedName name="Pupil">'[57]Pupil Numbers'!#REF!</definedName>
    <definedName name="pupil.support.expend">#REF!</definedName>
    <definedName name="pupil.support.income">#REF!</definedName>
    <definedName name="Pupil_numbers">#REF!</definedName>
    <definedName name="PUPIL_SUPPORT">#REF!</definedName>
    <definedName name="Pupils">[58]MFGreport!#REF!</definedName>
    <definedName name="PupPre">#REF!</definedName>
    <definedName name="PVI">#REF!</definedName>
    <definedName name="Qdate">[17]data!$B$3</definedName>
    <definedName name="qpupiltotal">#REF!</definedName>
    <definedName name="QShortname">[17]Submit!$F$18</definedName>
    <definedName name="r_ri">'[18]Resources Fwd Plan'!#REF!</definedName>
    <definedName name="r_sd">#REF!</definedName>
    <definedName name="RATES">'[59]Total Exclus 2013-14'!$T$5:$Z$6</definedName>
    <definedName name="Rates_Total">#REF!</definedName>
    <definedName name="Reasons_list">'[8]Inputs &amp; Adjustments'!$DC$6:$DC$13</definedName>
    <definedName name="Rec_Up">#REF!</definedName>
    <definedName name="Reception_Uplift_YesNo">[8]Proforma!$E$12</definedName>
    <definedName name="Reference">#REF!</definedName>
    <definedName name="Release">[37]Home!$H$11</definedName>
    <definedName name="REM">'[11]Grant 1.2'!$I$5</definedName>
    <definedName name="Repnum">[4]Choose!$F$16</definedName>
    <definedName name="rising5.income">#REF!</definedName>
    <definedName name="rising5.julypay">#REF!</definedName>
    <definedName name="rising5.netexpend">#REF!</definedName>
    <definedName name="rising5.novpay">#REF!</definedName>
    <definedName name="rising5.othercosts">#REF!</definedName>
    <definedName name="rising5.pups">'[9]Inputs for SWGE Forecasting'!$B$146:$H$146</definedName>
    <definedName name="rising5.teaching">#REF!</definedName>
    <definedName name="risk_ass">#REF!</definedName>
    <definedName name="risk_cec">#REF!</definedName>
    <definedName name="risk_cexp">#REF!</definedName>
    <definedName name="risk_cs">#REF!</definedName>
    <definedName name="risk_et">#REF!</definedName>
    <definedName name="risk_gov">#REF!</definedName>
    <definedName name="risk_hra">#REF!</definedName>
    <definedName name="risk_hsg">#REF!</definedName>
    <definedName name="risk_pep">#REF!</definedName>
    <definedName name="risk_r">#REF!</definedName>
    <definedName name="risk_sd">#REF!</definedName>
    <definedName name="risk_speg">#REF!</definedName>
    <definedName name="RorTot_2">#REF!</definedName>
    <definedName name="RorTot1">#REF!</definedName>
    <definedName name="rownames">#REF!</definedName>
    <definedName name="RowTot">#REF!</definedName>
    <definedName name="RowTot_1">#REF!</definedName>
    <definedName name="RowTot_16">#REF!</definedName>
    <definedName name="RowTot_17">#REF!</definedName>
    <definedName name="RowTot_2">#REF!</definedName>
    <definedName name="RowTot_3">#REF!</definedName>
    <definedName name="RowTot_4">#REF!</definedName>
    <definedName name="RowTot_5">#REF!</definedName>
    <definedName name="RowTot_6">#REF!</definedName>
    <definedName name="Run">[4]Choose!$A$14</definedName>
    <definedName name="SAP">'[37]HighNeeds Orig'!$A$15</definedName>
    <definedName name="SC_premium">[19]Policy_decisions!$C$8</definedName>
    <definedName name="Scale_factor">#REF!</definedName>
    <definedName name="Scaling_Factor">[8]Proforma!$G$72</definedName>
    <definedName name="ScalingFactor">[31]UserInterface!$C$6</definedName>
    <definedName name="ScalingFactor_GoalSeek">[43]AdjustScaling!$C$6</definedName>
    <definedName name="sch">[12]Payments!$I$29</definedName>
    <definedName name="Sch_type">[60]Rates!$A$4:$A$8</definedName>
    <definedName name="SchName">[4]Choose!$J$16</definedName>
    <definedName name="schno">[25]Pupils!$Q$19</definedName>
    <definedName name="School">[61]Home!$F$15</definedName>
    <definedName name="School_list">#REF!</definedName>
    <definedName name="school_Note">#REF!</definedName>
    <definedName name="SCHOOL_TRANSPORT">#REF!</definedName>
    <definedName name="School_URN_ChartData">#REF!</definedName>
    <definedName name="School_URN_DD">'[15]G) De Delegation'!#REF!</definedName>
    <definedName name="School_URN_Factors">[16]Factors!$A$3:$A$109</definedName>
    <definedName name="School_URN_Input">#REF!</definedName>
    <definedName name="School_URN_NDShare">'[15]F) New Delegation Control'!#REF!</definedName>
    <definedName name="SchoolOutput_baselineSelector">'[62]SCHOOL OUTPUT'!$AH$4</definedName>
    <definedName name="SchoolOutput_deflateByACA">'[62]SCHOOL OUTPUT'!$AO$4</definedName>
    <definedName name="SchoolOutput_includeCR">'[62]SCHOOL OUTPUT'!$AK$4</definedName>
    <definedName name="Schools">#REF!</definedName>
    <definedName name="Schoolsblock">[23]Schools!$C$11:$AZ$22</definedName>
    <definedName name="SchRow_Tot">#REF!</definedName>
    <definedName name="SchRowTot">#REF!</definedName>
    <definedName name="SchTypeList">[39]CodeSet!$C$1:$C$10</definedName>
    <definedName name="sd_e">#REF!</definedName>
    <definedName name="sd_fye">#REF!</definedName>
    <definedName name="sd_p">#REF!</definedName>
    <definedName name="sd_r">#REF!</definedName>
    <definedName name="sd_ri">#REF!</definedName>
    <definedName name="sdfye">#REF!</definedName>
    <definedName name="sec.average.sal">'[10]Inputs for SWGE Forecasting'!#REF!</definedName>
    <definedName name="sec.enhancement">'[10]Inputs for SWGE Forecasting'!#REF!</definedName>
    <definedName name="sec.entitlement">'[10]Inputs for SWGE Forecasting'!#REF!</definedName>
    <definedName name="sec.mortality">'[10]Inputs for SWGE Forecasting'!#REF!</definedName>
    <definedName name="sec.other.nonpay">#REF!</definedName>
    <definedName name="SEC.PRC">'[9]Inputs for SWGE Forecasting'!#REF!</definedName>
    <definedName name="sec.prc.nos">'[10]Inputs for SWGE Forecasting'!#REF!</definedName>
    <definedName name="sec.redundancy">'[10]Inputs for SWGE Forecasting'!#REF!</definedName>
    <definedName name="sec.sect.adj">'[9]Inputs for SWGE Forecasting'!#REF!</definedName>
    <definedName name="sec.total.retirees">'[10]Inputs for SWGE Forecasting'!#REF!</definedName>
    <definedName name="Sec_distance_threshold">[8]Proforma!$D$47</definedName>
    <definedName name="Sec_PupilNo_threshold">[8]Proforma!$G$47</definedName>
    <definedName name="sec_rows">#REF!</definedName>
    <definedName name="second.fees.cost">#REF!</definedName>
    <definedName name="second.subtotal">#REF!</definedName>
    <definedName name="secondary">#REF!,#REF!,#REF!</definedName>
    <definedName name="secondary.prc.costs">'[10]PRC Repricing Factor'!#REF!</definedName>
    <definedName name="secondary.prc.index">'[10]PRC Repricing Factor'!#REF!</definedName>
    <definedName name="Secondary_Lump_Sum">[8]Proforma!$G$43</definedName>
    <definedName name="Secondary_new">#REF!</definedName>
    <definedName name="SEN_CC_Table">[38]Coding!$A$4:$B$17</definedName>
    <definedName name="sep">[12]TRANS!#REF!</definedName>
    <definedName name="September">[12]TRANS!#REF!</definedName>
    <definedName name="Setting">#REF!</definedName>
    <definedName name="Settings">#REF!</definedName>
    <definedName name="sheet">#REF!</definedName>
    <definedName name="Sixth_Form_Total">'[46]New ISB'!$AI$5</definedName>
    <definedName name="SIXTHFORM">#REF!</definedName>
    <definedName name="SLASC">#REF!</definedName>
    <definedName name="SLCN_Alt">[17]Classifications!$O$30</definedName>
    <definedName name="SLD_Alt">[17]Classifications!$O$21</definedName>
    <definedName name="SMDTot">#REF!</definedName>
    <definedName name="smrow">#REF!</definedName>
    <definedName name="SP_Rows">#REF!</definedName>
    <definedName name="Sparsity_All_lump_sum">[8]Proforma!$I$44</definedName>
    <definedName name="Sparsity_Mid_lump_sum">[8]Proforma!$H$44</definedName>
    <definedName name="Sparsity_Pri_DD_percentage">'[8]De Delegation'!$X$26</definedName>
    <definedName name="Sparsity_Pri_lump_sum">[8]Proforma!$F$44</definedName>
    <definedName name="Sparsity_Pri_Scaled">[20]UnitValues!$E$32</definedName>
    <definedName name="Sparsity_Scaled">[20]UnitValues!#REF!</definedName>
    <definedName name="Sparsity_Sec_DD_percentage">'[8]De Delegation'!$Y$26</definedName>
    <definedName name="Sparsity_Sec_lump_sum">[8]Proforma!$G$44</definedName>
    <definedName name="Sparsity_Sec_Scaled">[20]UnitValues!$E$33</definedName>
    <definedName name="Sparsity_Total">#REF!</definedName>
    <definedName name="spe_rows">#REF!</definedName>
    <definedName name="spec.average.sal">'[10]Inputs for SWGE Forecasting'!#REF!</definedName>
    <definedName name="spec.enhancement">'[10]Inputs for SWGE Forecasting'!#REF!</definedName>
    <definedName name="spec.entitlement">'[10]Inputs for SWGE Forecasting'!#REF!</definedName>
    <definedName name="spec.mortality">'[10]Inputs for SWGE Forecasting'!#REF!</definedName>
    <definedName name="spec.prc.nos">'[10]Inputs for SWGE Forecasting'!#REF!</definedName>
    <definedName name="spec.redundancy">'[10]Inputs for SWGE Forecasting'!#REF!</definedName>
    <definedName name="spec.sect.adj">'[9]Inputs for SWGE Forecasting'!#REF!</definedName>
    <definedName name="spec.total.retirees">'[10]Inputs for SWGE Forecasting'!#REF!</definedName>
    <definedName name="spechide">#REF!</definedName>
    <definedName name="special">#REF!,#REF!</definedName>
    <definedName name="special.fees.cost">#REF!</definedName>
    <definedName name="special.income.tot">#REF!</definedName>
    <definedName name="special.net.expend">#REF!</definedName>
    <definedName name="special.other.nonpay">#REF!</definedName>
    <definedName name="special.prc.costs">'[10]PRC Repricing Factor'!#REF!</definedName>
    <definedName name="special.prc.index">'[10]PRC Repricing Factor'!#REF!</definedName>
    <definedName name="special.subtotal">#REF!</definedName>
    <definedName name="SPECIAL_FACTOR">'[9]Statemented Adjustment Factor '!#REF!</definedName>
    <definedName name="speg_e">#REF!</definedName>
    <definedName name="speg_fye">#REF!</definedName>
    <definedName name="speg_p">#REF!</definedName>
    <definedName name="speg_r">#REF!</definedName>
    <definedName name="speg_ri">#REF!</definedName>
    <definedName name="SpLD_Alt">[17]Classifications!$O$19</definedName>
    <definedName name="Split_Sites_Total">#REF!</definedName>
    <definedName name="Spring_term_EFA_prop">[19]Policy_decisions!$I$4</definedName>
    <definedName name="SProw">#REF!</definedName>
    <definedName name="SPSS">#REF!</definedName>
    <definedName name="Srow">#REF!</definedName>
    <definedName name="SS_OPT">[21]Control!$F$40</definedName>
    <definedName name="SS_Rows">#REF!</definedName>
    <definedName name="SS_Value">[21]Control!$D$40</definedName>
    <definedName name="SSparWgt_LEA">'[13]03-04 Sparsity'!$G$4</definedName>
    <definedName name="SSparWgt_sch">'[13]03-04 Sparsity'!$E$4</definedName>
    <definedName name="StaffProportion_AllPhases">[53]StaffProportion!$U$20</definedName>
    <definedName name="StaffProportion_PrimSec">[54]StaffProportion!$V$20</definedName>
    <definedName name="Standard">#REF!</definedName>
    <definedName name="start">[24]Summary!$A$4</definedName>
    <definedName name="Start_of_autumn_term_2014">[19]Policy_decisions!$H$5</definedName>
    <definedName name="Start_of_spring_term_2015">[19]Policy_decisions!$H$6</definedName>
    <definedName name="Start_of_summer_term_2014">[19]Policy_decisions!$H$4</definedName>
    <definedName name="StartCol_7">#REF!</definedName>
    <definedName name="StartCol1">#REF!</definedName>
    <definedName name="StartCol10">#REF!</definedName>
    <definedName name="StartCol11">#REF!</definedName>
    <definedName name="StartCol12">#REF!</definedName>
    <definedName name="StartCol13">#REF!</definedName>
    <definedName name="StartCol14">#REF!</definedName>
    <definedName name="StartCol15">#REF!</definedName>
    <definedName name="StartCol16">#REF!</definedName>
    <definedName name="StartCol17">#REF!</definedName>
    <definedName name="StartCol18">#REF!</definedName>
    <definedName name="StartCol19">#REF!</definedName>
    <definedName name="StartCol2">#REF!</definedName>
    <definedName name="StartCol20">#REF!</definedName>
    <definedName name="StartCol3">#REF!</definedName>
    <definedName name="StartCol4">#REF!</definedName>
    <definedName name="StartCol5">#REF!</definedName>
    <definedName name="StartCol6">#REF!</definedName>
    <definedName name="StartCol7">#REF!</definedName>
    <definedName name="StartCol8">#REF!</definedName>
    <definedName name="StartCol9">#REF!</definedName>
    <definedName name="startdfes">#REF!</definedName>
    <definedName name="SUMMARY">#REF!</definedName>
    <definedName name="Summer_term_EFA_prop">[19]Policy_decisions!$I$5</definedName>
    <definedName name="Summer_term_LA_prop">[19]Policy_decisions!$J$5</definedName>
    <definedName name="Swest">'[32]Qtab output'!$B$5,'[32]Qtab output'!$B$27,'[32]Qtab output'!$B$32,'[32]Qtab output'!$B$34,'[32]Qtab output'!$B$43,'[32]Qtab output'!$B$98,'[32]Qtab output'!$B$120</definedName>
    <definedName name="SWGE.years">'[9]Inputs for SWGE Forecasting'!$B$3:$H$3</definedName>
    <definedName name="T_Specialist_Schools_Designated">#REF!</definedName>
    <definedName name="T1_School">#REF!</definedName>
    <definedName name="T1_School_HN">#REF!</definedName>
    <definedName name="T1_Transfer">#REF!</definedName>
    <definedName name="T1Used">'[1]Running info'!#REF!</definedName>
    <definedName name="T2_Notes_Check">#REF!</definedName>
    <definedName name="T4_School">#REF!</definedName>
    <definedName name="table">#REF!</definedName>
    <definedName name="Table_2">#REF!,#REF!,#REF!,#REF!,#REF!,#REF!,#REF!,#REF!,#REF!,#REF!,#REF!</definedName>
    <definedName name="Table2">#REF!,#REF!,#REF!,#REF!,#REF!,#REF!,#REF!</definedName>
    <definedName name="Table2_2">#REF!,#REF!,#REF!,#REF!,#REF!,#REF!,#REF!</definedName>
    <definedName name="Table2_3">#REF!,#REF!,#REF!,#REF!,#REF!,#REF!,#REF!</definedName>
    <definedName name="Table2_4">#REF!</definedName>
    <definedName name="Table2_5">#REF!,#REF!,#REF!,#REF!,#REF!,#REF!</definedName>
    <definedName name="Table20">#REF!,#REF!,#REF!,#REF!,#REF!,#REF!,#REF!</definedName>
    <definedName name="Tapered_all_lump_sum">[8]Proforma!$K$49</definedName>
    <definedName name="Tapered_mid_lump_sum">[8]Proforma!$K$48</definedName>
    <definedName name="Tapered_primary_lump_sum">[8]Proforma!$K$46</definedName>
    <definedName name="Tapered_secondary_lump_sum">[8]Proforma!$K$47</definedName>
    <definedName name="Target.Address">[12]Choose!$D$6</definedName>
    <definedName name="TC.manual.costs">#REF!</definedName>
    <definedName name="TC.nonpay.costs">#REF!</definedName>
    <definedName name="tc.prc.proportion">'[9]Other Forecasting'!#REF!</definedName>
    <definedName name="TC.support.costs">#REF!</definedName>
    <definedName name="TC.teachers.pay">#REF!</definedName>
    <definedName name="TCtotalprc">#REF!</definedName>
    <definedName name="TE_Nursery">#REF!</definedName>
    <definedName name="TE_Primary">#REF!</definedName>
    <definedName name="TE_SecMiddle">#REF!</definedName>
    <definedName name="TE_Secondary">#REF!</definedName>
    <definedName name="TE_Special">#REF!</definedName>
    <definedName name="teach.reprice.sum">'[9]Calculation of Repricing Factor'!$B$348:$G$348</definedName>
    <definedName name="TEACHER_CENTRES">#REF!</definedName>
    <definedName name="Teacher_s_Salary_Repricing_Factor">'[10]Inputs for SWGE Forecasting'!#REF!</definedName>
    <definedName name="TeacherProportion_AllPhases">[53]StaffProportion!$U$16</definedName>
    <definedName name="TeacherProportion_PrimSec">[54]StaffProportion!$V$16</definedName>
    <definedName name="teachpayinc.1">'[9]Inputs for SWGE Forecasting'!#REF!</definedName>
    <definedName name="TEST0">#REF!</definedName>
    <definedName name="TEST1">#REF!</definedName>
    <definedName name="TEST10">#REF!</definedName>
    <definedName name="TEST11">#REF!</definedName>
    <definedName name="TEST12">#REF!</definedName>
    <definedName name="TEST13">#REF!</definedName>
    <definedName name="TEST2">'[63]SAP Download'!#REF!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hisYear">[4]Choose!$E$14</definedName>
    <definedName name="TopLEA">[64]Lookups!$B$3</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pRow_1">#REF!</definedName>
    <definedName name="TopRow_16">#REF!</definedName>
    <definedName name="TopRow_17">#REF!</definedName>
    <definedName name="TopRow_2">#REF!</definedName>
    <definedName name="TopRow_3">#REF!</definedName>
    <definedName name="TopRow_4">#REF!</definedName>
    <definedName name="TopRow_5">#REF!</definedName>
    <definedName name="TopRow_6">#REF!</definedName>
    <definedName name="TopRowPri">#REF!</definedName>
    <definedName name="tot.spec.recoupment">#REF!</definedName>
    <definedName name="tot_1">#REF!</definedName>
    <definedName name="tot_2">#REF!</definedName>
    <definedName name="tot_3">#REF!</definedName>
    <definedName name="tot_4">#REF!</definedName>
    <definedName name="tot_5">#REF!</definedName>
    <definedName name="tot_6">#REF!</definedName>
    <definedName name="total.PRC">'[9]Secondary Forecasting'!#REF!</definedName>
    <definedName name="Total_1314_Quantum">#REF!</definedName>
    <definedName name="Total_ACA_inflated_Ever6_Jan12_pupils">#REF!</definedName>
    <definedName name="Total_ACA_inflated_Jan12_pupils">#REF!</definedName>
    <definedName name="Total_DFC">'[65]DFC filter'!$D$11</definedName>
    <definedName name="Total_Ever6_Jan12_pupils">#REF!</definedName>
    <definedName name="Total_Inflated_pupil_numbers">#REF!</definedName>
    <definedName name="Total_Jan12_Inflated_pupils">#REF!</definedName>
    <definedName name="Total_Jan12_pupils">#REF!</definedName>
    <definedName name="Total_Notional_SEN">#REF!</definedName>
    <definedName name="Total_Primary_funding">#REF!</definedName>
    <definedName name="Total_Secondary_Funding">#REF!</definedName>
    <definedName name="TotalBudget_1">[21]Control!$D$38</definedName>
    <definedName name="TotalRow_1">#REF!</definedName>
    <definedName name="TotalRow_2">#REF!</definedName>
    <definedName name="TotalRow_3">#REF!</definedName>
    <definedName name="TotalRow_4">#REF!</definedName>
    <definedName name="TotalRow_5">#REF!</definedName>
    <definedName name="totalspecprc">#REF!</definedName>
    <definedName name="totprc">'[9]Special Forecasting'!#REF!</definedName>
    <definedName name="totprim.pups">'[9]Inputs for SWGE Forecasting'!$B$148:$H$148</definedName>
    <definedName name="Transactions">[66]trans!$C$5639</definedName>
    <definedName name="TRANSPORT">'[9]Other Forecasting'!#REF!</definedName>
    <definedName name="transport.5plus">'[14]Split Under Fives from Primary'!#REF!</definedName>
    <definedName name="transport.nurs.classes">'[14]Split Under Fives from Primary'!#REF!</definedName>
    <definedName name="transport.nurs.pups">'[14]Split Under Fives from Primary'!#REF!</definedName>
    <definedName name="transport.otheru5">'[14]Split Under Fives from Primary'!#REF!</definedName>
    <definedName name="transport.rising5">'[14]Split Under Fives from Primary'!#REF!</definedName>
    <definedName name="TS_Nursery">#REF!</definedName>
    <definedName name="TS_Primary">#REF!</definedName>
    <definedName name="TS_PriMiddle">#REF!</definedName>
    <definedName name="TS_SecMiddle">#REF!</definedName>
    <definedName name="TS_Secondary">#REF!</definedName>
    <definedName name="TS_Special">#REF!</definedName>
    <definedName name="TVEI">'[9]Inputs for SWGE Forecasting'!#REF!</definedName>
    <definedName name="TVEI.income">'[9]Secondary Forecasting'!#REF!</definedName>
    <definedName name="unitvalues">#REF!</definedName>
    <definedName name="Upper">#REF!</definedName>
    <definedName name="URN">#REF!</definedName>
    <definedName name="VA_Weight">[21]Control!$I$26</definedName>
    <definedName name="VENDORNO">#REF!</definedName>
    <definedName name="Ver">[4]Choose!$B$14</definedName>
    <definedName name="Version">[12]Home!$M$16</definedName>
    <definedName name="Version2">[12]Home!$M$16</definedName>
    <definedName name="VI_Alt">[17]Classifications!$O$35</definedName>
    <definedName name="weekending">[67]weeks!$F$4:$G$62</definedName>
    <definedName name="Wmidlands">'[32]Qtab output'!$B$12,'[32]Qtab output'!$B$28,'[32]Qtab output'!$B$35,'[32]Qtab output'!$B$93,'[32]Qtab output'!$B$113,'[32]Qtab output'!$B$122,'[32]Qtab output'!$B$53,'[32]Qtab output'!$B$96:$B$97,'[32]Qtab output'!$B$103,'[32]Qtab output'!$B$116</definedName>
    <definedName name="X_Label">#REF!</definedName>
    <definedName name="XAxis">#REF!</definedName>
    <definedName name="Y_Label">#REF!</definedName>
    <definedName name="YAxis">#REF!</definedName>
    <definedName name="Year">[17]data!$B$2</definedName>
    <definedName name="Year_End">'[38]Holidays &amp; Term Dates'!$O$2</definedName>
    <definedName name="Year_Start">'[38]Holidays &amp; Term Dates'!$M$2</definedName>
    <definedName name="year02">[24]Howto!$B$8</definedName>
    <definedName name="Year1">[24]Howto!$B$7</definedName>
    <definedName name="YearBudget_1">[21]Control!#REF!</definedName>
    <definedName name="Yorkshumb">'[32]Qtab output'!$B$8,'[32]Qtab output'!$B$33,'[32]Qtab output'!$B$91,'[32]Qtab output'!$B$95,'[32]Qtab output'!$B$14,'[32]Qtab output'!$B$19,'[32]Qtab output'!$B$65,'[32]Qtab output'!$B$69,'[32]Qtab output'!$B$112,'[32]Qtab output'!$B$57,'[32]Qtab output'!$B$81</definedName>
    <definedName name="YOUTH">#REF!</definedName>
    <definedName name="youth.manual.costs">#REF!</definedName>
    <definedName name="youth.net.expend">#REF!</definedName>
    <definedName name="youth.nonpay.costs">#REF!</definedName>
    <definedName name="youth.otherapril.costs">#REF!</definedName>
    <definedName name="youth.PRC">'[9]Other Forecasting'!#REF!</definedName>
    <definedName name="youth.support.costs">#REF!</definedName>
    <definedName name="youth.teachers.pay">#REF!</definedName>
    <definedName name="youthtotalprc">#REF!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4" l="1"/>
  <c r="G10" i="14"/>
  <c r="ED105" i="3"/>
  <c r="EC105" i="3"/>
  <c r="BG105" i="3"/>
  <c r="BI105" i="3"/>
  <c r="BF89" i="3"/>
  <c r="CO88" i="62"/>
  <c r="Q88" i="62"/>
  <c r="BF105" i="3" s="1"/>
  <c r="R88" i="62"/>
  <c r="S88" i="62"/>
  <c r="CX5" i="62"/>
  <c r="AS4" i="3" l="1"/>
  <c r="AT4" i="3"/>
  <c r="AU4" i="3"/>
  <c r="AV4" i="3"/>
  <c r="AW4" i="3"/>
  <c r="AX4" i="3"/>
  <c r="AY4" i="3"/>
  <c r="AZ4" i="3"/>
  <c r="BA4" i="3"/>
  <c r="BB4" i="3"/>
  <c r="AS5" i="3"/>
  <c r="AT5" i="3"/>
  <c r="AU5" i="3"/>
  <c r="AV5" i="3"/>
  <c r="AW5" i="3"/>
  <c r="AX5" i="3"/>
  <c r="AY5" i="3"/>
  <c r="AZ5" i="3"/>
  <c r="BA5" i="3"/>
  <c r="BB5" i="3"/>
  <c r="AS6" i="3"/>
  <c r="AT6" i="3"/>
  <c r="AU6" i="3"/>
  <c r="AV6" i="3"/>
  <c r="AW6" i="3"/>
  <c r="AX6" i="3"/>
  <c r="AY6" i="3"/>
  <c r="AZ6" i="3"/>
  <c r="BA6" i="3"/>
  <c r="BB6" i="3"/>
  <c r="AS7" i="3"/>
  <c r="AT7" i="3"/>
  <c r="AU7" i="3"/>
  <c r="AV7" i="3"/>
  <c r="AW7" i="3"/>
  <c r="AX7" i="3"/>
  <c r="AY7" i="3"/>
  <c r="AZ7" i="3"/>
  <c r="BA7" i="3"/>
  <c r="BB7" i="3"/>
  <c r="AR5" i="3"/>
  <c r="AR6" i="3"/>
  <c r="AR7" i="3"/>
  <c r="AR4" i="3"/>
  <c r="AS93" i="3"/>
  <c r="AT93" i="3"/>
  <c r="AU93" i="3"/>
  <c r="AV93" i="3"/>
  <c r="AW93" i="3"/>
  <c r="AX93" i="3"/>
  <c r="AY93" i="3"/>
  <c r="AZ93" i="3"/>
  <c r="BA93" i="3"/>
  <c r="BB93" i="3"/>
  <c r="AS94" i="3"/>
  <c r="AT94" i="3"/>
  <c r="AU94" i="3"/>
  <c r="AV94" i="3"/>
  <c r="AW94" i="3"/>
  <c r="AX94" i="3"/>
  <c r="AY94" i="3"/>
  <c r="AZ94" i="3"/>
  <c r="BA94" i="3"/>
  <c r="BB94" i="3"/>
  <c r="AR94" i="3"/>
  <c r="AR93" i="3"/>
  <c r="AS89" i="3"/>
  <c r="AT89" i="3"/>
  <c r="AU89" i="3"/>
  <c r="AV89" i="3"/>
  <c r="AW89" i="3"/>
  <c r="AX89" i="3"/>
  <c r="AY89" i="3"/>
  <c r="AZ89" i="3"/>
  <c r="BA89" i="3"/>
  <c r="BB89" i="3"/>
  <c r="AS90" i="3"/>
  <c r="AT90" i="3"/>
  <c r="AU90" i="3"/>
  <c r="AV90" i="3"/>
  <c r="AW90" i="3"/>
  <c r="AX90" i="3"/>
  <c r="AY90" i="3"/>
  <c r="AZ90" i="3"/>
  <c r="BA90" i="3"/>
  <c r="BB90" i="3"/>
  <c r="AS91" i="3"/>
  <c r="AT91" i="3"/>
  <c r="AU91" i="3"/>
  <c r="AV91" i="3"/>
  <c r="AW91" i="3"/>
  <c r="AX91" i="3"/>
  <c r="AY91" i="3"/>
  <c r="AZ91" i="3"/>
  <c r="BA91" i="3"/>
  <c r="BB91" i="3"/>
  <c r="AR90" i="3"/>
  <c r="AR91" i="3"/>
  <c r="AR89" i="3"/>
  <c r="AS82" i="3"/>
  <c r="AT82" i="3"/>
  <c r="AU82" i="3"/>
  <c r="AV82" i="3"/>
  <c r="AW82" i="3"/>
  <c r="AX82" i="3"/>
  <c r="AY82" i="3"/>
  <c r="AZ82" i="3"/>
  <c r="BA82" i="3"/>
  <c r="BB82" i="3"/>
  <c r="AS83" i="3"/>
  <c r="AT83" i="3"/>
  <c r="AU83" i="3"/>
  <c r="AV83" i="3"/>
  <c r="AW83" i="3"/>
  <c r="AX83" i="3"/>
  <c r="AY83" i="3"/>
  <c r="AZ83" i="3"/>
  <c r="BA83" i="3"/>
  <c r="BB83" i="3"/>
  <c r="AS84" i="3"/>
  <c r="AT84" i="3"/>
  <c r="AU84" i="3"/>
  <c r="AV84" i="3"/>
  <c r="AW84" i="3"/>
  <c r="AX84" i="3"/>
  <c r="AY84" i="3"/>
  <c r="AZ84" i="3"/>
  <c r="BA84" i="3"/>
  <c r="BB84" i="3"/>
  <c r="AS85" i="3"/>
  <c r="AT85" i="3"/>
  <c r="AU85" i="3"/>
  <c r="AV85" i="3"/>
  <c r="AW85" i="3"/>
  <c r="AX85" i="3"/>
  <c r="AY85" i="3"/>
  <c r="AZ85" i="3"/>
  <c r="BA85" i="3"/>
  <c r="BB85" i="3"/>
  <c r="AS86" i="3"/>
  <c r="AT86" i="3"/>
  <c r="AU86" i="3"/>
  <c r="AV86" i="3"/>
  <c r="AW86" i="3"/>
  <c r="AX86" i="3"/>
  <c r="AY86" i="3"/>
  <c r="AZ86" i="3"/>
  <c r="BA86" i="3"/>
  <c r="BB86" i="3"/>
  <c r="AS87" i="3"/>
  <c r="AT87" i="3"/>
  <c r="AU87" i="3"/>
  <c r="AV87" i="3"/>
  <c r="AW87" i="3"/>
  <c r="AX87" i="3"/>
  <c r="AY87" i="3"/>
  <c r="AZ87" i="3"/>
  <c r="BA87" i="3"/>
  <c r="BB87" i="3"/>
  <c r="AR83" i="3"/>
  <c r="AR84" i="3"/>
  <c r="AR85" i="3"/>
  <c r="AR86" i="3"/>
  <c r="AR87" i="3"/>
  <c r="AR82" i="3"/>
  <c r="AS80" i="3"/>
  <c r="AT80" i="3"/>
  <c r="AU80" i="3"/>
  <c r="AV80" i="3"/>
  <c r="AW80" i="3"/>
  <c r="AX80" i="3"/>
  <c r="AY80" i="3"/>
  <c r="AZ80" i="3"/>
  <c r="BA80" i="3"/>
  <c r="BB80" i="3"/>
  <c r="AR80" i="3"/>
  <c r="AQ80" i="3"/>
  <c r="AQ94" i="3"/>
  <c r="AQ93" i="3"/>
  <c r="AQ90" i="3"/>
  <c r="AQ91" i="3"/>
  <c r="AQ89" i="3"/>
  <c r="AQ83" i="3"/>
  <c r="AQ84" i="3"/>
  <c r="AQ85" i="3"/>
  <c r="AQ86" i="3"/>
  <c r="AQ87" i="3"/>
  <c r="AQ82" i="3"/>
  <c r="AQ5" i="3"/>
  <c r="AQ6" i="3"/>
  <c r="AQ7" i="3"/>
  <c r="AQ4" i="3"/>
  <c r="AO5" i="3"/>
  <c r="AO4" i="3"/>
  <c r="AP5" i="3"/>
  <c r="AP6" i="3"/>
  <c r="AP7" i="3"/>
  <c r="AP4" i="3"/>
  <c r="AP94" i="3"/>
  <c r="AP93" i="3"/>
  <c r="AP90" i="3"/>
  <c r="AP91" i="3"/>
  <c r="AP89" i="3"/>
  <c r="AP83" i="3"/>
  <c r="AP84" i="3"/>
  <c r="AP85" i="3"/>
  <c r="AP86" i="3"/>
  <c r="AP87" i="3"/>
  <c r="AP82" i="3"/>
  <c r="AP80"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P37" i="3"/>
  <c r="AP38" i="3"/>
  <c r="AP39" i="3"/>
  <c r="AP40" i="3"/>
  <c r="AP41" i="3"/>
  <c r="AP42" i="3"/>
  <c r="AP43" i="3"/>
  <c r="AP44" i="3"/>
  <c r="AP45" i="3"/>
  <c r="AP46" i="3"/>
  <c r="AP47" i="3"/>
  <c r="AP48" i="3"/>
  <c r="AP49" i="3"/>
  <c r="AP50" i="3"/>
  <c r="AP51" i="3"/>
  <c r="AP52" i="3"/>
  <c r="AP53" i="3"/>
  <c r="AP54" i="3"/>
  <c r="AP55" i="3"/>
  <c r="AP56" i="3"/>
  <c r="AP57" i="3"/>
  <c r="AP58" i="3"/>
  <c r="AP59" i="3"/>
  <c r="AP60" i="3"/>
  <c r="AP61" i="3"/>
  <c r="AP62" i="3"/>
  <c r="AP63" i="3"/>
  <c r="AP64" i="3"/>
  <c r="AP65" i="3"/>
  <c r="AP66" i="3"/>
  <c r="AP67" i="3"/>
  <c r="AP68" i="3"/>
  <c r="AP69" i="3"/>
  <c r="AP70" i="3"/>
  <c r="AP71" i="3"/>
  <c r="AP72" i="3"/>
  <c r="AP73" i="3"/>
  <c r="AP74" i="3"/>
  <c r="AP75" i="3"/>
  <c r="AP76" i="3"/>
  <c r="AP77" i="3"/>
  <c r="AP78" i="3"/>
  <c r="ED94" i="3"/>
  <c r="ED93" i="3"/>
  <c r="ED90" i="3"/>
  <c r="ED91" i="3"/>
  <c r="ED89" i="3"/>
  <c r="ED83" i="3"/>
  <c r="ED84" i="3"/>
  <c r="ED85" i="3"/>
  <c r="ED86" i="3"/>
  <c r="ED87" i="3"/>
  <c r="ED82" i="3"/>
  <c r="ED80" i="3"/>
  <c r="ED10" i="3"/>
  <c r="ED11" i="3"/>
  <c r="ED12" i="3"/>
  <c r="ED13" i="3"/>
  <c r="ED14" i="3"/>
  <c r="ED15" i="3"/>
  <c r="ED16" i="3"/>
  <c r="ED17" i="3"/>
  <c r="ED18" i="3"/>
  <c r="ED19" i="3"/>
  <c r="ED20" i="3"/>
  <c r="ED21" i="3"/>
  <c r="ED22" i="3"/>
  <c r="ED23" i="3"/>
  <c r="ED24" i="3"/>
  <c r="ED25" i="3"/>
  <c r="ED26" i="3"/>
  <c r="ED27" i="3"/>
  <c r="ED28" i="3"/>
  <c r="ED29" i="3"/>
  <c r="ED30" i="3"/>
  <c r="ED31" i="3"/>
  <c r="ED32" i="3"/>
  <c r="ED33" i="3"/>
  <c r="ED34" i="3"/>
  <c r="ED35" i="3"/>
  <c r="ED36" i="3"/>
  <c r="ED37" i="3"/>
  <c r="ED38" i="3"/>
  <c r="ED39" i="3"/>
  <c r="ED40" i="3"/>
  <c r="ED41" i="3"/>
  <c r="ED42" i="3"/>
  <c r="ED43" i="3"/>
  <c r="ED44" i="3"/>
  <c r="ED45" i="3"/>
  <c r="ED46" i="3"/>
  <c r="ED47" i="3"/>
  <c r="ED48" i="3"/>
  <c r="ED49" i="3"/>
  <c r="ED50" i="3"/>
  <c r="ED51" i="3"/>
  <c r="ED52" i="3"/>
  <c r="ED53" i="3"/>
  <c r="ED54" i="3"/>
  <c r="ED55" i="3"/>
  <c r="ED56" i="3"/>
  <c r="ED57" i="3"/>
  <c r="ED58" i="3"/>
  <c r="ED59" i="3"/>
  <c r="ED60" i="3"/>
  <c r="ED61" i="3"/>
  <c r="ED62" i="3"/>
  <c r="ED63" i="3"/>
  <c r="ED64" i="3"/>
  <c r="ED65" i="3"/>
  <c r="ED66" i="3"/>
  <c r="ED67" i="3"/>
  <c r="ED68" i="3"/>
  <c r="ED69" i="3"/>
  <c r="ED70" i="3"/>
  <c r="ED71" i="3"/>
  <c r="ED72" i="3"/>
  <c r="ED73" i="3"/>
  <c r="ED74" i="3"/>
  <c r="ED75" i="3"/>
  <c r="ED76" i="3"/>
  <c r="ED77" i="3"/>
  <c r="ED78" i="3"/>
  <c r="ED9" i="3"/>
  <c r="EC94" i="3"/>
  <c r="EC93" i="3"/>
  <c r="EC90" i="3"/>
  <c r="EC91" i="3"/>
  <c r="EC89" i="3"/>
  <c r="EC83" i="3"/>
  <c r="EC84" i="3"/>
  <c r="EC85" i="3"/>
  <c r="EC86" i="3"/>
  <c r="EC87" i="3"/>
  <c r="EC82" i="3"/>
  <c r="EC80" i="3"/>
  <c r="EC81" i="3" s="1"/>
  <c r="EC10" i="3"/>
  <c r="EC11" i="3"/>
  <c r="EC12" i="3"/>
  <c r="EC13" i="3"/>
  <c r="EC14" i="3"/>
  <c r="EC15" i="3"/>
  <c r="EC16" i="3"/>
  <c r="EC17" i="3"/>
  <c r="EC18" i="3"/>
  <c r="EC19" i="3"/>
  <c r="EC20" i="3"/>
  <c r="EC21" i="3"/>
  <c r="EC22" i="3"/>
  <c r="EC23" i="3"/>
  <c r="EC24" i="3"/>
  <c r="EC25" i="3"/>
  <c r="EC26" i="3"/>
  <c r="EC27" i="3"/>
  <c r="EC28" i="3"/>
  <c r="EC29" i="3"/>
  <c r="EC30" i="3"/>
  <c r="EC31" i="3"/>
  <c r="EC32" i="3"/>
  <c r="EC33" i="3"/>
  <c r="EC34" i="3"/>
  <c r="EC35" i="3"/>
  <c r="EC36" i="3"/>
  <c r="EC37" i="3"/>
  <c r="EC38" i="3"/>
  <c r="EC39" i="3"/>
  <c r="EC40" i="3"/>
  <c r="EC41" i="3"/>
  <c r="EC42" i="3"/>
  <c r="EC43" i="3"/>
  <c r="EC44" i="3"/>
  <c r="EC45" i="3"/>
  <c r="EC46" i="3"/>
  <c r="EC47" i="3"/>
  <c r="EC48" i="3"/>
  <c r="EC49" i="3"/>
  <c r="EC50" i="3"/>
  <c r="EC51" i="3"/>
  <c r="EC52" i="3"/>
  <c r="EC53" i="3"/>
  <c r="EC54" i="3"/>
  <c r="EC55" i="3"/>
  <c r="EC56" i="3"/>
  <c r="EC57" i="3"/>
  <c r="EC58" i="3"/>
  <c r="EC59" i="3"/>
  <c r="EC60" i="3"/>
  <c r="EC61" i="3"/>
  <c r="EC62" i="3"/>
  <c r="EC63" i="3"/>
  <c r="EC64" i="3"/>
  <c r="EC65" i="3"/>
  <c r="EC66" i="3"/>
  <c r="EC67" i="3"/>
  <c r="EC68" i="3"/>
  <c r="EC69" i="3"/>
  <c r="EC70" i="3"/>
  <c r="EC71" i="3"/>
  <c r="EC72" i="3"/>
  <c r="EC73" i="3"/>
  <c r="EC74" i="3"/>
  <c r="EC75" i="3"/>
  <c r="EC76" i="3"/>
  <c r="EC77" i="3"/>
  <c r="EC78" i="3"/>
  <c r="EC9" i="3"/>
  <c r="EB94" i="3"/>
  <c r="EB93" i="3"/>
  <c r="EB90" i="3"/>
  <c r="EB91" i="3"/>
  <c r="EB89" i="3"/>
  <c r="EB83" i="3"/>
  <c r="EB84" i="3"/>
  <c r="EB85" i="3"/>
  <c r="EB86" i="3"/>
  <c r="EB87" i="3"/>
  <c r="EB82" i="3"/>
  <c r="EB80" i="3"/>
  <c r="EB81" i="3" s="1"/>
  <c r="EB10" i="3"/>
  <c r="EB11" i="3"/>
  <c r="EB12" i="3"/>
  <c r="EB13" i="3"/>
  <c r="EB14" i="3"/>
  <c r="EB15" i="3"/>
  <c r="EB16" i="3"/>
  <c r="EB17" i="3"/>
  <c r="EB18" i="3"/>
  <c r="EB19" i="3"/>
  <c r="EB20" i="3"/>
  <c r="EB21" i="3"/>
  <c r="EB22" i="3"/>
  <c r="EB23" i="3"/>
  <c r="EB24" i="3"/>
  <c r="EB25" i="3"/>
  <c r="EB26" i="3"/>
  <c r="EB27" i="3"/>
  <c r="EB28" i="3"/>
  <c r="EB29" i="3"/>
  <c r="EB30" i="3"/>
  <c r="EB31" i="3"/>
  <c r="EB32" i="3"/>
  <c r="EB33" i="3"/>
  <c r="EB34" i="3"/>
  <c r="EB35" i="3"/>
  <c r="EB36" i="3"/>
  <c r="EB37" i="3"/>
  <c r="EB38" i="3"/>
  <c r="EB39" i="3"/>
  <c r="EB40" i="3"/>
  <c r="EB41" i="3"/>
  <c r="EB42" i="3"/>
  <c r="EB43" i="3"/>
  <c r="EB44" i="3"/>
  <c r="EB45" i="3"/>
  <c r="EB46" i="3"/>
  <c r="EB47" i="3"/>
  <c r="EB48" i="3"/>
  <c r="EB49" i="3"/>
  <c r="EB50" i="3"/>
  <c r="EB51" i="3"/>
  <c r="EB52" i="3"/>
  <c r="EB53" i="3"/>
  <c r="EB54" i="3"/>
  <c r="EB55" i="3"/>
  <c r="EB56" i="3"/>
  <c r="EB57" i="3"/>
  <c r="EB58" i="3"/>
  <c r="EB59" i="3"/>
  <c r="EB60" i="3"/>
  <c r="EB61" i="3"/>
  <c r="EB62" i="3"/>
  <c r="EB63" i="3"/>
  <c r="EB64" i="3"/>
  <c r="EB65" i="3"/>
  <c r="EB66" i="3"/>
  <c r="EB67" i="3"/>
  <c r="EB68" i="3"/>
  <c r="EB69" i="3"/>
  <c r="EB70" i="3"/>
  <c r="EB71" i="3"/>
  <c r="EB72" i="3"/>
  <c r="EB73" i="3"/>
  <c r="EB74" i="3"/>
  <c r="EB75" i="3"/>
  <c r="EB76" i="3"/>
  <c r="EB77" i="3"/>
  <c r="EB78" i="3"/>
  <c r="EB9" i="3"/>
  <c r="EC88" i="3" l="1"/>
  <c r="EC79" i="3"/>
  <c r="EC92" i="3"/>
  <c r="EB92" i="3"/>
  <c r="EB88" i="3"/>
  <c r="EB79" i="3"/>
  <c r="AX9" i="3"/>
  <c r="AY9" i="3"/>
  <c r="AZ9" i="3"/>
  <c r="BA9" i="3"/>
  <c r="BB9" i="3"/>
  <c r="AX10" i="3"/>
  <c r="AY10" i="3"/>
  <c r="AZ10" i="3"/>
  <c r="BA10" i="3"/>
  <c r="BB10" i="3"/>
  <c r="AX11" i="3"/>
  <c r="AY11" i="3"/>
  <c r="AZ11" i="3"/>
  <c r="BA11" i="3"/>
  <c r="BB11" i="3"/>
  <c r="AX12" i="3"/>
  <c r="AY12" i="3"/>
  <c r="AZ12" i="3"/>
  <c r="BA12" i="3"/>
  <c r="BB12" i="3"/>
  <c r="AX13" i="3"/>
  <c r="AY13" i="3"/>
  <c r="AZ13" i="3"/>
  <c r="BA13" i="3"/>
  <c r="BB13" i="3"/>
  <c r="AX14" i="3"/>
  <c r="AY14" i="3"/>
  <c r="AZ14" i="3"/>
  <c r="BA14" i="3"/>
  <c r="BB14" i="3"/>
  <c r="AX15" i="3"/>
  <c r="AY15" i="3"/>
  <c r="AZ15" i="3"/>
  <c r="BA15" i="3"/>
  <c r="BB15" i="3"/>
  <c r="AX16" i="3"/>
  <c r="AY16" i="3"/>
  <c r="AZ16" i="3"/>
  <c r="BA16" i="3"/>
  <c r="BB16" i="3"/>
  <c r="AX17" i="3"/>
  <c r="AY17" i="3"/>
  <c r="AZ17" i="3"/>
  <c r="BA17" i="3"/>
  <c r="BB17" i="3"/>
  <c r="AX18" i="3"/>
  <c r="AY18" i="3"/>
  <c r="AZ18" i="3"/>
  <c r="BA18" i="3"/>
  <c r="BB18" i="3"/>
  <c r="AX19" i="3"/>
  <c r="AY19" i="3"/>
  <c r="AZ19" i="3"/>
  <c r="BA19" i="3"/>
  <c r="BB19" i="3"/>
  <c r="AX20" i="3"/>
  <c r="AY20" i="3"/>
  <c r="AZ20" i="3"/>
  <c r="BA20" i="3"/>
  <c r="BB20" i="3"/>
  <c r="AX21" i="3"/>
  <c r="AY21" i="3"/>
  <c r="AZ21" i="3"/>
  <c r="BA21" i="3"/>
  <c r="BB21" i="3"/>
  <c r="AX22" i="3"/>
  <c r="AY22" i="3"/>
  <c r="AZ22" i="3"/>
  <c r="BA22" i="3"/>
  <c r="BB22" i="3"/>
  <c r="AX23" i="3"/>
  <c r="AY23" i="3"/>
  <c r="AZ23" i="3"/>
  <c r="BA23" i="3"/>
  <c r="BB23" i="3"/>
  <c r="AX24" i="3"/>
  <c r="AY24" i="3"/>
  <c r="AZ24" i="3"/>
  <c r="BA24" i="3"/>
  <c r="BB24" i="3"/>
  <c r="AX25" i="3"/>
  <c r="AY25" i="3"/>
  <c r="AZ25" i="3"/>
  <c r="BA25" i="3"/>
  <c r="BB25" i="3"/>
  <c r="AX26" i="3"/>
  <c r="AY26" i="3"/>
  <c r="AZ26" i="3"/>
  <c r="BA26" i="3"/>
  <c r="BB26" i="3"/>
  <c r="AX27" i="3"/>
  <c r="AY27" i="3"/>
  <c r="AZ27" i="3"/>
  <c r="BA27" i="3"/>
  <c r="BB27" i="3"/>
  <c r="AX28" i="3"/>
  <c r="AY28" i="3"/>
  <c r="AZ28" i="3"/>
  <c r="BA28" i="3"/>
  <c r="BB28" i="3"/>
  <c r="AX29" i="3"/>
  <c r="AY29" i="3"/>
  <c r="AZ29" i="3"/>
  <c r="BA29" i="3"/>
  <c r="BB29" i="3"/>
  <c r="AX30" i="3"/>
  <c r="AY30" i="3"/>
  <c r="AZ30" i="3"/>
  <c r="BA30" i="3"/>
  <c r="BB30" i="3"/>
  <c r="AX31" i="3"/>
  <c r="AY31" i="3"/>
  <c r="AZ31" i="3"/>
  <c r="BA31" i="3"/>
  <c r="BB31" i="3"/>
  <c r="AX32" i="3"/>
  <c r="AY32" i="3"/>
  <c r="AZ32" i="3"/>
  <c r="BA32" i="3"/>
  <c r="BB32" i="3"/>
  <c r="AX33" i="3"/>
  <c r="AY33" i="3"/>
  <c r="AZ33" i="3"/>
  <c r="BA33" i="3"/>
  <c r="BB33" i="3"/>
  <c r="AX34" i="3"/>
  <c r="AY34" i="3"/>
  <c r="AZ34" i="3"/>
  <c r="BA34" i="3"/>
  <c r="BB34" i="3"/>
  <c r="AX35" i="3"/>
  <c r="AY35" i="3"/>
  <c r="AZ35" i="3"/>
  <c r="BA35" i="3"/>
  <c r="BB35" i="3"/>
  <c r="AX36" i="3"/>
  <c r="AY36" i="3"/>
  <c r="AZ36" i="3"/>
  <c r="BA36" i="3"/>
  <c r="BB36" i="3"/>
  <c r="AX37" i="3"/>
  <c r="AY37" i="3"/>
  <c r="AZ37" i="3"/>
  <c r="BA37" i="3"/>
  <c r="BB37" i="3"/>
  <c r="AX38" i="3"/>
  <c r="AY38" i="3"/>
  <c r="AZ38" i="3"/>
  <c r="BA38" i="3"/>
  <c r="BB38" i="3"/>
  <c r="AX39" i="3"/>
  <c r="AY39" i="3"/>
  <c r="AZ39" i="3"/>
  <c r="BA39" i="3"/>
  <c r="BB39" i="3"/>
  <c r="AX40" i="3"/>
  <c r="AY40" i="3"/>
  <c r="AZ40" i="3"/>
  <c r="BA40" i="3"/>
  <c r="BB40" i="3"/>
  <c r="AX41" i="3"/>
  <c r="AY41" i="3"/>
  <c r="AZ41" i="3"/>
  <c r="BA41" i="3"/>
  <c r="BB41" i="3"/>
  <c r="AX42" i="3"/>
  <c r="AY42" i="3"/>
  <c r="AZ42" i="3"/>
  <c r="BA42" i="3"/>
  <c r="BB42" i="3"/>
  <c r="AX43" i="3"/>
  <c r="AY43" i="3"/>
  <c r="AZ43" i="3"/>
  <c r="BA43" i="3"/>
  <c r="BB43" i="3"/>
  <c r="AX44" i="3"/>
  <c r="AY44" i="3"/>
  <c r="AZ44" i="3"/>
  <c r="BA44" i="3"/>
  <c r="BB44" i="3"/>
  <c r="AX45" i="3"/>
  <c r="AY45" i="3"/>
  <c r="AZ45" i="3"/>
  <c r="BA45" i="3"/>
  <c r="BB45" i="3"/>
  <c r="AX46" i="3"/>
  <c r="AY46" i="3"/>
  <c r="AZ46" i="3"/>
  <c r="BA46" i="3"/>
  <c r="BB46" i="3"/>
  <c r="AX47" i="3"/>
  <c r="AY47" i="3"/>
  <c r="AZ47" i="3"/>
  <c r="BA47" i="3"/>
  <c r="BB47" i="3"/>
  <c r="AX48" i="3"/>
  <c r="AY48" i="3"/>
  <c r="AZ48" i="3"/>
  <c r="BA48" i="3"/>
  <c r="BB48" i="3"/>
  <c r="AX49" i="3"/>
  <c r="AY49" i="3"/>
  <c r="AZ49" i="3"/>
  <c r="BA49" i="3"/>
  <c r="BB49" i="3"/>
  <c r="AX50" i="3"/>
  <c r="AY50" i="3"/>
  <c r="AZ50" i="3"/>
  <c r="BA50" i="3"/>
  <c r="BB50" i="3"/>
  <c r="AX51" i="3"/>
  <c r="AY51" i="3"/>
  <c r="AZ51" i="3"/>
  <c r="BA51" i="3"/>
  <c r="BB51" i="3"/>
  <c r="AX52" i="3"/>
  <c r="AY52" i="3"/>
  <c r="AZ52" i="3"/>
  <c r="BA52" i="3"/>
  <c r="BB52" i="3"/>
  <c r="AX53" i="3"/>
  <c r="AY53" i="3"/>
  <c r="AZ53" i="3"/>
  <c r="BA53" i="3"/>
  <c r="BB53" i="3"/>
  <c r="AX54" i="3"/>
  <c r="AY54" i="3"/>
  <c r="AZ54" i="3"/>
  <c r="BA54" i="3"/>
  <c r="BB54" i="3"/>
  <c r="AX55" i="3"/>
  <c r="AY55" i="3"/>
  <c r="AZ55" i="3"/>
  <c r="BA55" i="3"/>
  <c r="BB55" i="3"/>
  <c r="AX56" i="3"/>
  <c r="AY56" i="3"/>
  <c r="AZ56" i="3"/>
  <c r="BA56" i="3"/>
  <c r="BB56" i="3"/>
  <c r="AX57" i="3"/>
  <c r="AY57" i="3"/>
  <c r="AZ57" i="3"/>
  <c r="BA57" i="3"/>
  <c r="BB57" i="3"/>
  <c r="AX58" i="3"/>
  <c r="AY58" i="3"/>
  <c r="AZ58" i="3"/>
  <c r="BA58" i="3"/>
  <c r="BB58" i="3"/>
  <c r="AX59" i="3"/>
  <c r="AY59" i="3"/>
  <c r="AZ59" i="3"/>
  <c r="BA59" i="3"/>
  <c r="BB59" i="3"/>
  <c r="AX60" i="3"/>
  <c r="AY60" i="3"/>
  <c r="AZ60" i="3"/>
  <c r="BA60" i="3"/>
  <c r="BB60" i="3"/>
  <c r="AX61" i="3"/>
  <c r="AY61" i="3"/>
  <c r="AZ61" i="3"/>
  <c r="BA61" i="3"/>
  <c r="BB61" i="3"/>
  <c r="AX62" i="3"/>
  <c r="AY62" i="3"/>
  <c r="AZ62" i="3"/>
  <c r="BA62" i="3"/>
  <c r="BB62" i="3"/>
  <c r="AX63" i="3"/>
  <c r="AY63" i="3"/>
  <c r="AZ63" i="3"/>
  <c r="BA63" i="3"/>
  <c r="BB63" i="3"/>
  <c r="AX64" i="3"/>
  <c r="AY64" i="3"/>
  <c r="AZ64" i="3"/>
  <c r="BA64" i="3"/>
  <c r="BB64" i="3"/>
  <c r="AX65" i="3"/>
  <c r="AY65" i="3"/>
  <c r="AZ65" i="3"/>
  <c r="BA65" i="3"/>
  <c r="BB65" i="3"/>
  <c r="AX66" i="3"/>
  <c r="AY66" i="3"/>
  <c r="AZ66" i="3"/>
  <c r="BA66" i="3"/>
  <c r="BB66" i="3"/>
  <c r="AX67" i="3"/>
  <c r="AY67" i="3"/>
  <c r="AZ67" i="3"/>
  <c r="BA67" i="3"/>
  <c r="BB67" i="3"/>
  <c r="AX68" i="3"/>
  <c r="AY68" i="3"/>
  <c r="AZ68" i="3"/>
  <c r="BA68" i="3"/>
  <c r="BB68" i="3"/>
  <c r="AX69" i="3"/>
  <c r="AY69" i="3"/>
  <c r="AZ69" i="3"/>
  <c r="BA69" i="3"/>
  <c r="BB69" i="3"/>
  <c r="AX70" i="3"/>
  <c r="AY70" i="3"/>
  <c r="AZ70" i="3"/>
  <c r="BA70" i="3"/>
  <c r="BB70" i="3"/>
  <c r="AX71" i="3"/>
  <c r="AY71" i="3"/>
  <c r="AZ71" i="3"/>
  <c r="BA71" i="3"/>
  <c r="BB71" i="3"/>
  <c r="AX72" i="3"/>
  <c r="AY72" i="3"/>
  <c r="AZ72" i="3"/>
  <c r="BA72" i="3"/>
  <c r="BB72" i="3"/>
  <c r="AX73" i="3"/>
  <c r="AY73" i="3"/>
  <c r="AZ73" i="3"/>
  <c r="BA73" i="3"/>
  <c r="BB73" i="3"/>
  <c r="AX74" i="3"/>
  <c r="AY74" i="3"/>
  <c r="AZ74" i="3"/>
  <c r="BA74" i="3"/>
  <c r="BB74" i="3"/>
  <c r="AX75" i="3"/>
  <c r="AY75" i="3"/>
  <c r="AZ75" i="3"/>
  <c r="BA75" i="3"/>
  <c r="BB75" i="3"/>
  <c r="AX76" i="3"/>
  <c r="AY76" i="3"/>
  <c r="AZ76" i="3"/>
  <c r="BA76" i="3"/>
  <c r="BB76" i="3"/>
  <c r="AX77" i="3"/>
  <c r="AY77" i="3"/>
  <c r="AZ77" i="3"/>
  <c r="BA77" i="3"/>
  <c r="BB77" i="3"/>
  <c r="AX78" i="3"/>
  <c r="AY78" i="3"/>
  <c r="AZ78" i="3"/>
  <c r="BA78" i="3"/>
  <c r="BB78" i="3"/>
  <c r="AP9" i="3"/>
  <c r="AQ9" i="3"/>
  <c r="AR9" i="3"/>
  <c r="AS9" i="3"/>
  <c r="AT9" i="3"/>
  <c r="AU9" i="3"/>
  <c r="AV9" i="3"/>
  <c r="AW9" i="3"/>
  <c r="AQ10" i="3"/>
  <c r="AR10" i="3"/>
  <c r="AS10" i="3"/>
  <c r="AT10" i="3"/>
  <c r="AU10" i="3"/>
  <c r="AV10" i="3"/>
  <c r="AW10" i="3"/>
  <c r="AQ11" i="3"/>
  <c r="AR11" i="3"/>
  <c r="AS11" i="3"/>
  <c r="AT11" i="3"/>
  <c r="AU11" i="3"/>
  <c r="AV11" i="3"/>
  <c r="AW11" i="3"/>
  <c r="AQ12" i="3"/>
  <c r="AR12" i="3"/>
  <c r="AS12" i="3"/>
  <c r="AT12" i="3"/>
  <c r="AU12" i="3"/>
  <c r="AV12" i="3"/>
  <c r="AW12" i="3"/>
  <c r="AQ13" i="3"/>
  <c r="AR13" i="3"/>
  <c r="AS13" i="3"/>
  <c r="AT13" i="3"/>
  <c r="AU13" i="3"/>
  <c r="AV13" i="3"/>
  <c r="AW13" i="3"/>
  <c r="AQ14" i="3"/>
  <c r="AR14" i="3"/>
  <c r="AS14" i="3"/>
  <c r="AT14" i="3"/>
  <c r="AU14" i="3"/>
  <c r="AV14" i="3"/>
  <c r="AW14" i="3"/>
  <c r="AQ15" i="3"/>
  <c r="AR15" i="3"/>
  <c r="AS15" i="3"/>
  <c r="AT15" i="3"/>
  <c r="AU15" i="3"/>
  <c r="AV15" i="3"/>
  <c r="AW15" i="3"/>
  <c r="AQ16" i="3"/>
  <c r="AR16" i="3"/>
  <c r="AS16" i="3"/>
  <c r="AT16" i="3"/>
  <c r="AU16" i="3"/>
  <c r="AV16" i="3"/>
  <c r="AW16" i="3"/>
  <c r="AQ17" i="3"/>
  <c r="AR17" i="3"/>
  <c r="AS17" i="3"/>
  <c r="AT17" i="3"/>
  <c r="AU17" i="3"/>
  <c r="AV17" i="3"/>
  <c r="AW17" i="3"/>
  <c r="AQ18" i="3"/>
  <c r="AR18" i="3"/>
  <c r="AS18" i="3"/>
  <c r="AT18" i="3"/>
  <c r="AU18" i="3"/>
  <c r="AV18" i="3"/>
  <c r="AW18" i="3"/>
  <c r="AQ19" i="3"/>
  <c r="AR19" i="3"/>
  <c r="AS19" i="3"/>
  <c r="AT19" i="3"/>
  <c r="AU19" i="3"/>
  <c r="AV19" i="3"/>
  <c r="AW19" i="3"/>
  <c r="AQ20" i="3"/>
  <c r="AR20" i="3"/>
  <c r="AS20" i="3"/>
  <c r="AT20" i="3"/>
  <c r="AU20" i="3"/>
  <c r="AV20" i="3"/>
  <c r="AW20" i="3"/>
  <c r="AQ21" i="3"/>
  <c r="AR21" i="3"/>
  <c r="AS21" i="3"/>
  <c r="AT21" i="3"/>
  <c r="AU21" i="3"/>
  <c r="AV21" i="3"/>
  <c r="AW21" i="3"/>
  <c r="AQ22" i="3"/>
  <c r="AR22" i="3"/>
  <c r="AS22" i="3"/>
  <c r="AT22" i="3"/>
  <c r="AU22" i="3"/>
  <c r="AV22" i="3"/>
  <c r="AW22" i="3"/>
  <c r="AQ23" i="3"/>
  <c r="AR23" i="3"/>
  <c r="AS23" i="3"/>
  <c r="AT23" i="3"/>
  <c r="AU23" i="3"/>
  <c r="AV23" i="3"/>
  <c r="AW23" i="3"/>
  <c r="AQ24" i="3"/>
  <c r="AR24" i="3"/>
  <c r="AS24" i="3"/>
  <c r="AT24" i="3"/>
  <c r="AU24" i="3"/>
  <c r="AV24" i="3"/>
  <c r="AW24" i="3"/>
  <c r="AQ25" i="3"/>
  <c r="AR25" i="3"/>
  <c r="AS25" i="3"/>
  <c r="AT25" i="3"/>
  <c r="AU25" i="3"/>
  <c r="AV25" i="3"/>
  <c r="AW25" i="3"/>
  <c r="AQ26" i="3"/>
  <c r="AR26" i="3"/>
  <c r="AS26" i="3"/>
  <c r="AT26" i="3"/>
  <c r="AU26" i="3"/>
  <c r="AV26" i="3"/>
  <c r="AW26" i="3"/>
  <c r="AQ27" i="3"/>
  <c r="AR27" i="3"/>
  <c r="AS27" i="3"/>
  <c r="AT27" i="3"/>
  <c r="AU27" i="3"/>
  <c r="AV27" i="3"/>
  <c r="AW27" i="3"/>
  <c r="AQ28" i="3"/>
  <c r="AR28" i="3"/>
  <c r="AS28" i="3"/>
  <c r="AT28" i="3"/>
  <c r="AU28" i="3"/>
  <c r="AV28" i="3"/>
  <c r="AW28" i="3"/>
  <c r="AQ29" i="3"/>
  <c r="AR29" i="3"/>
  <c r="AS29" i="3"/>
  <c r="AT29" i="3"/>
  <c r="AU29" i="3"/>
  <c r="AV29" i="3"/>
  <c r="AW29" i="3"/>
  <c r="AQ30" i="3"/>
  <c r="AR30" i="3"/>
  <c r="AS30" i="3"/>
  <c r="AT30" i="3"/>
  <c r="AU30" i="3"/>
  <c r="AV30" i="3"/>
  <c r="AW30" i="3"/>
  <c r="AQ31" i="3"/>
  <c r="AR31" i="3"/>
  <c r="AS31" i="3"/>
  <c r="AT31" i="3"/>
  <c r="AU31" i="3"/>
  <c r="AV31" i="3"/>
  <c r="AW31" i="3"/>
  <c r="AQ32" i="3"/>
  <c r="AR32" i="3"/>
  <c r="AS32" i="3"/>
  <c r="AT32" i="3"/>
  <c r="AU32" i="3"/>
  <c r="AV32" i="3"/>
  <c r="AW32" i="3"/>
  <c r="AQ33" i="3"/>
  <c r="AR33" i="3"/>
  <c r="AS33" i="3"/>
  <c r="AT33" i="3"/>
  <c r="AU33" i="3"/>
  <c r="AV33" i="3"/>
  <c r="AW33" i="3"/>
  <c r="AQ34" i="3"/>
  <c r="AR34" i="3"/>
  <c r="AS34" i="3"/>
  <c r="AT34" i="3"/>
  <c r="AU34" i="3"/>
  <c r="AV34" i="3"/>
  <c r="AW34" i="3"/>
  <c r="AQ35" i="3"/>
  <c r="AR35" i="3"/>
  <c r="AS35" i="3"/>
  <c r="AT35" i="3"/>
  <c r="AU35" i="3"/>
  <c r="AV35" i="3"/>
  <c r="AW35" i="3"/>
  <c r="AQ36" i="3"/>
  <c r="AR36" i="3"/>
  <c r="AS36" i="3"/>
  <c r="AT36" i="3"/>
  <c r="AU36" i="3"/>
  <c r="AV36" i="3"/>
  <c r="AW36" i="3"/>
  <c r="AQ37" i="3"/>
  <c r="AR37" i="3"/>
  <c r="AS37" i="3"/>
  <c r="AT37" i="3"/>
  <c r="AU37" i="3"/>
  <c r="AV37" i="3"/>
  <c r="AW37" i="3"/>
  <c r="AQ38" i="3"/>
  <c r="AR38" i="3"/>
  <c r="AS38" i="3"/>
  <c r="AT38" i="3"/>
  <c r="AU38" i="3"/>
  <c r="AV38" i="3"/>
  <c r="AW38" i="3"/>
  <c r="AQ39" i="3"/>
  <c r="AR39" i="3"/>
  <c r="AS39" i="3"/>
  <c r="AT39" i="3"/>
  <c r="AU39" i="3"/>
  <c r="AV39" i="3"/>
  <c r="AW39" i="3"/>
  <c r="AQ40" i="3"/>
  <c r="AR40" i="3"/>
  <c r="AS40" i="3"/>
  <c r="AT40" i="3"/>
  <c r="AU40" i="3"/>
  <c r="AV40" i="3"/>
  <c r="AW40" i="3"/>
  <c r="AQ41" i="3"/>
  <c r="AR41" i="3"/>
  <c r="AS41" i="3"/>
  <c r="AT41" i="3"/>
  <c r="AU41" i="3"/>
  <c r="AV41" i="3"/>
  <c r="AW41" i="3"/>
  <c r="AQ42" i="3"/>
  <c r="AR42" i="3"/>
  <c r="AS42" i="3"/>
  <c r="AT42" i="3"/>
  <c r="AU42" i="3"/>
  <c r="AV42" i="3"/>
  <c r="AW42" i="3"/>
  <c r="AQ43" i="3"/>
  <c r="AR43" i="3"/>
  <c r="AS43" i="3"/>
  <c r="AT43" i="3"/>
  <c r="AU43" i="3"/>
  <c r="AV43" i="3"/>
  <c r="AW43" i="3"/>
  <c r="AQ44" i="3"/>
  <c r="AR44" i="3"/>
  <c r="AS44" i="3"/>
  <c r="AT44" i="3"/>
  <c r="AU44" i="3"/>
  <c r="AV44" i="3"/>
  <c r="AW44" i="3"/>
  <c r="AQ45" i="3"/>
  <c r="AR45" i="3"/>
  <c r="AS45" i="3"/>
  <c r="AT45" i="3"/>
  <c r="AU45" i="3"/>
  <c r="AV45" i="3"/>
  <c r="AW45" i="3"/>
  <c r="AQ46" i="3"/>
  <c r="AR46" i="3"/>
  <c r="AS46" i="3"/>
  <c r="AT46" i="3"/>
  <c r="AU46" i="3"/>
  <c r="AV46" i="3"/>
  <c r="AW46" i="3"/>
  <c r="AQ47" i="3"/>
  <c r="AR47" i="3"/>
  <c r="AS47" i="3"/>
  <c r="AT47" i="3"/>
  <c r="AU47" i="3"/>
  <c r="AV47" i="3"/>
  <c r="AW47" i="3"/>
  <c r="AQ48" i="3"/>
  <c r="AR48" i="3"/>
  <c r="AS48" i="3"/>
  <c r="AT48" i="3"/>
  <c r="AU48" i="3"/>
  <c r="AV48" i="3"/>
  <c r="AW48" i="3"/>
  <c r="AQ49" i="3"/>
  <c r="AR49" i="3"/>
  <c r="AS49" i="3"/>
  <c r="AT49" i="3"/>
  <c r="AU49" i="3"/>
  <c r="AV49" i="3"/>
  <c r="AW49" i="3"/>
  <c r="AQ50" i="3"/>
  <c r="AR50" i="3"/>
  <c r="AS50" i="3"/>
  <c r="AT50" i="3"/>
  <c r="AU50" i="3"/>
  <c r="AV50" i="3"/>
  <c r="AW50" i="3"/>
  <c r="AQ51" i="3"/>
  <c r="AR51" i="3"/>
  <c r="AS51" i="3"/>
  <c r="AT51" i="3"/>
  <c r="AU51" i="3"/>
  <c r="AV51" i="3"/>
  <c r="AW51" i="3"/>
  <c r="AQ52" i="3"/>
  <c r="AR52" i="3"/>
  <c r="AS52" i="3"/>
  <c r="AT52" i="3"/>
  <c r="AU52" i="3"/>
  <c r="AV52" i="3"/>
  <c r="AW52" i="3"/>
  <c r="AQ53" i="3"/>
  <c r="AR53" i="3"/>
  <c r="AS53" i="3"/>
  <c r="AT53" i="3"/>
  <c r="AU53" i="3"/>
  <c r="AV53" i="3"/>
  <c r="AW53" i="3"/>
  <c r="AQ54" i="3"/>
  <c r="AR54" i="3"/>
  <c r="AS54" i="3"/>
  <c r="AT54" i="3"/>
  <c r="AU54" i="3"/>
  <c r="AV54" i="3"/>
  <c r="AW54" i="3"/>
  <c r="AQ55" i="3"/>
  <c r="AR55" i="3"/>
  <c r="AS55" i="3"/>
  <c r="AT55" i="3"/>
  <c r="AU55" i="3"/>
  <c r="AV55" i="3"/>
  <c r="AW55" i="3"/>
  <c r="AQ56" i="3"/>
  <c r="AR56" i="3"/>
  <c r="AS56" i="3"/>
  <c r="AT56" i="3"/>
  <c r="AU56" i="3"/>
  <c r="AV56" i="3"/>
  <c r="AW56" i="3"/>
  <c r="AQ57" i="3"/>
  <c r="AR57" i="3"/>
  <c r="AS57" i="3"/>
  <c r="AT57" i="3"/>
  <c r="AU57" i="3"/>
  <c r="AV57" i="3"/>
  <c r="AW57" i="3"/>
  <c r="AQ58" i="3"/>
  <c r="AR58" i="3"/>
  <c r="AS58" i="3"/>
  <c r="AT58" i="3"/>
  <c r="AU58" i="3"/>
  <c r="AV58" i="3"/>
  <c r="AW58" i="3"/>
  <c r="AQ59" i="3"/>
  <c r="AR59" i="3"/>
  <c r="AS59" i="3"/>
  <c r="AT59" i="3"/>
  <c r="AU59" i="3"/>
  <c r="AV59" i="3"/>
  <c r="AW59" i="3"/>
  <c r="AQ60" i="3"/>
  <c r="AR60" i="3"/>
  <c r="AS60" i="3"/>
  <c r="AT60" i="3"/>
  <c r="AU60" i="3"/>
  <c r="AV60" i="3"/>
  <c r="AW60" i="3"/>
  <c r="AQ61" i="3"/>
  <c r="AR61" i="3"/>
  <c r="AS61" i="3"/>
  <c r="AT61" i="3"/>
  <c r="AU61" i="3"/>
  <c r="AV61" i="3"/>
  <c r="AW61" i="3"/>
  <c r="AQ62" i="3"/>
  <c r="AR62" i="3"/>
  <c r="AS62" i="3"/>
  <c r="AT62" i="3"/>
  <c r="AU62" i="3"/>
  <c r="AV62" i="3"/>
  <c r="AW62" i="3"/>
  <c r="AQ63" i="3"/>
  <c r="AR63" i="3"/>
  <c r="AS63" i="3"/>
  <c r="AT63" i="3"/>
  <c r="AU63" i="3"/>
  <c r="AV63" i="3"/>
  <c r="AW63" i="3"/>
  <c r="AQ64" i="3"/>
  <c r="AR64" i="3"/>
  <c r="AS64" i="3"/>
  <c r="AT64" i="3"/>
  <c r="AU64" i="3"/>
  <c r="AV64" i="3"/>
  <c r="AW64" i="3"/>
  <c r="AQ65" i="3"/>
  <c r="AR65" i="3"/>
  <c r="AS65" i="3"/>
  <c r="AT65" i="3"/>
  <c r="AU65" i="3"/>
  <c r="AV65" i="3"/>
  <c r="AW65" i="3"/>
  <c r="AQ66" i="3"/>
  <c r="AR66" i="3"/>
  <c r="AS66" i="3"/>
  <c r="AT66" i="3"/>
  <c r="AU66" i="3"/>
  <c r="AV66" i="3"/>
  <c r="AW66" i="3"/>
  <c r="AQ67" i="3"/>
  <c r="AR67" i="3"/>
  <c r="AS67" i="3"/>
  <c r="AT67" i="3"/>
  <c r="AU67" i="3"/>
  <c r="AV67" i="3"/>
  <c r="AW67" i="3"/>
  <c r="AQ68" i="3"/>
  <c r="AR68" i="3"/>
  <c r="AS68" i="3"/>
  <c r="AT68" i="3"/>
  <c r="AU68" i="3"/>
  <c r="AV68" i="3"/>
  <c r="AW68" i="3"/>
  <c r="AQ69" i="3"/>
  <c r="AR69" i="3"/>
  <c r="AS69" i="3"/>
  <c r="AT69" i="3"/>
  <c r="AU69" i="3"/>
  <c r="AV69" i="3"/>
  <c r="AW69" i="3"/>
  <c r="AQ70" i="3"/>
  <c r="AR70" i="3"/>
  <c r="AS70" i="3"/>
  <c r="AT70" i="3"/>
  <c r="AU70" i="3"/>
  <c r="AV70" i="3"/>
  <c r="AW70" i="3"/>
  <c r="AQ71" i="3"/>
  <c r="AR71" i="3"/>
  <c r="AS71" i="3"/>
  <c r="AT71" i="3"/>
  <c r="AU71" i="3"/>
  <c r="AV71" i="3"/>
  <c r="AW71" i="3"/>
  <c r="AQ72" i="3"/>
  <c r="AR72" i="3"/>
  <c r="AS72" i="3"/>
  <c r="AT72" i="3"/>
  <c r="AU72" i="3"/>
  <c r="AV72" i="3"/>
  <c r="AW72" i="3"/>
  <c r="AQ73" i="3"/>
  <c r="AR73" i="3"/>
  <c r="AS73" i="3"/>
  <c r="AT73" i="3"/>
  <c r="AU73" i="3"/>
  <c r="AV73" i="3"/>
  <c r="AW73" i="3"/>
  <c r="AQ74" i="3"/>
  <c r="AR74" i="3"/>
  <c r="AS74" i="3"/>
  <c r="AT74" i="3"/>
  <c r="AU74" i="3"/>
  <c r="AV74" i="3"/>
  <c r="AW74" i="3"/>
  <c r="AQ75" i="3"/>
  <c r="AR75" i="3"/>
  <c r="AS75" i="3"/>
  <c r="AT75" i="3"/>
  <c r="AU75" i="3"/>
  <c r="AV75" i="3"/>
  <c r="AW75" i="3"/>
  <c r="AQ76" i="3"/>
  <c r="AR76" i="3"/>
  <c r="AS76" i="3"/>
  <c r="AT76" i="3"/>
  <c r="AU76" i="3"/>
  <c r="AV76" i="3"/>
  <c r="AW76" i="3"/>
  <c r="AQ77" i="3"/>
  <c r="AR77" i="3"/>
  <c r="AS77" i="3"/>
  <c r="AT77" i="3"/>
  <c r="AU77" i="3"/>
  <c r="AV77" i="3"/>
  <c r="AW77" i="3"/>
  <c r="AQ78" i="3"/>
  <c r="AR78" i="3"/>
  <c r="AS78" i="3"/>
  <c r="AT78" i="3"/>
  <c r="AU78" i="3"/>
  <c r="AV78" i="3"/>
  <c r="AW78" i="3"/>
  <c r="AO12" i="3"/>
  <c r="AO23" i="3"/>
  <c r="BN5" i="62"/>
  <c r="CY5" i="62" s="1"/>
  <c r="BN6" i="62"/>
  <c r="BN7" i="62"/>
  <c r="BN8" i="62"/>
  <c r="CY8" i="62" s="1"/>
  <c r="BN9" i="62"/>
  <c r="CY9" i="62" s="1"/>
  <c r="BN10" i="62"/>
  <c r="CY10" i="62" s="1"/>
  <c r="BN11" i="62"/>
  <c r="CY11" i="62" s="1"/>
  <c r="BN12" i="62"/>
  <c r="CY12" i="62" s="1"/>
  <c r="BN13" i="62"/>
  <c r="CY13" i="62" s="1"/>
  <c r="BN14" i="62"/>
  <c r="CY14" i="62" s="1"/>
  <c r="BN15" i="62"/>
  <c r="CY15" i="62" s="1"/>
  <c r="BN16" i="62"/>
  <c r="CY16" i="62" s="1"/>
  <c r="BN17" i="62"/>
  <c r="CY17" i="62" s="1"/>
  <c r="BN18" i="62"/>
  <c r="CY18" i="62" s="1"/>
  <c r="BN19" i="62"/>
  <c r="CY19" i="62" s="1"/>
  <c r="BN20" i="62"/>
  <c r="CY20" i="62" s="1"/>
  <c r="BN21" i="62"/>
  <c r="CY21" i="62" s="1"/>
  <c r="BN22" i="62"/>
  <c r="CY22" i="62" s="1"/>
  <c r="BN23" i="62"/>
  <c r="CY23" i="62" s="1"/>
  <c r="BN24" i="62"/>
  <c r="CY24" i="62" s="1"/>
  <c r="BN25" i="62"/>
  <c r="CY25" i="62" s="1"/>
  <c r="BN26" i="62"/>
  <c r="CY26" i="62" s="1"/>
  <c r="BN27" i="62"/>
  <c r="CY27" i="62" s="1"/>
  <c r="BN28" i="62"/>
  <c r="CY28" i="62" s="1"/>
  <c r="BN29" i="62"/>
  <c r="BN30" i="62"/>
  <c r="CY30" i="62" s="1"/>
  <c r="BN31" i="62"/>
  <c r="CY31" i="62" s="1"/>
  <c r="BN32" i="62"/>
  <c r="CY32" i="62" s="1"/>
  <c r="BN33" i="62"/>
  <c r="CY33" i="62" s="1"/>
  <c r="BN34" i="62"/>
  <c r="CY34" i="62" s="1"/>
  <c r="BN35" i="62"/>
  <c r="CY35" i="62" s="1"/>
  <c r="BN36" i="62"/>
  <c r="CY36" i="62" s="1"/>
  <c r="BN37" i="62"/>
  <c r="CY37" i="62" s="1"/>
  <c r="BN38" i="62"/>
  <c r="CY38" i="62" s="1"/>
  <c r="BN39" i="62"/>
  <c r="CY39" i="62" s="1"/>
  <c r="BN40" i="62"/>
  <c r="CY40" i="62" s="1"/>
  <c r="BN41" i="62"/>
  <c r="CY41" i="62" s="1"/>
  <c r="BN42" i="62"/>
  <c r="CY42" i="62" s="1"/>
  <c r="BN43" i="62"/>
  <c r="CY43" i="62" s="1"/>
  <c r="BN44" i="62"/>
  <c r="CY44" i="62" s="1"/>
  <c r="BN45" i="62"/>
  <c r="CY45" i="62" s="1"/>
  <c r="BN46" i="62"/>
  <c r="BN47" i="62"/>
  <c r="BN48" i="62"/>
  <c r="CY48" i="62" s="1"/>
  <c r="BN49" i="62"/>
  <c r="CY49" i="62" s="1"/>
  <c r="BN50" i="62"/>
  <c r="CY50" i="62" s="1"/>
  <c r="BN51" i="62"/>
  <c r="CY51" i="62" s="1"/>
  <c r="BN52" i="62"/>
  <c r="CY52" i="62" s="1"/>
  <c r="BN53" i="62"/>
  <c r="CY53" i="62" s="1"/>
  <c r="BN54" i="62"/>
  <c r="CY54" i="62" s="1"/>
  <c r="BN55" i="62"/>
  <c r="CY55" i="62" s="1"/>
  <c r="BN56" i="62"/>
  <c r="CY56" i="62" s="1"/>
  <c r="BN57" i="62"/>
  <c r="CY57" i="62" s="1"/>
  <c r="BN58" i="62"/>
  <c r="CY58" i="62" s="1"/>
  <c r="BN59" i="62"/>
  <c r="CY59" i="62" s="1"/>
  <c r="BN60" i="62"/>
  <c r="CY60" i="62" s="1"/>
  <c r="BN61" i="62"/>
  <c r="CY61" i="62" s="1"/>
  <c r="BN62" i="62"/>
  <c r="CY62" i="62" s="1"/>
  <c r="BN63" i="62"/>
  <c r="CY63" i="62" s="1"/>
  <c r="BN64" i="62"/>
  <c r="CY64" i="62" s="1"/>
  <c r="BN65" i="62"/>
  <c r="BN66" i="62"/>
  <c r="BN67" i="62"/>
  <c r="CY67" i="62" s="1"/>
  <c r="BN68" i="62"/>
  <c r="CY68" i="62" s="1"/>
  <c r="BN69" i="62"/>
  <c r="CY69" i="62" s="1"/>
  <c r="BN70" i="62"/>
  <c r="CY70" i="62" s="1"/>
  <c r="BN71" i="62"/>
  <c r="CY71" i="62" s="1"/>
  <c r="BN72" i="62"/>
  <c r="CY72" i="62" s="1"/>
  <c r="BN73" i="62"/>
  <c r="CY73" i="62" s="1"/>
  <c r="BN74" i="62"/>
  <c r="CY74" i="62" s="1"/>
  <c r="BN75" i="62"/>
  <c r="CY75" i="62" s="1"/>
  <c r="BN76" i="62"/>
  <c r="BN77" i="62"/>
  <c r="CY77" i="62" s="1"/>
  <c r="BN78" i="62"/>
  <c r="CY78" i="62" s="1"/>
  <c r="BN79" i="62"/>
  <c r="CY79" i="62" s="1"/>
  <c r="BN80" i="62"/>
  <c r="CY80" i="62" s="1"/>
  <c r="BN81" i="62"/>
  <c r="CY81" i="62" s="1"/>
  <c r="BN82" i="62"/>
  <c r="CY82" i="62" s="1"/>
  <c r="BN83" i="62"/>
  <c r="CY83" i="62" s="1"/>
  <c r="BN84" i="62"/>
  <c r="CY84" i="62" s="1"/>
  <c r="BN85" i="62"/>
  <c r="CY85" i="62" s="1"/>
  <c r="BN86" i="62"/>
  <c r="CY86" i="62" s="1"/>
  <c r="BN87" i="62"/>
  <c r="CY87" i="62" s="1"/>
  <c r="BN4" i="62"/>
  <c r="CY4" i="62" s="1"/>
  <c r="BF94" i="3"/>
  <c r="BF93" i="3"/>
  <c r="BF90" i="3"/>
  <c r="BF91" i="3"/>
  <c r="BF83" i="3"/>
  <c r="BF84" i="3"/>
  <c r="BF85" i="3"/>
  <c r="BF86" i="3"/>
  <c r="BF87" i="3"/>
  <c r="BF82" i="3"/>
  <c r="BF80" i="3"/>
  <c r="BF10" i="3"/>
  <c r="BF11" i="3"/>
  <c r="BF12" i="3"/>
  <c r="BF13" i="3"/>
  <c r="BF14" i="3"/>
  <c r="BF15" i="3"/>
  <c r="BF16" i="3"/>
  <c r="BF17" i="3"/>
  <c r="BF18" i="3"/>
  <c r="BF19" i="3"/>
  <c r="BF20" i="3"/>
  <c r="BF21" i="3"/>
  <c r="BF22" i="3"/>
  <c r="BF23" i="3"/>
  <c r="BF24" i="3"/>
  <c r="BF25" i="3"/>
  <c r="BF26" i="3"/>
  <c r="BF27" i="3"/>
  <c r="BF28" i="3"/>
  <c r="BF29" i="3"/>
  <c r="BF30" i="3"/>
  <c r="BF31" i="3"/>
  <c r="BF32" i="3"/>
  <c r="BF33" i="3"/>
  <c r="BF34" i="3"/>
  <c r="BF35" i="3"/>
  <c r="BF36" i="3"/>
  <c r="BF37" i="3"/>
  <c r="BF38" i="3"/>
  <c r="BF39" i="3"/>
  <c r="BF40" i="3"/>
  <c r="BF41" i="3"/>
  <c r="BF42" i="3"/>
  <c r="BF43" i="3"/>
  <c r="BF44" i="3"/>
  <c r="BF45" i="3"/>
  <c r="BF46" i="3"/>
  <c r="BF47" i="3"/>
  <c r="BF48" i="3"/>
  <c r="BF49" i="3"/>
  <c r="BF50" i="3"/>
  <c r="BF51" i="3"/>
  <c r="BF52" i="3"/>
  <c r="BF53" i="3"/>
  <c r="BF54" i="3"/>
  <c r="BF55" i="3"/>
  <c r="BF56" i="3"/>
  <c r="BF57" i="3"/>
  <c r="BF58" i="3"/>
  <c r="BF59" i="3"/>
  <c r="BF60" i="3"/>
  <c r="BF61" i="3"/>
  <c r="BF62" i="3"/>
  <c r="BF63" i="3"/>
  <c r="BF64" i="3"/>
  <c r="BF65" i="3"/>
  <c r="BF66" i="3"/>
  <c r="BF67" i="3"/>
  <c r="BF68" i="3"/>
  <c r="BF69" i="3"/>
  <c r="BF70" i="3"/>
  <c r="BF71" i="3"/>
  <c r="BF72" i="3"/>
  <c r="BF73" i="3"/>
  <c r="BF74" i="3"/>
  <c r="BF75" i="3"/>
  <c r="BF76" i="3"/>
  <c r="BF77" i="3"/>
  <c r="BF78" i="3"/>
  <c r="BF9" i="3"/>
  <c r="BH7" i="3"/>
  <c r="BH5" i="3"/>
  <c r="BH6" i="3"/>
  <c r="BH4" i="3"/>
  <c r="J76" i="66"/>
  <c r="I76" i="66"/>
  <c r="G76" i="66"/>
  <c r="W73" i="66"/>
  <c r="J73" i="66"/>
  <c r="A73" i="66"/>
  <c r="J72" i="66"/>
  <c r="A72" i="66"/>
  <c r="W71" i="66"/>
  <c r="J71" i="66"/>
  <c r="A71" i="66"/>
  <c r="W70" i="66"/>
  <c r="J70" i="66"/>
  <c r="A70" i="66"/>
  <c r="J69" i="66"/>
  <c r="A69" i="66"/>
  <c r="W68" i="66"/>
  <c r="J68" i="66"/>
  <c r="A68" i="66"/>
  <c r="W67" i="66"/>
  <c r="J67" i="66"/>
  <c r="A67" i="66"/>
  <c r="W66" i="66"/>
  <c r="J66" i="66"/>
  <c r="A66" i="66"/>
  <c r="W65" i="66"/>
  <c r="J65" i="66"/>
  <c r="A65" i="66"/>
  <c r="W64" i="66"/>
  <c r="J64" i="66"/>
  <c r="A64" i="66"/>
  <c r="W63" i="66"/>
  <c r="J63" i="66"/>
  <c r="A63" i="66"/>
  <c r="W62" i="66"/>
  <c r="J62" i="66"/>
  <c r="A62" i="66"/>
  <c r="W61" i="66"/>
  <c r="J61" i="66"/>
  <c r="A61" i="66"/>
  <c r="W60" i="66"/>
  <c r="J60" i="66"/>
  <c r="A60" i="66"/>
  <c r="W59" i="66"/>
  <c r="J59" i="66"/>
  <c r="A59" i="66"/>
  <c r="W58" i="66"/>
  <c r="J58" i="66"/>
  <c r="A58" i="66"/>
  <c r="W57" i="66"/>
  <c r="J57" i="66"/>
  <c r="A57" i="66"/>
  <c r="W56" i="66"/>
  <c r="J56" i="66"/>
  <c r="A56" i="66"/>
  <c r="W55" i="66"/>
  <c r="J55" i="66"/>
  <c r="A55" i="66"/>
  <c r="W54" i="66"/>
  <c r="J54" i="66"/>
  <c r="A54" i="66"/>
  <c r="W53" i="66"/>
  <c r="J53" i="66"/>
  <c r="A53" i="66"/>
  <c r="W52" i="66"/>
  <c r="J52" i="66"/>
  <c r="A52" i="66"/>
  <c r="W51" i="66"/>
  <c r="J51" i="66"/>
  <c r="A51" i="66"/>
  <c r="W50" i="66"/>
  <c r="J50" i="66"/>
  <c r="A50" i="66"/>
  <c r="W49" i="66"/>
  <c r="J49" i="66"/>
  <c r="A49" i="66"/>
  <c r="W48" i="66"/>
  <c r="J48" i="66"/>
  <c r="A48" i="66"/>
  <c r="W47" i="66"/>
  <c r="J47" i="66"/>
  <c r="A47" i="66"/>
  <c r="W46" i="66"/>
  <c r="J46" i="66"/>
  <c r="A46" i="66"/>
  <c r="W45" i="66"/>
  <c r="J45" i="66"/>
  <c r="A45" i="66"/>
  <c r="W44" i="66"/>
  <c r="J44" i="66"/>
  <c r="A44" i="66"/>
  <c r="W43" i="66"/>
  <c r="J43" i="66"/>
  <c r="A43" i="66"/>
  <c r="W42" i="66"/>
  <c r="J42" i="66"/>
  <c r="A42" i="66"/>
  <c r="W41" i="66"/>
  <c r="J41" i="66"/>
  <c r="A41" i="66"/>
  <c r="W40" i="66"/>
  <c r="J40" i="66"/>
  <c r="A40" i="66"/>
  <c r="W39" i="66"/>
  <c r="J39" i="66"/>
  <c r="A39" i="66"/>
  <c r="W38" i="66"/>
  <c r="J38" i="66"/>
  <c r="A38" i="66"/>
  <c r="W37" i="66"/>
  <c r="J37" i="66"/>
  <c r="A37" i="66"/>
  <c r="W36" i="66"/>
  <c r="J36" i="66"/>
  <c r="A36" i="66"/>
  <c r="W35" i="66"/>
  <c r="J35" i="66"/>
  <c r="A35" i="66"/>
  <c r="W34" i="66"/>
  <c r="J34" i="66"/>
  <c r="A34" i="66"/>
  <c r="W33" i="66"/>
  <c r="J33" i="66"/>
  <c r="A33" i="66"/>
  <c r="W32" i="66"/>
  <c r="J32" i="66"/>
  <c r="A32" i="66"/>
  <c r="W31" i="66"/>
  <c r="J31" i="66"/>
  <c r="A31" i="66"/>
  <c r="W30" i="66"/>
  <c r="J30" i="66"/>
  <c r="A30" i="66"/>
  <c r="W29" i="66"/>
  <c r="J29" i="66"/>
  <c r="A29" i="66"/>
  <c r="W28" i="66"/>
  <c r="J28" i="66"/>
  <c r="A28" i="66"/>
  <c r="W27" i="66"/>
  <c r="J27" i="66"/>
  <c r="A27" i="66"/>
  <c r="W26" i="66"/>
  <c r="J26" i="66"/>
  <c r="A26" i="66"/>
  <c r="W25" i="66"/>
  <c r="J25" i="66"/>
  <c r="A25" i="66"/>
  <c r="W24" i="66"/>
  <c r="J24" i="66"/>
  <c r="A24" i="66"/>
  <c r="W23" i="66"/>
  <c r="J23" i="66"/>
  <c r="A23" i="66"/>
  <c r="W22" i="66"/>
  <c r="J22" i="66"/>
  <c r="A22" i="66"/>
  <c r="W21" i="66"/>
  <c r="J21" i="66"/>
  <c r="A21" i="66"/>
  <c r="W20" i="66"/>
  <c r="J20" i="66"/>
  <c r="A20" i="66"/>
  <c r="W19" i="66"/>
  <c r="J19" i="66"/>
  <c r="A19" i="66"/>
  <c r="W18" i="66"/>
  <c r="J18" i="66"/>
  <c r="A18" i="66"/>
  <c r="W17" i="66"/>
  <c r="J17" i="66"/>
  <c r="A17" i="66"/>
  <c r="W16" i="66"/>
  <c r="J16" i="66"/>
  <c r="A16" i="66"/>
  <c r="W15" i="66"/>
  <c r="J15" i="66"/>
  <c r="A15" i="66"/>
  <c r="W14" i="66"/>
  <c r="J14" i="66"/>
  <c r="A14" i="66"/>
  <c r="W13" i="66"/>
  <c r="J13" i="66"/>
  <c r="A13" i="66"/>
  <c r="W12" i="66"/>
  <c r="J12" i="66"/>
  <c r="A12" i="66"/>
  <c r="W11" i="66"/>
  <c r="J11" i="66"/>
  <c r="A11" i="66"/>
  <c r="W10" i="66"/>
  <c r="J10" i="66"/>
  <c r="A10" i="66"/>
  <c r="W9" i="66"/>
  <c r="J9" i="66"/>
  <c r="A9" i="66"/>
  <c r="W8" i="66"/>
  <c r="J8" i="66"/>
  <c r="A8" i="66"/>
  <c r="W7" i="66"/>
  <c r="J7" i="66"/>
  <c r="A7" i="66"/>
  <c r="W6" i="66"/>
  <c r="J6" i="66"/>
  <c r="A6" i="66"/>
  <c r="W5" i="66"/>
  <c r="J5" i="66"/>
  <c r="A5" i="66"/>
  <c r="W4" i="66"/>
  <c r="J4" i="66"/>
  <c r="A4" i="66"/>
  <c r="W3" i="66"/>
  <c r="J3" i="66"/>
  <c r="A3" i="66"/>
  <c r="W2" i="66"/>
  <c r="J2" i="66"/>
  <c r="A2" i="66"/>
  <c r="AO58" i="3" l="1"/>
  <c r="CY66" i="62"/>
  <c r="AO16" i="3"/>
  <c r="CY76" i="62"/>
  <c r="AO22" i="3"/>
  <c r="CY47" i="62"/>
  <c r="AO11" i="3"/>
  <c r="CY46" i="62"/>
  <c r="AO94" i="3"/>
  <c r="CY6" i="62"/>
  <c r="AO64" i="3"/>
  <c r="CY65" i="62"/>
  <c r="AO48" i="3"/>
  <c r="CY29" i="62"/>
  <c r="AO84" i="3"/>
  <c r="AO93" i="3"/>
  <c r="CY7" i="62"/>
  <c r="AO89" i="3"/>
  <c r="AO43" i="3"/>
  <c r="AO63" i="3"/>
  <c r="AO41" i="3"/>
  <c r="AO26" i="3"/>
  <c r="AO70" i="3"/>
  <c r="AO91" i="3"/>
  <c r="AO80" i="3"/>
  <c r="AO61" i="3"/>
  <c r="AO62" i="3"/>
  <c r="AO21" i="3"/>
  <c r="AO39" i="3"/>
  <c r="AO25" i="3"/>
  <c r="AO90" i="3"/>
  <c r="AO9" i="3"/>
  <c r="AO76" i="3"/>
  <c r="AO38" i="3"/>
  <c r="AO59" i="3"/>
  <c r="AO45" i="3"/>
  <c r="AO77" i="3"/>
  <c r="AO54" i="3"/>
  <c r="AO74" i="3"/>
  <c r="AO44" i="3"/>
  <c r="AO37" i="3"/>
  <c r="AO73" i="3"/>
  <c r="AO20" i="3"/>
  <c r="AO85" i="3"/>
  <c r="AO13" i="3"/>
  <c r="AO78" i="3"/>
  <c r="AO18" i="3"/>
  <c r="AO47" i="3"/>
  <c r="AO10" i="3"/>
  <c r="AO86" i="3"/>
  <c r="AO46" i="3"/>
  <c r="AO72" i="3"/>
  <c r="AO15" i="3"/>
  <c r="AO51" i="3"/>
  <c r="AO33" i="3"/>
  <c r="AO19" i="3"/>
  <c r="AO40" i="3"/>
  <c r="AO82" i="3"/>
  <c r="AO57" i="3"/>
  <c r="AO60" i="3"/>
  <c r="AO55" i="3"/>
  <c r="AO52" i="3"/>
  <c r="AO32" i="3"/>
  <c r="AO14" i="3"/>
  <c r="AO36" i="3"/>
  <c r="AO87" i="3"/>
  <c r="AO17" i="3"/>
  <c r="AO68" i="3"/>
  <c r="AO53" i="3"/>
  <c r="AO49" i="3"/>
  <c r="AO31" i="3"/>
  <c r="AO35" i="3"/>
  <c r="AO67" i="3"/>
  <c r="AO75" i="3"/>
  <c r="AO50" i="3"/>
  <c r="AO30" i="3"/>
  <c r="AO34" i="3"/>
  <c r="AO83" i="3"/>
  <c r="AO65" i="3"/>
  <c r="AO29" i="3"/>
  <c r="AO7" i="3"/>
  <c r="AO28" i="3"/>
  <c r="BN88" i="62"/>
  <c r="AO105" i="3" s="1"/>
  <c r="AO6" i="3"/>
  <c r="AO69" i="3"/>
  <c r="AO66" i="3"/>
  <c r="AO56" i="3"/>
  <c r="AO42" i="3"/>
  <c r="AO27" i="3"/>
  <c r="AO71" i="3"/>
  <c r="AO24" i="3"/>
  <c r="BF5" i="3"/>
  <c r="BF6" i="3"/>
  <c r="BF7" i="3"/>
  <c r="BF4" i="3"/>
  <c r="BH94" i="3" l="1"/>
  <c r="BH93" i="3"/>
  <c r="BH90" i="3"/>
  <c r="BH91" i="3"/>
  <c r="BH89" i="3"/>
  <c r="BH83" i="3"/>
  <c r="BH84" i="3"/>
  <c r="BH85" i="3"/>
  <c r="BH86" i="3"/>
  <c r="BH87" i="3"/>
  <c r="BH82" i="3"/>
  <c r="BH80" i="3"/>
  <c r="BH10" i="3"/>
  <c r="BH11" i="3"/>
  <c r="BH12" i="3"/>
  <c r="BH13" i="3"/>
  <c r="BH14" i="3"/>
  <c r="BH15" i="3"/>
  <c r="BH16" i="3"/>
  <c r="BH17" i="3"/>
  <c r="BH18" i="3"/>
  <c r="BH19" i="3"/>
  <c r="BH20" i="3"/>
  <c r="BH21" i="3"/>
  <c r="BH22" i="3"/>
  <c r="BH23" i="3"/>
  <c r="BH24" i="3"/>
  <c r="BH25" i="3"/>
  <c r="BH26" i="3"/>
  <c r="BH27" i="3"/>
  <c r="BH28" i="3"/>
  <c r="BH29" i="3"/>
  <c r="BH30" i="3"/>
  <c r="BH31" i="3"/>
  <c r="BH32" i="3"/>
  <c r="BH33" i="3"/>
  <c r="BH34" i="3"/>
  <c r="BH35" i="3"/>
  <c r="BH36" i="3"/>
  <c r="BH37" i="3"/>
  <c r="BH38" i="3"/>
  <c r="BH39" i="3"/>
  <c r="BH40" i="3"/>
  <c r="BH41" i="3"/>
  <c r="BH42" i="3"/>
  <c r="BH43" i="3"/>
  <c r="BH44" i="3"/>
  <c r="BH45" i="3"/>
  <c r="BH46" i="3"/>
  <c r="BH47" i="3"/>
  <c r="BH48" i="3"/>
  <c r="BH49" i="3"/>
  <c r="BH50" i="3"/>
  <c r="BH51" i="3"/>
  <c r="BH52" i="3"/>
  <c r="BH53" i="3"/>
  <c r="BH54" i="3"/>
  <c r="BH55" i="3"/>
  <c r="BH57" i="3"/>
  <c r="BH58" i="3"/>
  <c r="BH59" i="3"/>
  <c r="BH60" i="3"/>
  <c r="BH61" i="3"/>
  <c r="BH62" i="3"/>
  <c r="BH63" i="3"/>
  <c r="BH64" i="3"/>
  <c r="BH65" i="3"/>
  <c r="BH66" i="3"/>
  <c r="BH67" i="3"/>
  <c r="BH68" i="3"/>
  <c r="BH69" i="3"/>
  <c r="BH70" i="3"/>
  <c r="BH71" i="3"/>
  <c r="BH72" i="3"/>
  <c r="BH73" i="3"/>
  <c r="BH74" i="3"/>
  <c r="BH75" i="3"/>
  <c r="BH76" i="3"/>
  <c r="BH77" i="3"/>
  <c r="BH78" i="3"/>
  <c r="BH9" i="3"/>
  <c r="W93" i="3" l="1"/>
  <c r="X93" i="3"/>
  <c r="Y93" i="3"/>
  <c r="Z93" i="3"/>
  <c r="AA93" i="3"/>
  <c r="AB93" i="3"/>
  <c r="AC93" i="3"/>
  <c r="AD93" i="3"/>
  <c r="AE93" i="3"/>
  <c r="AF93" i="3"/>
  <c r="AG93" i="3"/>
  <c r="AH93" i="3"/>
  <c r="AI93" i="3"/>
  <c r="AJ93" i="3"/>
  <c r="AK93" i="3"/>
  <c r="AL93" i="3"/>
  <c r="AM93" i="3"/>
  <c r="AN93" i="3"/>
  <c r="W94" i="3"/>
  <c r="X94" i="3"/>
  <c r="Y94" i="3"/>
  <c r="Z94" i="3"/>
  <c r="AA94" i="3"/>
  <c r="AB94" i="3"/>
  <c r="AC94" i="3"/>
  <c r="AD94" i="3"/>
  <c r="AE94" i="3"/>
  <c r="AF94" i="3"/>
  <c r="AG94" i="3"/>
  <c r="AH94" i="3"/>
  <c r="AI94" i="3"/>
  <c r="AJ94" i="3"/>
  <c r="AK94" i="3"/>
  <c r="AL94" i="3"/>
  <c r="AM94" i="3"/>
  <c r="AN94" i="3"/>
  <c r="V93" i="3"/>
  <c r="W89" i="3"/>
  <c r="X89" i="3"/>
  <c r="Y89" i="3"/>
  <c r="Z89" i="3"/>
  <c r="AA89" i="3"/>
  <c r="AB89" i="3"/>
  <c r="AC89" i="3"/>
  <c r="AD89" i="3"/>
  <c r="AE89" i="3"/>
  <c r="AF89" i="3"/>
  <c r="AG89" i="3"/>
  <c r="AH89" i="3"/>
  <c r="AI89" i="3"/>
  <c r="AJ89" i="3"/>
  <c r="AK89" i="3"/>
  <c r="AL89" i="3"/>
  <c r="AM89" i="3"/>
  <c r="AN89" i="3"/>
  <c r="W90" i="3"/>
  <c r="X90" i="3"/>
  <c r="Y90" i="3"/>
  <c r="Z90" i="3"/>
  <c r="AA90" i="3"/>
  <c r="AB90" i="3"/>
  <c r="AC90" i="3"/>
  <c r="AD90" i="3"/>
  <c r="AE90" i="3"/>
  <c r="AF90" i="3"/>
  <c r="AG90" i="3"/>
  <c r="AH90" i="3"/>
  <c r="AI90" i="3"/>
  <c r="AJ90" i="3"/>
  <c r="AK90" i="3"/>
  <c r="AL90" i="3"/>
  <c r="AM90" i="3"/>
  <c r="AN90" i="3"/>
  <c r="W91" i="3"/>
  <c r="X91" i="3"/>
  <c r="Y91" i="3"/>
  <c r="Z91" i="3"/>
  <c r="AA91" i="3"/>
  <c r="AB91" i="3"/>
  <c r="AC91" i="3"/>
  <c r="AD91" i="3"/>
  <c r="AE91" i="3"/>
  <c r="AF91" i="3"/>
  <c r="AG91" i="3"/>
  <c r="AH91" i="3"/>
  <c r="AI91" i="3"/>
  <c r="AJ91" i="3"/>
  <c r="AK91" i="3"/>
  <c r="AL91" i="3"/>
  <c r="AM91" i="3"/>
  <c r="AN91" i="3"/>
  <c r="V89" i="3"/>
  <c r="W82" i="3"/>
  <c r="X82" i="3"/>
  <c r="Y82" i="3"/>
  <c r="Z82" i="3"/>
  <c r="AA82" i="3"/>
  <c r="AB82" i="3"/>
  <c r="AC82" i="3"/>
  <c r="AD82" i="3"/>
  <c r="AE82" i="3"/>
  <c r="AF82" i="3"/>
  <c r="AG82" i="3"/>
  <c r="AH82" i="3"/>
  <c r="AI82" i="3"/>
  <c r="AJ82" i="3"/>
  <c r="AK82" i="3"/>
  <c r="AL82" i="3"/>
  <c r="AM82" i="3"/>
  <c r="AN82" i="3"/>
  <c r="W83" i="3"/>
  <c r="X83" i="3"/>
  <c r="Y83" i="3"/>
  <c r="Z83" i="3"/>
  <c r="AA83" i="3"/>
  <c r="AB83" i="3"/>
  <c r="AC83" i="3"/>
  <c r="AD83" i="3"/>
  <c r="AE83" i="3"/>
  <c r="AF83" i="3"/>
  <c r="AG83" i="3"/>
  <c r="AH83" i="3"/>
  <c r="AI83" i="3"/>
  <c r="AJ83" i="3"/>
  <c r="AK83" i="3"/>
  <c r="AL83" i="3"/>
  <c r="AM83" i="3"/>
  <c r="AN83" i="3"/>
  <c r="W84" i="3"/>
  <c r="X84" i="3"/>
  <c r="Y84" i="3"/>
  <c r="Z84" i="3"/>
  <c r="AA84" i="3"/>
  <c r="AB84" i="3"/>
  <c r="AC84" i="3"/>
  <c r="AD84" i="3"/>
  <c r="AE84" i="3"/>
  <c r="AF84" i="3"/>
  <c r="AG84" i="3"/>
  <c r="AH84" i="3"/>
  <c r="AI84" i="3"/>
  <c r="AJ84" i="3"/>
  <c r="AK84" i="3"/>
  <c r="AL84" i="3"/>
  <c r="AM84" i="3"/>
  <c r="AN84" i="3"/>
  <c r="W85" i="3"/>
  <c r="X85" i="3"/>
  <c r="Y85" i="3"/>
  <c r="Z85" i="3"/>
  <c r="AA85" i="3"/>
  <c r="AB85" i="3"/>
  <c r="AC85" i="3"/>
  <c r="AD85" i="3"/>
  <c r="AE85" i="3"/>
  <c r="AF85" i="3"/>
  <c r="AG85" i="3"/>
  <c r="AH85" i="3"/>
  <c r="AI85" i="3"/>
  <c r="AJ85" i="3"/>
  <c r="AK85" i="3"/>
  <c r="AL85" i="3"/>
  <c r="AM85" i="3"/>
  <c r="AN85" i="3"/>
  <c r="W86" i="3"/>
  <c r="X86" i="3"/>
  <c r="Y86" i="3"/>
  <c r="Z86" i="3"/>
  <c r="AA86" i="3"/>
  <c r="AB86" i="3"/>
  <c r="AC86" i="3"/>
  <c r="AD86" i="3"/>
  <c r="AE86" i="3"/>
  <c r="AF86" i="3"/>
  <c r="AG86" i="3"/>
  <c r="AH86" i="3"/>
  <c r="AI86" i="3"/>
  <c r="AJ86" i="3"/>
  <c r="AK86" i="3"/>
  <c r="AL86" i="3"/>
  <c r="AM86" i="3"/>
  <c r="AN86" i="3"/>
  <c r="W87" i="3"/>
  <c r="X87" i="3"/>
  <c r="Y87" i="3"/>
  <c r="Z87" i="3"/>
  <c r="AA87" i="3"/>
  <c r="AB87" i="3"/>
  <c r="AC87" i="3"/>
  <c r="AD87" i="3"/>
  <c r="AE87" i="3"/>
  <c r="AF87" i="3"/>
  <c r="AG87" i="3"/>
  <c r="AH87" i="3"/>
  <c r="AI87" i="3"/>
  <c r="AJ87" i="3"/>
  <c r="AK87" i="3"/>
  <c r="AL87" i="3"/>
  <c r="AM87" i="3"/>
  <c r="AN87" i="3"/>
  <c r="V83" i="3"/>
  <c r="V84" i="3"/>
  <c r="V85" i="3"/>
  <c r="V86" i="3"/>
  <c r="V87" i="3"/>
  <c r="V82" i="3"/>
  <c r="W80" i="3"/>
  <c r="X80" i="3"/>
  <c r="Y80" i="3"/>
  <c r="Z80" i="3"/>
  <c r="AA80" i="3"/>
  <c r="AB80" i="3"/>
  <c r="AC80" i="3"/>
  <c r="AD80" i="3"/>
  <c r="AE80" i="3"/>
  <c r="AF80" i="3"/>
  <c r="AG80" i="3"/>
  <c r="AH80" i="3"/>
  <c r="AI80" i="3"/>
  <c r="AJ80" i="3"/>
  <c r="AK80" i="3"/>
  <c r="AL80" i="3"/>
  <c r="AM80" i="3"/>
  <c r="AN80" i="3"/>
  <c r="V80" i="3"/>
  <c r="W9" i="3"/>
  <c r="X9" i="3"/>
  <c r="Y9" i="3"/>
  <c r="Z9" i="3"/>
  <c r="AA9" i="3"/>
  <c r="AB9" i="3"/>
  <c r="AC9" i="3"/>
  <c r="AD9" i="3"/>
  <c r="AE9" i="3"/>
  <c r="AF9" i="3"/>
  <c r="AG9" i="3"/>
  <c r="AH9" i="3"/>
  <c r="AI9" i="3"/>
  <c r="AJ9" i="3"/>
  <c r="AK9" i="3"/>
  <c r="AL9" i="3"/>
  <c r="AM9" i="3"/>
  <c r="AN9" i="3"/>
  <c r="W10" i="3"/>
  <c r="X10" i="3"/>
  <c r="Y10" i="3"/>
  <c r="Z10" i="3"/>
  <c r="AA10" i="3"/>
  <c r="AB10" i="3"/>
  <c r="AC10" i="3"/>
  <c r="AD10" i="3"/>
  <c r="AE10" i="3"/>
  <c r="AF10" i="3"/>
  <c r="AG10" i="3"/>
  <c r="AH10" i="3"/>
  <c r="AI10" i="3"/>
  <c r="AJ10" i="3"/>
  <c r="AK10" i="3"/>
  <c r="AL10" i="3"/>
  <c r="AM10" i="3"/>
  <c r="AN10" i="3"/>
  <c r="W11" i="3"/>
  <c r="X11" i="3"/>
  <c r="Y11" i="3"/>
  <c r="Z11" i="3"/>
  <c r="AA11" i="3"/>
  <c r="AB11" i="3"/>
  <c r="AC11" i="3"/>
  <c r="AD11" i="3"/>
  <c r="AE11" i="3"/>
  <c r="AF11" i="3"/>
  <c r="AG11" i="3"/>
  <c r="AH11" i="3"/>
  <c r="AI11" i="3"/>
  <c r="AJ11" i="3"/>
  <c r="AK11" i="3"/>
  <c r="AL11" i="3"/>
  <c r="AM11" i="3"/>
  <c r="AN11" i="3"/>
  <c r="W12" i="3"/>
  <c r="X12" i="3"/>
  <c r="Y12" i="3"/>
  <c r="Z12" i="3"/>
  <c r="AA12" i="3"/>
  <c r="AB12" i="3"/>
  <c r="AC12" i="3"/>
  <c r="AD12" i="3"/>
  <c r="AE12" i="3"/>
  <c r="AF12" i="3"/>
  <c r="AG12" i="3"/>
  <c r="AH12" i="3"/>
  <c r="AI12" i="3"/>
  <c r="AJ12" i="3"/>
  <c r="AK12" i="3"/>
  <c r="AL12" i="3"/>
  <c r="AM12" i="3"/>
  <c r="AN12" i="3"/>
  <c r="W13" i="3"/>
  <c r="X13" i="3"/>
  <c r="Y13" i="3"/>
  <c r="Z13" i="3"/>
  <c r="AA13" i="3"/>
  <c r="AB13" i="3"/>
  <c r="AC13" i="3"/>
  <c r="AD13" i="3"/>
  <c r="AE13" i="3"/>
  <c r="AF13" i="3"/>
  <c r="AG13" i="3"/>
  <c r="AH13" i="3"/>
  <c r="AI13" i="3"/>
  <c r="AJ13" i="3"/>
  <c r="AK13" i="3"/>
  <c r="AL13" i="3"/>
  <c r="AM13" i="3"/>
  <c r="AN13" i="3"/>
  <c r="W14" i="3"/>
  <c r="X14" i="3"/>
  <c r="Y14" i="3"/>
  <c r="Z14" i="3"/>
  <c r="AA14" i="3"/>
  <c r="AB14" i="3"/>
  <c r="AC14" i="3"/>
  <c r="AD14" i="3"/>
  <c r="AE14" i="3"/>
  <c r="AF14" i="3"/>
  <c r="AG14" i="3"/>
  <c r="AH14" i="3"/>
  <c r="AI14" i="3"/>
  <c r="AJ14" i="3"/>
  <c r="AK14" i="3"/>
  <c r="AL14" i="3"/>
  <c r="AM14" i="3"/>
  <c r="AN14" i="3"/>
  <c r="W15" i="3"/>
  <c r="X15" i="3"/>
  <c r="Y15" i="3"/>
  <c r="Z15" i="3"/>
  <c r="AA15" i="3"/>
  <c r="AB15" i="3"/>
  <c r="AC15" i="3"/>
  <c r="AD15" i="3"/>
  <c r="AE15" i="3"/>
  <c r="AF15" i="3"/>
  <c r="AG15" i="3"/>
  <c r="AH15" i="3"/>
  <c r="AI15" i="3"/>
  <c r="AJ15" i="3"/>
  <c r="AK15" i="3"/>
  <c r="AL15" i="3"/>
  <c r="AM15" i="3"/>
  <c r="AN15" i="3"/>
  <c r="W16" i="3"/>
  <c r="X16" i="3"/>
  <c r="Y16" i="3"/>
  <c r="Z16" i="3"/>
  <c r="AA16" i="3"/>
  <c r="AB16" i="3"/>
  <c r="AC16" i="3"/>
  <c r="AD16" i="3"/>
  <c r="AE16" i="3"/>
  <c r="AF16" i="3"/>
  <c r="AG16" i="3"/>
  <c r="AH16" i="3"/>
  <c r="AI16" i="3"/>
  <c r="AJ16" i="3"/>
  <c r="AK16" i="3"/>
  <c r="AL16" i="3"/>
  <c r="AM16" i="3"/>
  <c r="AN16" i="3"/>
  <c r="W17" i="3"/>
  <c r="X17" i="3"/>
  <c r="Y17" i="3"/>
  <c r="Z17" i="3"/>
  <c r="AA17" i="3"/>
  <c r="AB17" i="3"/>
  <c r="AC17" i="3"/>
  <c r="AD17" i="3"/>
  <c r="AE17" i="3"/>
  <c r="AF17" i="3"/>
  <c r="AG17" i="3"/>
  <c r="AH17" i="3"/>
  <c r="AI17" i="3"/>
  <c r="AJ17" i="3"/>
  <c r="AK17" i="3"/>
  <c r="AL17" i="3"/>
  <c r="AM17" i="3"/>
  <c r="AN17" i="3"/>
  <c r="W18" i="3"/>
  <c r="X18" i="3"/>
  <c r="Y18" i="3"/>
  <c r="Z18" i="3"/>
  <c r="AA18" i="3"/>
  <c r="AB18" i="3"/>
  <c r="AC18" i="3"/>
  <c r="AD18" i="3"/>
  <c r="AE18" i="3"/>
  <c r="AF18" i="3"/>
  <c r="AG18" i="3"/>
  <c r="AH18" i="3"/>
  <c r="AI18" i="3"/>
  <c r="AJ18" i="3"/>
  <c r="AK18" i="3"/>
  <c r="AL18" i="3"/>
  <c r="AM18" i="3"/>
  <c r="AN18" i="3"/>
  <c r="W19" i="3"/>
  <c r="X19" i="3"/>
  <c r="Y19" i="3"/>
  <c r="Z19" i="3"/>
  <c r="AA19" i="3"/>
  <c r="AB19" i="3"/>
  <c r="AC19" i="3"/>
  <c r="AD19" i="3"/>
  <c r="AE19" i="3"/>
  <c r="AF19" i="3"/>
  <c r="AG19" i="3"/>
  <c r="AH19" i="3"/>
  <c r="AI19" i="3"/>
  <c r="AJ19" i="3"/>
  <c r="AK19" i="3"/>
  <c r="AL19" i="3"/>
  <c r="AM19" i="3"/>
  <c r="AN19" i="3"/>
  <c r="W20" i="3"/>
  <c r="X20" i="3"/>
  <c r="Y20" i="3"/>
  <c r="Z20" i="3"/>
  <c r="AA20" i="3"/>
  <c r="AB20" i="3"/>
  <c r="AC20" i="3"/>
  <c r="AD20" i="3"/>
  <c r="AE20" i="3"/>
  <c r="AF20" i="3"/>
  <c r="AG20" i="3"/>
  <c r="AH20" i="3"/>
  <c r="AI20" i="3"/>
  <c r="AJ20" i="3"/>
  <c r="AK20" i="3"/>
  <c r="AL20" i="3"/>
  <c r="AM20" i="3"/>
  <c r="AN20" i="3"/>
  <c r="W21" i="3"/>
  <c r="X21" i="3"/>
  <c r="Y21" i="3"/>
  <c r="Z21" i="3"/>
  <c r="AA21" i="3"/>
  <c r="AB21" i="3"/>
  <c r="AC21" i="3"/>
  <c r="AD21" i="3"/>
  <c r="AE21" i="3"/>
  <c r="AF21" i="3"/>
  <c r="AG21" i="3"/>
  <c r="AH21" i="3"/>
  <c r="AI21" i="3"/>
  <c r="AJ21" i="3"/>
  <c r="AK21" i="3"/>
  <c r="AL21" i="3"/>
  <c r="AM21" i="3"/>
  <c r="AN21" i="3"/>
  <c r="W22" i="3"/>
  <c r="X22" i="3"/>
  <c r="Y22" i="3"/>
  <c r="Z22" i="3"/>
  <c r="AA22" i="3"/>
  <c r="AB22" i="3"/>
  <c r="AC22" i="3"/>
  <c r="AD22" i="3"/>
  <c r="AE22" i="3"/>
  <c r="AF22" i="3"/>
  <c r="AG22" i="3"/>
  <c r="AH22" i="3"/>
  <c r="AI22" i="3"/>
  <c r="AJ22" i="3"/>
  <c r="AK22" i="3"/>
  <c r="AL22" i="3"/>
  <c r="AM22" i="3"/>
  <c r="AN22" i="3"/>
  <c r="W23" i="3"/>
  <c r="X23" i="3"/>
  <c r="Y23" i="3"/>
  <c r="Z23" i="3"/>
  <c r="AA23" i="3"/>
  <c r="AB23" i="3"/>
  <c r="AC23" i="3"/>
  <c r="AD23" i="3"/>
  <c r="AE23" i="3"/>
  <c r="AF23" i="3"/>
  <c r="AG23" i="3"/>
  <c r="AH23" i="3"/>
  <c r="AI23" i="3"/>
  <c r="AJ23" i="3"/>
  <c r="AK23" i="3"/>
  <c r="AL23" i="3"/>
  <c r="AM23" i="3"/>
  <c r="AN23" i="3"/>
  <c r="W24" i="3"/>
  <c r="X24" i="3"/>
  <c r="Y24" i="3"/>
  <c r="Z24" i="3"/>
  <c r="AA24" i="3"/>
  <c r="AB24" i="3"/>
  <c r="AC24" i="3"/>
  <c r="AD24" i="3"/>
  <c r="AE24" i="3"/>
  <c r="AF24" i="3"/>
  <c r="AG24" i="3"/>
  <c r="AH24" i="3"/>
  <c r="AI24" i="3"/>
  <c r="AJ24" i="3"/>
  <c r="AK24" i="3"/>
  <c r="AL24" i="3"/>
  <c r="AM24" i="3"/>
  <c r="AN24" i="3"/>
  <c r="W25" i="3"/>
  <c r="X25" i="3"/>
  <c r="Y25" i="3"/>
  <c r="Z25" i="3"/>
  <c r="AA25" i="3"/>
  <c r="AB25" i="3"/>
  <c r="AC25" i="3"/>
  <c r="AD25" i="3"/>
  <c r="AE25" i="3"/>
  <c r="AF25" i="3"/>
  <c r="AG25" i="3"/>
  <c r="AH25" i="3"/>
  <c r="AI25" i="3"/>
  <c r="AJ25" i="3"/>
  <c r="AK25" i="3"/>
  <c r="AL25" i="3"/>
  <c r="AM25" i="3"/>
  <c r="AN25" i="3"/>
  <c r="W26" i="3"/>
  <c r="X26" i="3"/>
  <c r="Y26" i="3"/>
  <c r="Z26" i="3"/>
  <c r="AA26" i="3"/>
  <c r="AB26" i="3"/>
  <c r="AC26" i="3"/>
  <c r="AD26" i="3"/>
  <c r="AE26" i="3"/>
  <c r="AF26" i="3"/>
  <c r="AG26" i="3"/>
  <c r="AH26" i="3"/>
  <c r="AI26" i="3"/>
  <c r="AJ26" i="3"/>
  <c r="AK26" i="3"/>
  <c r="AL26" i="3"/>
  <c r="AM26" i="3"/>
  <c r="AN26" i="3"/>
  <c r="W27" i="3"/>
  <c r="X27" i="3"/>
  <c r="Y27" i="3"/>
  <c r="Z27" i="3"/>
  <c r="AA27" i="3"/>
  <c r="AB27" i="3"/>
  <c r="AC27" i="3"/>
  <c r="AD27" i="3"/>
  <c r="AE27" i="3"/>
  <c r="AF27" i="3"/>
  <c r="AG27" i="3"/>
  <c r="AH27" i="3"/>
  <c r="AI27" i="3"/>
  <c r="AJ27" i="3"/>
  <c r="AK27" i="3"/>
  <c r="AL27" i="3"/>
  <c r="AM27" i="3"/>
  <c r="AN27" i="3"/>
  <c r="W28" i="3"/>
  <c r="X28" i="3"/>
  <c r="Y28" i="3"/>
  <c r="Z28" i="3"/>
  <c r="AA28" i="3"/>
  <c r="AB28" i="3"/>
  <c r="AC28" i="3"/>
  <c r="AD28" i="3"/>
  <c r="AE28" i="3"/>
  <c r="AF28" i="3"/>
  <c r="AG28" i="3"/>
  <c r="AH28" i="3"/>
  <c r="AI28" i="3"/>
  <c r="AJ28" i="3"/>
  <c r="AK28" i="3"/>
  <c r="AL28" i="3"/>
  <c r="AM28" i="3"/>
  <c r="AN28" i="3"/>
  <c r="W29" i="3"/>
  <c r="X29" i="3"/>
  <c r="Y29" i="3"/>
  <c r="Z29" i="3"/>
  <c r="AA29" i="3"/>
  <c r="AB29" i="3"/>
  <c r="AC29" i="3"/>
  <c r="AD29" i="3"/>
  <c r="AE29" i="3"/>
  <c r="AF29" i="3"/>
  <c r="AG29" i="3"/>
  <c r="AH29" i="3"/>
  <c r="AI29" i="3"/>
  <c r="AJ29" i="3"/>
  <c r="AK29" i="3"/>
  <c r="AL29" i="3"/>
  <c r="AM29" i="3"/>
  <c r="AN29" i="3"/>
  <c r="W30" i="3"/>
  <c r="X30" i="3"/>
  <c r="Y30" i="3"/>
  <c r="Z30" i="3"/>
  <c r="AA30" i="3"/>
  <c r="AB30" i="3"/>
  <c r="AC30" i="3"/>
  <c r="AD30" i="3"/>
  <c r="AE30" i="3"/>
  <c r="AF30" i="3"/>
  <c r="AG30" i="3"/>
  <c r="AH30" i="3"/>
  <c r="AI30" i="3"/>
  <c r="AJ30" i="3"/>
  <c r="AK30" i="3"/>
  <c r="AL30" i="3"/>
  <c r="AM30" i="3"/>
  <c r="AN30" i="3"/>
  <c r="W31" i="3"/>
  <c r="X31" i="3"/>
  <c r="Y31" i="3"/>
  <c r="Z31" i="3"/>
  <c r="AA31" i="3"/>
  <c r="AB31" i="3"/>
  <c r="AC31" i="3"/>
  <c r="AD31" i="3"/>
  <c r="AE31" i="3"/>
  <c r="AF31" i="3"/>
  <c r="AG31" i="3"/>
  <c r="AH31" i="3"/>
  <c r="AI31" i="3"/>
  <c r="AJ31" i="3"/>
  <c r="AK31" i="3"/>
  <c r="AL31" i="3"/>
  <c r="AM31" i="3"/>
  <c r="AN31" i="3"/>
  <c r="W32" i="3"/>
  <c r="X32" i="3"/>
  <c r="Y32" i="3"/>
  <c r="Z32" i="3"/>
  <c r="AA32" i="3"/>
  <c r="AB32" i="3"/>
  <c r="AC32" i="3"/>
  <c r="AD32" i="3"/>
  <c r="AE32" i="3"/>
  <c r="AF32" i="3"/>
  <c r="AG32" i="3"/>
  <c r="AH32" i="3"/>
  <c r="AI32" i="3"/>
  <c r="AJ32" i="3"/>
  <c r="AK32" i="3"/>
  <c r="AL32" i="3"/>
  <c r="AM32" i="3"/>
  <c r="AN32" i="3"/>
  <c r="W33" i="3"/>
  <c r="X33" i="3"/>
  <c r="Y33" i="3"/>
  <c r="Z33" i="3"/>
  <c r="AA33" i="3"/>
  <c r="AB33" i="3"/>
  <c r="AC33" i="3"/>
  <c r="AD33" i="3"/>
  <c r="AE33" i="3"/>
  <c r="AF33" i="3"/>
  <c r="AG33" i="3"/>
  <c r="AH33" i="3"/>
  <c r="AI33" i="3"/>
  <c r="AJ33" i="3"/>
  <c r="AK33" i="3"/>
  <c r="AL33" i="3"/>
  <c r="AM33" i="3"/>
  <c r="AN33" i="3"/>
  <c r="W34" i="3"/>
  <c r="X34" i="3"/>
  <c r="Y34" i="3"/>
  <c r="Z34" i="3"/>
  <c r="AA34" i="3"/>
  <c r="AB34" i="3"/>
  <c r="AC34" i="3"/>
  <c r="AD34" i="3"/>
  <c r="AE34" i="3"/>
  <c r="AF34" i="3"/>
  <c r="AG34" i="3"/>
  <c r="AH34" i="3"/>
  <c r="AI34" i="3"/>
  <c r="AJ34" i="3"/>
  <c r="AK34" i="3"/>
  <c r="AL34" i="3"/>
  <c r="AM34" i="3"/>
  <c r="AN34" i="3"/>
  <c r="W35" i="3"/>
  <c r="X35" i="3"/>
  <c r="Y35" i="3"/>
  <c r="Z35" i="3"/>
  <c r="AA35" i="3"/>
  <c r="AB35" i="3"/>
  <c r="AC35" i="3"/>
  <c r="AD35" i="3"/>
  <c r="AE35" i="3"/>
  <c r="AF35" i="3"/>
  <c r="AG35" i="3"/>
  <c r="AH35" i="3"/>
  <c r="AI35" i="3"/>
  <c r="AJ35" i="3"/>
  <c r="AK35" i="3"/>
  <c r="AL35" i="3"/>
  <c r="AM35" i="3"/>
  <c r="AN35" i="3"/>
  <c r="W36" i="3"/>
  <c r="X36" i="3"/>
  <c r="Y36" i="3"/>
  <c r="Z36" i="3"/>
  <c r="AA36" i="3"/>
  <c r="AB36" i="3"/>
  <c r="AC36" i="3"/>
  <c r="AD36" i="3"/>
  <c r="AE36" i="3"/>
  <c r="AF36" i="3"/>
  <c r="AG36" i="3"/>
  <c r="AH36" i="3"/>
  <c r="AI36" i="3"/>
  <c r="AJ36" i="3"/>
  <c r="AK36" i="3"/>
  <c r="AL36" i="3"/>
  <c r="AM36" i="3"/>
  <c r="AN36" i="3"/>
  <c r="W37" i="3"/>
  <c r="X37" i="3"/>
  <c r="Y37" i="3"/>
  <c r="Z37" i="3"/>
  <c r="AA37" i="3"/>
  <c r="AB37" i="3"/>
  <c r="AC37" i="3"/>
  <c r="AD37" i="3"/>
  <c r="AE37" i="3"/>
  <c r="AF37" i="3"/>
  <c r="AG37" i="3"/>
  <c r="AH37" i="3"/>
  <c r="AI37" i="3"/>
  <c r="AJ37" i="3"/>
  <c r="AK37" i="3"/>
  <c r="AL37" i="3"/>
  <c r="AM37" i="3"/>
  <c r="AN37" i="3"/>
  <c r="W38" i="3"/>
  <c r="X38" i="3"/>
  <c r="Y38" i="3"/>
  <c r="Z38" i="3"/>
  <c r="AA38" i="3"/>
  <c r="AB38" i="3"/>
  <c r="AC38" i="3"/>
  <c r="AD38" i="3"/>
  <c r="AE38" i="3"/>
  <c r="AF38" i="3"/>
  <c r="AG38" i="3"/>
  <c r="AH38" i="3"/>
  <c r="AI38" i="3"/>
  <c r="AJ38" i="3"/>
  <c r="AK38" i="3"/>
  <c r="AL38" i="3"/>
  <c r="AM38" i="3"/>
  <c r="AN38" i="3"/>
  <c r="W39" i="3"/>
  <c r="X39" i="3"/>
  <c r="Y39" i="3"/>
  <c r="Z39" i="3"/>
  <c r="AA39" i="3"/>
  <c r="AB39" i="3"/>
  <c r="AC39" i="3"/>
  <c r="AD39" i="3"/>
  <c r="AE39" i="3"/>
  <c r="AF39" i="3"/>
  <c r="AG39" i="3"/>
  <c r="AH39" i="3"/>
  <c r="AI39" i="3"/>
  <c r="AJ39" i="3"/>
  <c r="AK39" i="3"/>
  <c r="AL39" i="3"/>
  <c r="AM39" i="3"/>
  <c r="AN39" i="3"/>
  <c r="W40" i="3"/>
  <c r="X40" i="3"/>
  <c r="Y40" i="3"/>
  <c r="Z40" i="3"/>
  <c r="AA40" i="3"/>
  <c r="AB40" i="3"/>
  <c r="AC40" i="3"/>
  <c r="AD40" i="3"/>
  <c r="AE40" i="3"/>
  <c r="AF40" i="3"/>
  <c r="AG40" i="3"/>
  <c r="AH40" i="3"/>
  <c r="AI40" i="3"/>
  <c r="AJ40" i="3"/>
  <c r="AK40" i="3"/>
  <c r="AL40" i="3"/>
  <c r="AM40" i="3"/>
  <c r="AN40" i="3"/>
  <c r="W41" i="3"/>
  <c r="X41" i="3"/>
  <c r="Y41" i="3"/>
  <c r="Z41" i="3"/>
  <c r="AA41" i="3"/>
  <c r="AB41" i="3"/>
  <c r="AC41" i="3"/>
  <c r="AD41" i="3"/>
  <c r="AE41" i="3"/>
  <c r="AF41" i="3"/>
  <c r="AG41" i="3"/>
  <c r="AH41" i="3"/>
  <c r="AI41" i="3"/>
  <c r="AJ41" i="3"/>
  <c r="AK41" i="3"/>
  <c r="AL41" i="3"/>
  <c r="AM41" i="3"/>
  <c r="AN41" i="3"/>
  <c r="W42" i="3"/>
  <c r="X42" i="3"/>
  <c r="Y42" i="3"/>
  <c r="Z42" i="3"/>
  <c r="AA42" i="3"/>
  <c r="AB42" i="3"/>
  <c r="AC42" i="3"/>
  <c r="AD42" i="3"/>
  <c r="AE42" i="3"/>
  <c r="AF42" i="3"/>
  <c r="AG42" i="3"/>
  <c r="AH42" i="3"/>
  <c r="AI42" i="3"/>
  <c r="AJ42" i="3"/>
  <c r="AK42" i="3"/>
  <c r="AL42" i="3"/>
  <c r="AM42" i="3"/>
  <c r="AN42" i="3"/>
  <c r="W43" i="3"/>
  <c r="X43" i="3"/>
  <c r="Y43" i="3"/>
  <c r="Z43" i="3"/>
  <c r="AA43" i="3"/>
  <c r="AB43" i="3"/>
  <c r="AC43" i="3"/>
  <c r="AD43" i="3"/>
  <c r="AE43" i="3"/>
  <c r="AF43" i="3"/>
  <c r="AG43" i="3"/>
  <c r="AH43" i="3"/>
  <c r="AI43" i="3"/>
  <c r="AJ43" i="3"/>
  <c r="AK43" i="3"/>
  <c r="AL43" i="3"/>
  <c r="AM43" i="3"/>
  <c r="AN43" i="3"/>
  <c r="W44" i="3"/>
  <c r="X44" i="3"/>
  <c r="Y44" i="3"/>
  <c r="Z44" i="3"/>
  <c r="AA44" i="3"/>
  <c r="AB44" i="3"/>
  <c r="AC44" i="3"/>
  <c r="AD44" i="3"/>
  <c r="AE44" i="3"/>
  <c r="AF44" i="3"/>
  <c r="AG44" i="3"/>
  <c r="AH44" i="3"/>
  <c r="AI44" i="3"/>
  <c r="AJ44" i="3"/>
  <c r="AK44" i="3"/>
  <c r="AL44" i="3"/>
  <c r="AM44" i="3"/>
  <c r="AN44" i="3"/>
  <c r="W45" i="3"/>
  <c r="X45" i="3"/>
  <c r="Y45" i="3"/>
  <c r="Z45" i="3"/>
  <c r="AA45" i="3"/>
  <c r="AB45" i="3"/>
  <c r="AC45" i="3"/>
  <c r="AD45" i="3"/>
  <c r="AE45" i="3"/>
  <c r="AF45" i="3"/>
  <c r="AG45" i="3"/>
  <c r="AH45" i="3"/>
  <c r="AI45" i="3"/>
  <c r="AJ45" i="3"/>
  <c r="AK45" i="3"/>
  <c r="AL45" i="3"/>
  <c r="AM45" i="3"/>
  <c r="AN45" i="3"/>
  <c r="W46" i="3"/>
  <c r="X46" i="3"/>
  <c r="Y46" i="3"/>
  <c r="Z46" i="3"/>
  <c r="AA46" i="3"/>
  <c r="AB46" i="3"/>
  <c r="AC46" i="3"/>
  <c r="AD46" i="3"/>
  <c r="AE46" i="3"/>
  <c r="AF46" i="3"/>
  <c r="AG46" i="3"/>
  <c r="AH46" i="3"/>
  <c r="AI46" i="3"/>
  <c r="AJ46" i="3"/>
  <c r="AK46" i="3"/>
  <c r="AL46" i="3"/>
  <c r="AM46" i="3"/>
  <c r="AN46" i="3"/>
  <c r="W47" i="3"/>
  <c r="X47" i="3"/>
  <c r="Y47" i="3"/>
  <c r="Z47" i="3"/>
  <c r="AA47" i="3"/>
  <c r="AB47" i="3"/>
  <c r="AC47" i="3"/>
  <c r="AD47" i="3"/>
  <c r="AE47" i="3"/>
  <c r="AF47" i="3"/>
  <c r="AG47" i="3"/>
  <c r="AH47" i="3"/>
  <c r="AI47" i="3"/>
  <c r="AJ47" i="3"/>
  <c r="AK47" i="3"/>
  <c r="AL47" i="3"/>
  <c r="AM47" i="3"/>
  <c r="AN47" i="3"/>
  <c r="W48" i="3"/>
  <c r="X48" i="3"/>
  <c r="Y48" i="3"/>
  <c r="Z48" i="3"/>
  <c r="AA48" i="3"/>
  <c r="AB48" i="3"/>
  <c r="AC48" i="3"/>
  <c r="AD48" i="3"/>
  <c r="AE48" i="3"/>
  <c r="AF48" i="3"/>
  <c r="AG48" i="3"/>
  <c r="AH48" i="3"/>
  <c r="AI48" i="3"/>
  <c r="AJ48" i="3"/>
  <c r="AK48" i="3"/>
  <c r="AL48" i="3"/>
  <c r="AM48" i="3"/>
  <c r="AN48" i="3"/>
  <c r="W49" i="3"/>
  <c r="X49" i="3"/>
  <c r="Y49" i="3"/>
  <c r="Z49" i="3"/>
  <c r="AA49" i="3"/>
  <c r="AB49" i="3"/>
  <c r="AC49" i="3"/>
  <c r="AD49" i="3"/>
  <c r="AE49" i="3"/>
  <c r="AF49" i="3"/>
  <c r="AG49" i="3"/>
  <c r="AH49" i="3"/>
  <c r="AI49" i="3"/>
  <c r="AJ49" i="3"/>
  <c r="AK49" i="3"/>
  <c r="AL49" i="3"/>
  <c r="AM49" i="3"/>
  <c r="AN49" i="3"/>
  <c r="W50" i="3"/>
  <c r="X50" i="3"/>
  <c r="Y50" i="3"/>
  <c r="Z50" i="3"/>
  <c r="AA50" i="3"/>
  <c r="AB50" i="3"/>
  <c r="AC50" i="3"/>
  <c r="AD50" i="3"/>
  <c r="AE50" i="3"/>
  <c r="AF50" i="3"/>
  <c r="AG50" i="3"/>
  <c r="AH50" i="3"/>
  <c r="AI50" i="3"/>
  <c r="AJ50" i="3"/>
  <c r="AK50" i="3"/>
  <c r="AL50" i="3"/>
  <c r="AM50" i="3"/>
  <c r="AN50" i="3"/>
  <c r="W51" i="3"/>
  <c r="X51" i="3"/>
  <c r="Y51" i="3"/>
  <c r="Z51" i="3"/>
  <c r="AA51" i="3"/>
  <c r="AB51" i="3"/>
  <c r="AC51" i="3"/>
  <c r="AD51" i="3"/>
  <c r="AE51" i="3"/>
  <c r="AF51" i="3"/>
  <c r="AG51" i="3"/>
  <c r="AH51" i="3"/>
  <c r="AI51" i="3"/>
  <c r="AJ51" i="3"/>
  <c r="AK51" i="3"/>
  <c r="AL51" i="3"/>
  <c r="AM51" i="3"/>
  <c r="AN51" i="3"/>
  <c r="W52" i="3"/>
  <c r="X52" i="3"/>
  <c r="Y52" i="3"/>
  <c r="Z52" i="3"/>
  <c r="AA52" i="3"/>
  <c r="AB52" i="3"/>
  <c r="AC52" i="3"/>
  <c r="AD52" i="3"/>
  <c r="AE52" i="3"/>
  <c r="AF52" i="3"/>
  <c r="AG52" i="3"/>
  <c r="AH52" i="3"/>
  <c r="AI52" i="3"/>
  <c r="AJ52" i="3"/>
  <c r="AK52" i="3"/>
  <c r="AL52" i="3"/>
  <c r="AM52" i="3"/>
  <c r="AN52" i="3"/>
  <c r="W53" i="3"/>
  <c r="X53" i="3"/>
  <c r="Y53" i="3"/>
  <c r="Z53" i="3"/>
  <c r="AA53" i="3"/>
  <c r="AB53" i="3"/>
  <c r="AC53" i="3"/>
  <c r="AD53" i="3"/>
  <c r="AE53" i="3"/>
  <c r="AF53" i="3"/>
  <c r="AG53" i="3"/>
  <c r="AH53" i="3"/>
  <c r="AI53" i="3"/>
  <c r="AJ53" i="3"/>
  <c r="AK53" i="3"/>
  <c r="AL53" i="3"/>
  <c r="AM53" i="3"/>
  <c r="AN53" i="3"/>
  <c r="W54" i="3"/>
  <c r="X54" i="3"/>
  <c r="Y54" i="3"/>
  <c r="Z54" i="3"/>
  <c r="AA54" i="3"/>
  <c r="AB54" i="3"/>
  <c r="AC54" i="3"/>
  <c r="AD54" i="3"/>
  <c r="AE54" i="3"/>
  <c r="AF54" i="3"/>
  <c r="AG54" i="3"/>
  <c r="AH54" i="3"/>
  <c r="AI54" i="3"/>
  <c r="AJ54" i="3"/>
  <c r="AK54" i="3"/>
  <c r="AL54" i="3"/>
  <c r="AM54" i="3"/>
  <c r="AN54" i="3"/>
  <c r="W55" i="3"/>
  <c r="X55" i="3"/>
  <c r="Y55" i="3"/>
  <c r="Z55" i="3"/>
  <c r="AA55" i="3"/>
  <c r="AB55" i="3"/>
  <c r="AC55" i="3"/>
  <c r="AD55" i="3"/>
  <c r="AE55" i="3"/>
  <c r="AF55" i="3"/>
  <c r="AG55" i="3"/>
  <c r="AH55" i="3"/>
  <c r="AI55" i="3"/>
  <c r="AJ55" i="3"/>
  <c r="AK55" i="3"/>
  <c r="AL55" i="3"/>
  <c r="AM55" i="3"/>
  <c r="AN55" i="3"/>
  <c r="W56" i="3"/>
  <c r="X56" i="3"/>
  <c r="Y56" i="3"/>
  <c r="Z56" i="3"/>
  <c r="AA56" i="3"/>
  <c r="AB56" i="3"/>
  <c r="AC56" i="3"/>
  <c r="AD56" i="3"/>
  <c r="AE56" i="3"/>
  <c r="AF56" i="3"/>
  <c r="AG56" i="3"/>
  <c r="AH56" i="3"/>
  <c r="AI56" i="3"/>
  <c r="AJ56" i="3"/>
  <c r="AK56" i="3"/>
  <c r="AL56" i="3"/>
  <c r="AM56" i="3"/>
  <c r="AN56" i="3"/>
  <c r="W57" i="3"/>
  <c r="X57" i="3"/>
  <c r="Y57" i="3"/>
  <c r="Z57" i="3"/>
  <c r="AA57" i="3"/>
  <c r="AB57" i="3"/>
  <c r="AC57" i="3"/>
  <c r="AD57" i="3"/>
  <c r="AE57" i="3"/>
  <c r="AF57" i="3"/>
  <c r="AG57" i="3"/>
  <c r="AH57" i="3"/>
  <c r="AI57" i="3"/>
  <c r="AJ57" i="3"/>
  <c r="AK57" i="3"/>
  <c r="AL57" i="3"/>
  <c r="AM57" i="3"/>
  <c r="AN57" i="3"/>
  <c r="W58" i="3"/>
  <c r="X58" i="3"/>
  <c r="Y58" i="3"/>
  <c r="Z58" i="3"/>
  <c r="AA58" i="3"/>
  <c r="AB58" i="3"/>
  <c r="AC58" i="3"/>
  <c r="AD58" i="3"/>
  <c r="AE58" i="3"/>
  <c r="AF58" i="3"/>
  <c r="AG58" i="3"/>
  <c r="AH58" i="3"/>
  <c r="AI58" i="3"/>
  <c r="AJ58" i="3"/>
  <c r="AK58" i="3"/>
  <c r="AL58" i="3"/>
  <c r="AM58" i="3"/>
  <c r="AN58" i="3"/>
  <c r="W59" i="3"/>
  <c r="X59" i="3"/>
  <c r="Y59" i="3"/>
  <c r="Z59" i="3"/>
  <c r="AA59" i="3"/>
  <c r="AB59" i="3"/>
  <c r="AC59" i="3"/>
  <c r="AD59" i="3"/>
  <c r="AE59" i="3"/>
  <c r="AF59" i="3"/>
  <c r="AG59" i="3"/>
  <c r="AH59" i="3"/>
  <c r="AI59" i="3"/>
  <c r="AJ59" i="3"/>
  <c r="AK59" i="3"/>
  <c r="AL59" i="3"/>
  <c r="AM59" i="3"/>
  <c r="AN59" i="3"/>
  <c r="W60" i="3"/>
  <c r="X60" i="3"/>
  <c r="Y60" i="3"/>
  <c r="Z60" i="3"/>
  <c r="AA60" i="3"/>
  <c r="AB60" i="3"/>
  <c r="AC60" i="3"/>
  <c r="AD60" i="3"/>
  <c r="AE60" i="3"/>
  <c r="AF60" i="3"/>
  <c r="AG60" i="3"/>
  <c r="AH60" i="3"/>
  <c r="AI60" i="3"/>
  <c r="AJ60" i="3"/>
  <c r="AK60" i="3"/>
  <c r="AL60" i="3"/>
  <c r="AM60" i="3"/>
  <c r="AN60" i="3"/>
  <c r="W61" i="3"/>
  <c r="X61" i="3"/>
  <c r="Y61" i="3"/>
  <c r="Z61" i="3"/>
  <c r="AA61" i="3"/>
  <c r="AB61" i="3"/>
  <c r="AC61" i="3"/>
  <c r="AD61" i="3"/>
  <c r="AE61" i="3"/>
  <c r="AF61" i="3"/>
  <c r="AG61" i="3"/>
  <c r="AH61" i="3"/>
  <c r="AI61" i="3"/>
  <c r="AJ61" i="3"/>
  <c r="AK61" i="3"/>
  <c r="AL61" i="3"/>
  <c r="AM61" i="3"/>
  <c r="AN61" i="3"/>
  <c r="W62" i="3"/>
  <c r="X62" i="3"/>
  <c r="Y62" i="3"/>
  <c r="Z62" i="3"/>
  <c r="AA62" i="3"/>
  <c r="AB62" i="3"/>
  <c r="AC62" i="3"/>
  <c r="AD62" i="3"/>
  <c r="AE62" i="3"/>
  <c r="AF62" i="3"/>
  <c r="AG62" i="3"/>
  <c r="AH62" i="3"/>
  <c r="AI62" i="3"/>
  <c r="AJ62" i="3"/>
  <c r="AK62" i="3"/>
  <c r="AL62" i="3"/>
  <c r="AM62" i="3"/>
  <c r="AN62" i="3"/>
  <c r="W63" i="3"/>
  <c r="X63" i="3"/>
  <c r="Y63" i="3"/>
  <c r="Z63" i="3"/>
  <c r="AA63" i="3"/>
  <c r="AB63" i="3"/>
  <c r="AC63" i="3"/>
  <c r="AD63" i="3"/>
  <c r="AE63" i="3"/>
  <c r="AF63" i="3"/>
  <c r="AG63" i="3"/>
  <c r="AH63" i="3"/>
  <c r="AI63" i="3"/>
  <c r="AJ63" i="3"/>
  <c r="AK63" i="3"/>
  <c r="AL63" i="3"/>
  <c r="AM63" i="3"/>
  <c r="AN63" i="3"/>
  <c r="W64" i="3"/>
  <c r="X64" i="3"/>
  <c r="Y64" i="3"/>
  <c r="Z64" i="3"/>
  <c r="AA64" i="3"/>
  <c r="AB64" i="3"/>
  <c r="AC64" i="3"/>
  <c r="AD64" i="3"/>
  <c r="AE64" i="3"/>
  <c r="AF64" i="3"/>
  <c r="AG64" i="3"/>
  <c r="AH64" i="3"/>
  <c r="AI64" i="3"/>
  <c r="AJ64" i="3"/>
  <c r="AK64" i="3"/>
  <c r="AL64" i="3"/>
  <c r="AM64" i="3"/>
  <c r="AN64" i="3"/>
  <c r="W65" i="3"/>
  <c r="X65" i="3"/>
  <c r="Y65" i="3"/>
  <c r="Z65" i="3"/>
  <c r="AA65" i="3"/>
  <c r="AB65" i="3"/>
  <c r="AC65" i="3"/>
  <c r="AD65" i="3"/>
  <c r="AE65" i="3"/>
  <c r="AF65" i="3"/>
  <c r="AG65" i="3"/>
  <c r="AH65" i="3"/>
  <c r="AI65" i="3"/>
  <c r="AJ65" i="3"/>
  <c r="AK65" i="3"/>
  <c r="AL65" i="3"/>
  <c r="AM65" i="3"/>
  <c r="AN65" i="3"/>
  <c r="W66" i="3"/>
  <c r="X66" i="3"/>
  <c r="Y66" i="3"/>
  <c r="Z66" i="3"/>
  <c r="AA66" i="3"/>
  <c r="AB66" i="3"/>
  <c r="AC66" i="3"/>
  <c r="AD66" i="3"/>
  <c r="AE66" i="3"/>
  <c r="AF66" i="3"/>
  <c r="AG66" i="3"/>
  <c r="AH66" i="3"/>
  <c r="AI66" i="3"/>
  <c r="AJ66" i="3"/>
  <c r="AK66" i="3"/>
  <c r="AL66" i="3"/>
  <c r="AM66" i="3"/>
  <c r="AN66" i="3"/>
  <c r="W67" i="3"/>
  <c r="X67" i="3"/>
  <c r="Y67" i="3"/>
  <c r="Z67" i="3"/>
  <c r="AA67" i="3"/>
  <c r="AB67" i="3"/>
  <c r="AC67" i="3"/>
  <c r="AD67" i="3"/>
  <c r="AE67" i="3"/>
  <c r="AF67" i="3"/>
  <c r="AG67" i="3"/>
  <c r="AH67" i="3"/>
  <c r="AI67" i="3"/>
  <c r="AJ67" i="3"/>
  <c r="AK67" i="3"/>
  <c r="AL67" i="3"/>
  <c r="AM67" i="3"/>
  <c r="AN67" i="3"/>
  <c r="W68" i="3"/>
  <c r="X68" i="3"/>
  <c r="Y68" i="3"/>
  <c r="Z68" i="3"/>
  <c r="AA68" i="3"/>
  <c r="AB68" i="3"/>
  <c r="AC68" i="3"/>
  <c r="AD68" i="3"/>
  <c r="AE68" i="3"/>
  <c r="AF68" i="3"/>
  <c r="AG68" i="3"/>
  <c r="AH68" i="3"/>
  <c r="AI68" i="3"/>
  <c r="AJ68" i="3"/>
  <c r="AK68" i="3"/>
  <c r="AL68" i="3"/>
  <c r="AM68" i="3"/>
  <c r="AN68" i="3"/>
  <c r="W69" i="3"/>
  <c r="X69" i="3"/>
  <c r="Y69" i="3"/>
  <c r="Z69" i="3"/>
  <c r="AA69" i="3"/>
  <c r="AB69" i="3"/>
  <c r="AC69" i="3"/>
  <c r="AD69" i="3"/>
  <c r="AE69" i="3"/>
  <c r="AF69" i="3"/>
  <c r="AG69" i="3"/>
  <c r="AH69" i="3"/>
  <c r="AI69" i="3"/>
  <c r="AJ69" i="3"/>
  <c r="AK69" i="3"/>
  <c r="AL69" i="3"/>
  <c r="AM69" i="3"/>
  <c r="AN69" i="3"/>
  <c r="W70" i="3"/>
  <c r="X70" i="3"/>
  <c r="Y70" i="3"/>
  <c r="Z70" i="3"/>
  <c r="AA70" i="3"/>
  <c r="AB70" i="3"/>
  <c r="AC70" i="3"/>
  <c r="AD70" i="3"/>
  <c r="AE70" i="3"/>
  <c r="AF70" i="3"/>
  <c r="AG70" i="3"/>
  <c r="AH70" i="3"/>
  <c r="AI70" i="3"/>
  <c r="AJ70" i="3"/>
  <c r="AK70" i="3"/>
  <c r="AL70" i="3"/>
  <c r="AM70" i="3"/>
  <c r="AN70" i="3"/>
  <c r="W71" i="3"/>
  <c r="X71" i="3"/>
  <c r="Y71" i="3"/>
  <c r="Z71" i="3"/>
  <c r="AA71" i="3"/>
  <c r="AB71" i="3"/>
  <c r="AC71" i="3"/>
  <c r="AD71" i="3"/>
  <c r="AE71" i="3"/>
  <c r="AF71" i="3"/>
  <c r="AG71" i="3"/>
  <c r="AH71" i="3"/>
  <c r="AI71" i="3"/>
  <c r="AJ71" i="3"/>
  <c r="AK71" i="3"/>
  <c r="AL71" i="3"/>
  <c r="AM71" i="3"/>
  <c r="AN71" i="3"/>
  <c r="W72" i="3"/>
  <c r="X72" i="3"/>
  <c r="Y72" i="3"/>
  <c r="Z72" i="3"/>
  <c r="AA72" i="3"/>
  <c r="AB72" i="3"/>
  <c r="AC72" i="3"/>
  <c r="AD72" i="3"/>
  <c r="AE72" i="3"/>
  <c r="AF72" i="3"/>
  <c r="AG72" i="3"/>
  <c r="AH72" i="3"/>
  <c r="AI72" i="3"/>
  <c r="DW72" i="3" s="1"/>
  <c r="AJ72" i="3"/>
  <c r="AK72" i="3"/>
  <c r="AL72" i="3"/>
  <c r="AM72" i="3"/>
  <c r="AN72" i="3"/>
  <c r="W73" i="3"/>
  <c r="X73" i="3"/>
  <c r="Y73" i="3"/>
  <c r="Z73" i="3"/>
  <c r="AA73" i="3"/>
  <c r="AB73" i="3"/>
  <c r="AC73" i="3"/>
  <c r="AD73" i="3"/>
  <c r="AE73" i="3"/>
  <c r="AF73" i="3"/>
  <c r="AG73" i="3"/>
  <c r="AH73" i="3"/>
  <c r="AI73" i="3"/>
  <c r="AJ73" i="3"/>
  <c r="AK73" i="3"/>
  <c r="AL73" i="3"/>
  <c r="AM73" i="3"/>
  <c r="AN73" i="3"/>
  <c r="W74" i="3"/>
  <c r="X74" i="3"/>
  <c r="Y74" i="3"/>
  <c r="Z74" i="3"/>
  <c r="AA74" i="3"/>
  <c r="AB74" i="3"/>
  <c r="AC74" i="3"/>
  <c r="AD74" i="3"/>
  <c r="AE74" i="3"/>
  <c r="AF74" i="3"/>
  <c r="AG74" i="3"/>
  <c r="AH74" i="3"/>
  <c r="AI74" i="3"/>
  <c r="AJ74" i="3"/>
  <c r="AK74" i="3"/>
  <c r="AL74" i="3"/>
  <c r="AM74" i="3"/>
  <c r="AN74" i="3"/>
  <c r="W75" i="3"/>
  <c r="X75" i="3"/>
  <c r="Y75" i="3"/>
  <c r="Z75" i="3"/>
  <c r="AA75" i="3"/>
  <c r="AB75" i="3"/>
  <c r="AC75" i="3"/>
  <c r="AD75" i="3"/>
  <c r="AE75" i="3"/>
  <c r="AF75" i="3"/>
  <c r="AG75" i="3"/>
  <c r="AH75" i="3"/>
  <c r="AI75" i="3"/>
  <c r="AJ75" i="3"/>
  <c r="AK75" i="3"/>
  <c r="AL75" i="3"/>
  <c r="AM75" i="3"/>
  <c r="AN75" i="3"/>
  <c r="W76" i="3"/>
  <c r="X76" i="3"/>
  <c r="Y76" i="3"/>
  <c r="Z76" i="3"/>
  <c r="AA76" i="3"/>
  <c r="AB76" i="3"/>
  <c r="AC76" i="3"/>
  <c r="AD76" i="3"/>
  <c r="AE76" i="3"/>
  <c r="AF76" i="3"/>
  <c r="AG76" i="3"/>
  <c r="AH76" i="3"/>
  <c r="AI76" i="3"/>
  <c r="AJ76" i="3"/>
  <c r="AK76" i="3"/>
  <c r="AL76" i="3"/>
  <c r="AM76" i="3"/>
  <c r="AN76" i="3"/>
  <c r="W77" i="3"/>
  <c r="X77" i="3"/>
  <c r="Y77" i="3"/>
  <c r="Z77" i="3"/>
  <c r="AA77" i="3"/>
  <c r="AB77" i="3"/>
  <c r="AC77" i="3"/>
  <c r="AD77" i="3"/>
  <c r="AE77" i="3"/>
  <c r="AF77" i="3"/>
  <c r="AG77" i="3"/>
  <c r="AH77" i="3"/>
  <c r="AI77" i="3"/>
  <c r="AJ77" i="3"/>
  <c r="AK77" i="3"/>
  <c r="AL77" i="3"/>
  <c r="AM77" i="3"/>
  <c r="AN77" i="3"/>
  <c r="W78" i="3"/>
  <c r="X78" i="3"/>
  <c r="Y78" i="3"/>
  <c r="Z78" i="3"/>
  <c r="AA78" i="3"/>
  <c r="AB78" i="3"/>
  <c r="AC78" i="3"/>
  <c r="AD78" i="3"/>
  <c r="AE78" i="3"/>
  <c r="AF78" i="3"/>
  <c r="AG78" i="3"/>
  <c r="AH78" i="3"/>
  <c r="AI78" i="3"/>
  <c r="AJ78" i="3"/>
  <c r="AK78" i="3"/>
  <c r="AL78" i="3"/>
  <c r="AM78" i="3"/>
  <c r="AN78" i="3"/>
  <c r="W4" i="3"/>
  <c r="X4" i="3"/>
  <c r="Y4" i="3"/>
  <c r="Z4" i="3"/>
  <c r="AA4" i="3"/>
  <c r="AB4" i="3"/>
  <c r="AC4" i="3"/>
  <c r="AD4" i="3"/>
  <c r="AE4" i="3"/>
  <c r="AF4" i="3"/>
  <c r="AG4" i="3"/>
  <c r="AH4" i="3"/>
  <c r="AI4" i="3"/>
  <c r="AJ4" i="3"/>
  <c r="AK4" i="3"/>
  <c r="AL4" i="3"/>
  <c r="AM4" i="3"/>
  <c r="AN4" i="3"/>
  <c r="W5" i="3"/>
  <c r="X5" i="3"/>
  <c r="CL5" i="3" s="1"/>
  <c r="Y5" i="3"/>
  <c r="CP5" i="3" s="1"/>
  <c r="Z5" i="3"/>
  <c r="CT5" i="3" s="1"/>
  <c r="AA5" i="3"/>
  <c r="AB5" i="3"/>
  <c r="AC5" i="3"/>
  <c r="AD5" i="3"/>
  <c r="AE5" i="3"/>
  <c r="AF5" i="3"/>
  <c r="AG5" i="3"/>
  <c r="DA5" i="3" s="1"/>
  <c r="AH5" i="3"/>
  <c r="AI5" i="3"/>
  <c r="DW5" i="3" s="1"/>
  <c r="AJ5" i="3"/>
  <c r="DC5" i="3" s="1"/>
  <c r="AK5" i="3"/>
  <c r="DF5" i="3" s="1"/>
  <c r="AL5" i="3"/>
  <c r="AM5" i="3"/>
  <c r="DI5" i="3" s="1"/>
  <c r="AN5" i="3"/>
  <c r="DM5" i="3" s="1"/>
  <c r="DP5" i="3"/>
  <c r="DU5" i="3"/>
  <c r="DS5" i="3"/>
  <c r="W6" i="3"/>
  <c r="X6" i="3"/>
  <c r="CL6" i="3" s="1"/>
  <c r="Y6" i="3"/>
  <c r="CP6" i="3" s="1"/>
  <c r="Z6" i="3"/>
  <c r="CT6" i="3" s="1"/>
  <c r="AA6" i="3"/>
  <c r="AB6" i="3"/>
  <c r="AC6" i="3"/>
  <c r="AD6" i="3"/>
  <c r="AE6" i="3"/>
  <c r="AF6" i="3"/>
  <c r="AG6" i="3"/>
  <c r="DA6" i="3" s="1"/>
  <c r="AH6" i="3"/>
  <c r="AI6" i="3"/>
  <c r="DW6" i="3" s="1"/>
  <c r="AJ6" i="3"/>
  <c r="DC6" i="3" s="1"/>
  <c r="AK6" i="3"/>
  <c r="DF6" i="3" s="1"/>
  <c r="AL6" i="3"/>
  <c r="AM6" i="3"/>
  <c r="DI6" i="3" s="1"/>
  <c r="AN6" i="3"/>
  <c r="DM6" i="3" s="1"/>
  <c r="DP6" i="3"/>
  <c r="DU6" i="3"/>
  <c r="DS6" i="3"/>
  <c r="W7" i="3"/>
  <c r="X7" i="3"/>
  <c r="CL7" i="3" s="1"/>
  <c r="Y7" i="3"/>
  <c r="CP7" i="3" s="1"/>
  <c r="Z7" i="3"/>
  <c r="CT7" i="3" s="1"/>
  <c r="AA7" i="3"/>
  <c r="AB7" i="3"/>
  <c r="AC7" i="3"/>
  <c r="AD7" i="3"/>
  <c r="AE7" i="3"/>
  <c r="AF7" i="3"/>
  <c r="AG7" i="3"/>
  <c r="DA7" i="3" s="1"/>
  <c r="AH7" i="3"/>
  <c r="AI7" i="3"/>
  <c r="DW7" i="3" s="1"/>
  <c r="AJ7" i="3"/>
  <c r="DC7" i="3" s="1"/>
  <c r="AK7" i="3"/>
  <c r="DF7" i="3" s="1"/>
  <c r="AL7" i="3"/>
  <c r="AM7" i="3"/>
  <c r="DI7" i="3" s="1"/>
  <c r="AN7" i="3"/>
  <c r="DM7" i="3" s="1"/>
  <c r="DP7" i="3"/>
  <c r="DU7" i="3"/>
  <c r="DS7" i="3"/>
  <c r="V94" i="3"/>
  <c r="V90" i="3"/>
  <c r="V91"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9" i="3"/>
  <c r="V5" i="3"/>
  <c r="V6" i="3"/>
  <c r="V7" i="3"/>
  <c r="V4" i="3"/>
  <c r="U85" i="3"/>
  <c r="G93" i="3"/>
  <c r="H93" i="3"/>
  <c r="I93" i="3"/>
  <c r="J93" i="3"/>
  <c r="K93" i="3"/>
  <c r="L93" i="3"/>
  <c r="M93" i="3"/>
  <c r="N93" i="3"/>
  <c r="O93" i="3"/>
  <c r="P93" i="3"/>
  <c r="Q93" i="3"/>
  <c r="R93" i="3"/>
  <c r="S93" i="3"/>
  <c r="T93" i="3"/>
  <c r="G94" i="3"/>
  <c r="H94" i="3"/>
  <c r="I94" i="3"/>
  <c r="J94" i="3"/>
  <c r="K94" i="3"/>
  <c r="L94" i="3"/>
  <c r="M94" i="3"/>
  <c r="N94" i="3"/>
  <c r="O94" i="3"/>
  <c r="P94" i="3"/>
  <c r="Q94" i="3"/>
  <c r="R94" i="3"/>
  <c r="S94" i="3"/>
  <c r="T94" i="3"/>
  <c r="E93" i="3"/>
  <c r="F93" i="3"/>
  <c r="E94" i="3"/>
  <c r="F94" i="3"/>
  <c r="D94" i="3"/>
  <c r="D93" i="3"/>
  <c r="G89" i="3"/>
  <c r="H89" i="3"/>
  <c r="I89" i="3"/>
  <c r="J89" i="3"/>
  <c r="K89" i="3"/>
  <c r="L89" i="3"/>
  <c r="M89" i="3"/>
  <c r="N89" i="3"/>
  <c r="O89" i="3"/>
  <c r="P89" i="3"/>
  <c r="Q89" i="3"/>
  <c r="R89" i="3"/>
  <c r="S89" i="3"/>
  <c r="T89" i="3"/>
  <c r="G90" i="3"/>
  <c r="H90" i="3"/>
  <c r="I90" i="3"/>
  <c r="J90" i="3"/>
  <c r="K90" i="3"/>
  <c r="L90" i="3"/>
  <c r="M90" i="3"/>
  <c r="N90" i="3"/>
  <c r="O90" i="3"/>
  <c r="P90" i="3"/>
  <c r="Q90" i="3"/>
  <c r="R90" i="3"/>
  <c r="S90" i="3"/>
  <c r="T90" i="3"/>
  <c r="G91" i="3"/>
  <c r="H91" i="3"/>
  <c r="I91" i="3"/>
  <c r="J91" i="3"/>
  <c r="K91" i="3"/>
  <c r="L91" i="3"/>
  <c r="M91" i="3"/>
  <c r="N91" i="3"/>
  <c r="O91" i="3"/>
  <c r="P91" i="3"/>
  <c r="Q91" i="3"/>
  <c r="R91" i="3"/>
  <c r="S91" i="3"/>
  <c r="T91" i="3"/>
  <c r="E89" i="3"/>
  <c r="F89" i="3"/>
  <c r="E90" i="3"/>
  <c r="F90" i="3"/>
  <c r="E91" i="3"/>
  <c r="F91" i="3"/>
  <c r="D90" i="3"/>
  <c r="D91" i="3"/>
  <c r="D89" i="3"/>
  <c r="E82" i="3"/>
  <c r="F82" i="3"/>
  <c r="G82" i="3"/>
  <c r="H82" i="3"/>
  <c r="I82" i="3"/>
  <c r="J82" i="3"/>
  <c r="K82" i="3"/>
  <c r="L82" i="3"/>
  <c r="M82" i="3"/>
  <c r="N82" i="3"/>
  <c r="O82" i="3"/>
  <c r="P82" i="3"/>
  <c r="Q82" i="3"/>
  <c r="R82" i="3"/>
  <c r="S82" i="3"/>
  <c r="T82" i="3"/>
  <c r="E83" i="3"/>
  <c r="F83" i="3"/>
  <c r="G83" i="3"/>
  <c r="H83" i="3"/>
  <c r="I83" i="3"/>
  <c r="J83" i="3"/>
  <c r="K83" i="3"/>
  <c r="L83" i="3"/>
  <c r="M83" i="3"/>
  <c r="N83" i="3"/>
  <c r="O83" i="3"/>
  <c r="P83" i="3"/>
  <c r="Q83" i="3"/>
  <c r="R83" i="3"/>
  <c r="S83" i="3"/>
  <c r="T83" i="3"/>
  <c r="E84" i="3"/>
  <c r="F84" i="3"/>
  <c r="G84" i="3"/>
  <c r="H84" i="3"/>
  <c r="I84" i="3"/>
  <c r="J84" i="3"/>
  <c r="K84" i="3"/>
  <c r="L84" i="3"/>
  <c r="M84" i="3"/>
  <c r="N84" i="3"/>
  <c r="O84" i="3"/>
  <c r="P84" i="3"/>
  <c r="Q84" i="3"/>
  <c r="R84" i="3"/>
  <c r="S84" i="3"/>
  <c r="T84" i="3"/>
  <c r="E85" i="3"/>
  <c r="F85" i="3"/>
  <c r="G85" i="3"/>
  <c r="H85" i="3"/>
  <c r="I85" i="3"/>
  <c r="J85" i="3"/>
  <c r="K85" i="3"/>
  <c r="L85" i="3"/>
  <c r="M85" i="3"/>
  <c r="N85" i="3"/>
  <c r="O85" i="3"/>
  <c r="P85" i="3"/>
  <c r="Q85" i="3"/>
  <c r="R85" i="3"/>
  <c r="S85" i="3"/>
  <c r="T85" i="3"/>
  <c r="E86" i="3"/>
  <c r="F86" i="3"/>
  <c r="G86" i="3"/>
  <c r="H86" i="3"/>
  <c r="I86" i="3"/>
  <c r="J86" i="3"/>
  <c r="K86" i="3"/>
  <c r="L86" i="3"/>
  <c r="M86" i="3"/>
  <c r="N86" i="3"/>
  <c r="O86" i="3"/>
  <c r="P86" i="3"/>
  <c r="Q86" i="3"/>
  <c r="R86" i="3"/>
  <c r="S86" i="3"/>
  <c r="T86" i="3"/>
  <c r="E87" i="3"/>
  <c r="F87" i="3"/>
  <c r="G87" i="3"/>
  <c r="H87" i="3"/>
  <c r="I87" i="3"/>
  <c r="J87" i="3"/>
  <c r="K87" i="3"/>
  <c r="L87" i="3"/>
  <c r="M87" i="3"/>
  <c r="N87" i="3"/>
  <c r="O87" i="3"/>
  <c r="P87" i="3"/>
  <c r="Q87" i="3"/>
  <c r="R87" i="3"/>
  <c r="S87" i="3"/>
  <c r="T87" i="3"/>
  <c r="D83" i="3"/>
  <c r="D84" i="3"/>
  <c r="D85" i="3"/>
  <c r="D86" i="3"/>
  <c r="D87" i="3"/>
  <c r="D82" i="3"/>
  <c r="U88" i="62"/>
  <c r="E105" i="3" s="1"/>
  <c r="V88" i="62"/>
  <c r="F105" i="3" s="1"/>
  <c r="W88" i="62"/>
  <c r="G105" i="3" s="1"/>
  <c r="X88" i="62"/>
  <c r="H105" i="3" s="1"/>
  <c r="Y88" i="62"/>
  <c r="I105" i="3" s="1"/>
  <c r="Z88" i="62"/>
  <c r="J105" i="3" s="1"/>
  <c r="AA88" i="62"/>
  <c r="K105" i="3" s="1"/>
  <c r="AB88" i="62"/>
  <c r="L105" i="3" s="1"/>
  <c r="AC88" i="62"/>
  <c r="M105" i="3" s="1"/>
  <c r="AD88" i="62"/>
  <c r="N105" i="3" s="1"/>
  <c r="AE88" i="62"/>
  <c r="O105" i="3" s="1"/>
  <c r="AF88" i="62"/>
  <c r="P105" i="3" s="1"/>
  <c r="AG88" i="62"/>
  <c r="Q105" i="3" s="1"/>
  <c r="AH88" i="62"/>
  <c r="R105" i="3" s="1"/>
  <c r="AI88" i="62"/>
  <c r="S105" i="3" s="1"/>
  <c r="AJ88" i="62"/>
  <c r="T105" i="3" s="1"/>
  <c r="AK88" i="62"/>
  <c r="AL88" i="62"/>
  <c r="AN88" i="62"/>
  <c r="V105" i="3" s="1"/>
  <c r="AO88" i="62"/>
  <c r="W105" i="3" s="1"/>
  <c r="AP88" i="62"/>
  <c r="X105" i="3" s="1"/>
  <c r="AQ88" i="62"/>
  <c r="Y105" i="3" s="1"/>
  <c r="AR88" i="62"/>
  <c r="Z105" i="3" s="1"/>
  <c r="AS88" i="62"/>
  <c r="AA105" i="3" s="1"/>
  <c r="AT88" i="62"/>
  <c r="AB105" i="3" s="1"/>
  <c r="AU88" i="62"/>
  <c r="AC105" i="3" s="1"/>
  <c r="AV88" i="62"/>
  <c r="AD105" i="3" s="1"/>
  <c r="AW88" i="62"/>
  <c r="AE105" i="3" s="1"/>
  <c r="AX88" i="62"/>
  <c r="AF105" i="3" s="1"/>
  <c r="AY88" i="62"/>
  <c r="AG105" i="3" s="1"/>
  <c r="AZ88" i="62"/>
  <c r="AH105" i="3" s="1"/>
  <c r="BA88" i="62"/>
  <c r="AI105" i="3" s="1"/>
  <c r="BB88" i="62"/>
  <c r="AJ105" i="3" s="1"/>
  <c r="BC88" i="62"/>
  <c r="AK105" i="3" s="1"/>
  <c r="BD88" i="62"/>
  <c r="AL105" i="3" s="1"/>
  <c r="BE88" i="62"/>
  <c r="AM105" i="3" s="1"/>
  <c r="BF88" i="62"/>
  <c r="AN105" i="3" s="1"/>
  <c r="BG88" i="62"/>
  <c r="BH88" i="62"/>
  <c r="BI88" i="62"/>
  <c r="BJ88" i="62"/>
  <c r="BK88" i="62"/>
  <c r="BL88" i="62"/>
  <c r="BM88" i="62"/>
  <c r="BO88" i="62"/>
  <c r="AP105" i="3" s="1"/>
  <c r="BP88" i="62"/>
  <c r="AQ105" i="3" s="1"/>
  <c r="BQ88" i="62"/>
  <c r="AR105" i="3" s="1"/>
  <c r="BR88" i="62"/>
  <c r="AS105" i="3" s="1"/>
  <c r="BS88" i="62"/>
  <c r="AT105" i="3" s="1"/>
  <c r="BT88" i="62"/>
  <c r="AU105" i="3" s="1"/>
  <c r="BU88" i="62"/>
  <c r="AV105" i="3" s="1"/>
  <c r="BV88" i="62"/>
  <c r="AW105" i="3" s="1"/>
  <c r="BW88" i="62"/>
  <c r="AX105" i="3" s="1"/>
  <c r="BX88" i="62"/>
  <c r="AY105" i="3" s="1"/>
  <c r="BY88" i="62"/>
  <c r="AZ105" i="3" s="1"/>
  <c r="BZ88" i="62"/>
  <c r="BA105" i="3" s="1"/>
  <c r="CA88" i="62"/>
  <c r="BB105" i="3" s="1"/>
  <c r="CB88" i="62"/>
  <c r="CC88" i="62"/>
  <c r="CD88" i="62"/>
  <c r="CE88" i="62"/>
  <c r="CF88" i="62"/>
  <c r="CG88" i="62"/>
  <c r="CH88" i="62"/>
  <c r="CI88" i="62"/>
  <c r="CJ88" i="62"/>
  <c r="CK88" i="62"/>
  <c r="CL88" i="62"/>
  <c r="CM88" i="62"/>
  <c r="CN88" i="62"/>
  <c r="CP88" i="62"/>
  <c r="CQ88" i="62"/>
  <c r="CR88" i="62"/>
  <c r="CS88" i="62"/>
  <c r="CT88" i="62"/>
  <c r="T88" i="62"/>
  <c r="D105" i="3" s="1"/>
  <c r="AM5" i="62"/>
  <c r="AM6" i="62"/>
  <c r="AM7" i="62"/>
  <c r="AM8" i="62"/>
  <c r="AM9" i="62"/>
  <c r="AM10" i="62"/>
  <c r="AM11" i="62"/>
  <c r="AM12" i="62"/>
  <c r="AM13" i="62"/>
  <c r="AM14" i="62"/>
  <c r="AM15" i="62"/>
  <c r="AM16" i="62"/>
  <c r="AM17" i="62"/>
  <c r="AM18" i="62"/>
  <c r="AM19" i="62"/>
  <c r="AM20" i="62"/>
  <c r="AM21" i="62"/>
  <c r="AM22" i="62"/>
  <c r="AM23" i="62"/>
  <c r="AM24" i="62"/>
  <c r="AM25" i="62"/>
  <c r="AM26" i="62"/>
  <c r="AM27" i="62"/>
  <c r="AM28" i="62"/>
  <c r="AM29" i="62"/>
  <c r="AM30" i="62"/>
  <c r="AM31" i="62"/>
  <c r="AM32" i="62"/>
  <c r="AM33" i="62"/>
  <c r="AM34" i="62"/>
  <c r="AM35" i="62"/>
  <c r="AM36" i="62"/>
  <c r="AM37" i="62"/>
  <c r="AM38" i="62"/>
  <c r="AM39" i="62"/>
  <c r="AM40" i="62"/>
  <c r="AM41" i="62"/>
  <c r="AM42" i="62"/>
  <c r="AM43" i="62"/>
  <c r="AM44" i="62"/>
  <c r="AM45" i="62"/>
  <c r="AM46" i="62"/>
  <c r="AM47" i="62"/>
  <c r="AM48" i="62"/>
  <c r="AM49" i="62"/>
  <c r="AM50" i="62"/>
  <c r="AM51" i="62"/>
  <c r="AM52" i="62"/>
  <c r="AM53" i="62"/>
  <c r="AM54" i="62"/>
  <c r="AM55" i="62"/>
  <c r="AM56" i="62"/>
  <c r="AM57" i="62"/>
  <c r="AM58" i="62"/>
  <c r="AM59" i="62"/>
  <c r="AM60" i="62"/>
  <c r="AM61" i="62"/>
  <c r="AM62" i="62"/>
  <c r="AM63" i="62"/>
  <c r="AM64" i="62"/>
  <c r="AM65" i="62"/>
  <c r="AM66" i="62"/>
  <c r="AM67" i="62"/>
  <c r="AM68" i="62"/>
  <c r="AM69" i="62"/>
  <c r="AM70" i="62"/>
  <c r="AM71" i="62"/>
  <c r="AM72" i="62"/>
  <c r="AM73" i="62"/>
  <c r="AM74" i="62"/>
  <c r="AM75" i="62"/>
  <c r="AM76" i="62"/>
  <c r="AM77" i="62"/>
  <c r="AM78" i="62"/>
  <c r="AM79" i="62"/>
  <c r="AM80" i="62"/>
  <c r="AM81" i="62"/>
  <c r="AM82" i="62"/>
  <c r="AM83" i="62"/>
  <c r="AM84" i="62"/>
  <c r="AM85" i="62"/>
  <c r="AM86" i="62"/>
  <c r="AM87" i="62"/>
  <c r="AM4" i="62"/>
  <c r="E80" i="3"/>
  <c r="F80" i="3"/>
  <c r="G80" i="3"/>
  <c r="H80" i="3"/>
  <c r="I80" i="3"/>
  <c r="J80" i="3"/>
  <c r="K80" i="3"/>
  <c r="L80" i="3"/>
  <c r="M80" i="3"/>
  <c r="N80" i="3"/>
  <c r="O80" i="3"/>
  <c r="P80" i="3"/>
  <c r="Q80" i="3"/>
  <c r="R80" i="3"/>
  <c r="S80" i="3"/>
  <c r="T80" i="3"/>
  <c r="D80" i="3"/>
  <c r="E9" i="3"/>
  <c r="F9" i="3"/>
  <c r="G9" i="3"/>
  <c r="H9" i="3"/>
  <c r="I9" i="3"/>
  <c r="J9" i="3"/>
  <c r="K9" i="3"/>
  <c r="L9" i="3"/>
  <c r="M9" i="3"/>
  <c r="N9" i="3"/>
  <c r="O9" i="3"/>
  <c r="P9" i="3"/>
  <c r="Q9" i="3"/>
  <c r="R9" i="3"/>
  <c r="S9" i="3"/>
  <c r="T9" i="3"/>
  <c r="E10" i="3"/>
  <c r="F10" i="3"/>
  <c r="G10" i="3"/>
  <c r="H10" i="3"/>
  <c r="I10" i="3"/>
  <c r="J10" i="3"/>
  <c r="K10" i="3"/>
  <c r="L10" i="3"/>
  <c r="M10" i="3"/>
  <c r="N10" i="3"/>
  <c r="O10" i="3"/>
  <c r="P10" i="3"/>
  <c r="Q10" i="3"/>
  <c r="R10" i="3"/>
  <c r="S10" i="3"/>
  <c r="T10" i="3"/>
  <c r="E11" i="3"/>
  <c r="F11" i="3"/>
  <c r="G11" i="3"/>
  <c r="H11" i="3"/>
  <c r="I11" i="3"/>
  <c r="J11" i="3"/>
  <c r="K11" i="3"/>
  <c r="L11" i="3"/>
  <c r="M11" i="3"/>
  <c r="N11" i="3"/>
  <c r="O11" i="3"/>
  <c r="P11" i="3"/>
  <c r="Q11" i="3"/>
  <c r="R11" i="3"/>
  <c r="S11" i="3"/>
  <c r="T11" i="3"/>
  <c r="E12" i="3"/>
  <c r="F12" i="3"/>
  <c r="G12" i="3"/>
  <c r="H12" i="3"/>
  <c r="I12" i="3"/>
  <c r="J12" i="3"/>
  <c r="K12" i="3"/>
  <c r="L12" i="3"/>
  <c r="M12" i="3"/>
  <c r="N12" i="3"/>
  <c r="O12" i="3"/>
  <c r="P12" i="3"/>
  <c r="Q12" i="3"/>
  <c r="R12" i="3"/>
  <c r="S12" i="3"/>
  <c r="T12" i="3"/>
  <c r="E13" i="3"/>
  <c r="F13" i="3"/>
  <c r="G13" i="3"/>
  <c r="H13" i="3"/>
  <c r="I13" i="3"/>
  <c r="J13" i="3"/>
  <c r="K13" i="3"/>
  <c r="L13" i="3"/>
  <c r="M13" i="3"/>
  <c r="N13" i="3"/>
  <c r="O13" i="3"/>
  <c r="P13" i="3"/>
  <c r="Q13" i="3"/>
  <c r="R13" i="3"/>
  <c r="S13" i="3"/>
  <c r="T13" i="3"/>
  <c r="E14" i="3"/>
  <c r="F14" i="3"/>
  <c r="G14" i="3"/>
  <c r="H14" i="3"/>
  <c r="I14" i="3"/>
  <c r="J14" i="3"/>
  <c r="K14" i="3"/>
  <c r="L14" i="3"/>
  <c r="M14" i="3"/>
  <c r="N14" i="3"/>
  <c r="O14" i="3"/>
  <c r="P14" i="3"/>
  <c r="Q14" i="3"/>
  <c r="R14" i="3"/>
  <c r="S14" i="3"/>
  <c r="T14" i="3"/>
  <c r="E15" i="3"/>
  <c r="F15" i="3"/>
  <c r="G15" i="3"/>
  <c r="H15" i="3"/>
  <c r="I15" i="3"/>
  <c r="J15" i="3"/>
  <c r="K15" i="3"/>
  <c r="L15" i="3"/>
  <c r="M15" i="3"/>
  <c r="N15" i="3"/>
  <c r="O15" i="3"/>
  <c r="P15" i="3"/>
  <c r="Q15" i="3"/>
  <c r="R15" i="3"/>
  <c r="S15" i="3"/>
  <c r="T15" i="3"/>
  <c r="E16" i="3"/>
  <c r="F16" i="3"/>
  <c r="G16" i="3"/>
  <c r="H16" i="3"/>
  <c r="I16" i="3"/>
  <c r="J16" i="3"/>
  <c r="K16" i="3"/>
  <c r="L16" i="3"/>
  <c r="M16" i="3"/>
  <c r="N16" i="3"/>
  <c r="O16" i="3"/>
  <c r="P16" i="3"/>
  <c r="Q16" i="3"/>
  <c r="R16" i="3"/>
  <c r="S16" i="3"/>
  <c r="T16" i="3"/>
  <c r="E17" i="3"/>
  <c r="F17" i="3"/>
  <c r="G17" i="3"/>
  <c r="H17" i="3"/>
  <c r="I17" i="3"/>
  <c r="J17" i="3"/>
  <c r="K17" i="3"/>
  <c r="L17" i="3"/>
  <c r="M17" i="3"/>
  <c r="N17" i="3"/>
  <c r="O17" i="3"/>
  <c r="P17" i="3"/>
  <c r="Q17" i="3"/>
  <c r="R17" i="3"/>
  <c r="S17" i="3"/>
  <c r="T17" i="3"/>
  <c r="E18" i="3"/>
  <c r="F18" i="3"/>
  <c r="G18" i="3"/>
  <c r="H18" i="3"/>
  <c r="I18" i="3"/>
  <c r="J18" i="3"/>
  <c r="K18" i="3"/>
  <c r="L18" i="3"/>
  <c r="M18" i="3"/>
  <c r="N18" i="3"/>
  <c r="O18" i="3"/>
  <c r="P18" i="3"/>
  <c r="Q18" i="3"/>
  <c r="R18" i="3"/>
  <c r="S18" i="3"/>
  <c r="T18" i="3"/>
  <c r="E19" i="3"/>
  <c r="F19" i="3"/>
  <c r="G19" i="3"/>
  <c r="H19" i="3"/>
  <c r="I19" i="3"/>
  <c r="J19" i="3"/>
  <c r="K19" i="3"/>
  <c r="L19" i="3"/>
  <c r="M19" i="3"/>
  <c r="N19" i="3"/>
  <c r="O19" i="3"/>
  <c r="P19" i="3"/>
  <c r="Q19" i="3"/>
  <c r="R19" i="3"/>
  <c r="S19" i="3"/>
  <c r="T19" i="3"/>
  <c r="E20" i="3"/>
  <c r="F20" i="3"/>
  <c r="G20" i="3"/>
  <c r="H20" i="3"/>
  <c r="I20" i="3"/>
  <c r="J20" i="3"/>
  <c r="K20" i="3"/>
  <c r="L20" i="3"/>
  <c r="M20" i="3"/>
  <c r="N20" i="3"/>
  <c r="O20" i="3"/>
  <c r="P20" i="3"/>
  <c r="Q20" i="3"/>
  <c r="R20" i="3"/>
  <c r="S20" i="3"/>
  <c r="T20" i="3"/>
  <c r="E21" i="3"/>
  <c r="F21" i="3"/>
  <c r="G21" i="3"/>
  <c r="H21" i="3"/>
  <c r="I21" i="3"/>
  <c r="J21" i="3"/>
  <c r="K21" i="3"/>
  <c r="L21" i="3"/>
  <c r="M21" i="3"/>
  <c r="N21" i="3"/>
  <c r="O21" i="3"/>
  <c r="P21" i="3"/>
  <c r="Q21" i="3"/>
  <c r="R21" i="3"/>
  <c r="S21" i="3"/>
  <c r="T21" i="3"/>
  <c r="E22" i="3"/>
  <c r="F22" i="3"/>
  <c r="G22" i="3"/>
  <c r="H22" i="3"/>
  <c r="I22" i="3"/>
  <c r="J22" i="3"/>
  <c r="K22" i="3"/>
  <c r="L22" i="3"/>
  <c r="M22" i="3"/>
  <c r="N22" i="3"/>
  <c r="O22" i="3"/>
  <c r="P22" i="3"/>
  <c r="Q22" i="3"/>
  <c r="R22" i="3"/>
  <c r="S22" i="3"/>
  <c r="T22" i="3"/>
  <c r="E23" i="3"/>
  <c r="F23" i="3"/>
  <c r="G23" i="3"/>
  <c r="H23" i="3"/>
  <c r="I23" i="3"/>
  <c r="J23" i="3"/>
  <c r="K23" i="3"/>
  <c r="L23" i="3"/>
  <c r="M23" i="3"/>
  <c r="N23" i="3"/>
  <c r="O23" i="3"/>
  <c r="P23" i="3"/>
  <c r="Q23" i="3"/>
  <c r="R23" i="3"/>
  <c r="S23" i="3"/>
  <c r="T23" i="3"/>
  <c r="E24" i="3"/>
  <c r="F24" i="3"/>
  <c r="G24" i="3"/>
  <c r="H24" i="3"/>
  <c r="I24" i="3"/>
  <c r="J24" i="3"/>
  <c r="K24" i="3"/>
  <c r="L24" i="3"/>
  <c r="M24" i="3"/>
  <c r="N24" i="3"/>
  <c r="O24" i="3"/>
  <c r="P24" i="3"/>
  <c r="Q24" i="3"/>
  <c r="R24" i="3"/>
  <c r="S24" i="3"/>
  <c r="T24" i="3"/>
  <c r="E25" i="3"/>
  <c r="F25" i="3"/>
  <c r="G25" i="3"/>
  <c r="H25" i="3"/>
  <c r="I25" i="3"/>
  <c r="J25" i="3"/>
  <c r="K25" i="3"/>
  <c r="L25" i="3"/>
  <c r="M25" i="3"/>
  <c r="N25" i="3"/>
  <c r="O25" i="3"/>
  <c r="P25" i="3"/>
  <c r="Q25" i="3"/>
  <c r="R25" i="3"/>
  <c r="S25" i="3"/>
  <c r="T25" i="3"/>
  <c r="E26" i="3"/>
  <c r="F26" i="3"/>
  <c r="G26" i="3"/>
  <c r="H26" i="3"/>
  <c r="I26" i="3"/>
  <c r="J26" i="3"/>
  <c r="K26" i="3"/>
  <c r="L26" i="3"/>
  <c r="M26" i="3"/>
  <c r="N26" i="3"/>
  <c r="O26" i="3"/>
  <c r="P26" i="3"/>
  <c r="Q26" i="3"/>
  <c r="R26" i="3"/>
  <c r="S26" i="3"/>
  <c r="T26" i="3"/>
  <c r="E27" i="3"/>
  <c r="F27" i="3"/>
  <c r="G27" i="3"/>
  <c r="H27" i="3"/>
  <c r="I27" i="3"/>
  <c r="J27" i="3"/>
  <c r="K27" i="3"/>
  <c r="L27" i="3"/>
  <c r="M27" i="3"/>
  <c r="N27" i="3"/>
  <c r="O27" i="3"/>
  <c r="P27" i="3"/>
  <c r="Q27" i="3"/>
  <c r="R27" i="3"/>
  <c r="S27" i="3"/>
  <c r="T27" i="3"/>
  <c r="E28" i="3"/>
  <c r="F28" i="3"/>
  <c r="G28" i="3"/>
  <c r="H28" i="3"/>
  <c r="I28" i="3"/>
  <c r="J28" i="3"/>
  <c r="K28" i="3"/>
  <c r="L28" i="3"/>
  <c r="M28" i="3"/>
  <c r="N28" i="3"/>
  <c r="O28" i="3"/>
  <c r="P28" i="3"/>
  <c r="Q28" i="3"/>
  <c r="R28" i="3"/>
  <c r="S28" i="3"/>
  <c r="T28" i="3"/>
  <c r="E29" i="3"/>
  <c r="F29" i="3"/>
  <c r="G29" i="3"/>
  <c r="H29" i="3"/>
  <c r="I29" i="3"/>
  <c r="J29" i="3"/>
  <c r="K29" i="3"/>
  <c r="L29" i="3"/>
  <c r="M29" i="3"/>
  <c r="N29" i="3"/>
  <c r="O29" i="3"/>
  <c r="P29" i="3"/>
  <c r="Q29" i="3"/>
  <c r="R29" i="3"/>
  <c r="S29" i="3"/>
  <c r="T29" i="3"/>
  <c r="E30" i="3"/>
  <c r="F30" i="3"/>
  <c r="G30" i="3"/>
  <c r="H30" i="3"/>
  <c r="I30" i="3"/>
  <c r="J30" i="3"/>
  <c r="K30" i="3"/>
  <c r="L30" i="3"/>
  <c r="M30" i="3"/>
  <c r="N30" i="3"/>
  <c r="O30" i="3"/>
  <c r="P30" i="3"/>
  <c r="Q30" i="3"/>
  <c r="R30" i="3"/>
  <c r="S30" i="3"/>
  <c r="T30" i="3"/>
  <c r="E31" i="3"/>
  <c r="F31" i="3"/>
  <c r="G31" i="3"/>
  <c r="H31" i="3"/>
  <c r="I31" i="3"/>
  <c r="J31" i="3"/>
  <c r="K31" i="3"/>
  <c r="L31" i="3"/>
  <c r="M31" i="3"/>
  <c r="N31" i="3"/>
  <c r="O31" i="3"/>
  <c r="P31" i="3"/>
  <c r="Q31" i="3"/>
  <c r="R31" i="3"/>
  <c r="S31" i="3"/>
  <c r="T31" i="3"/>
  <c r="E32" i="3"/>
  <c r="F32" i="3"/>
  <c r="G32" i="3"/>
  <c r="H32" i="3"/>
  <c r="I32" i="3"/>
  <c r="J32" i="3"/>
  <c r="K32" i="3"/>
  <c r="L32" i="3"/>
  <c r="M32" i="3"/>
  <c r="N32" i="3"/>
  <c r="O32" i="3"/>
  <c r="P32" i="3"/>
  <c r="Q32" i="3"/>
  <c r="R32" i="3"/>
  <c r="S32" i="3"/>
  <c r="T32" i="3"/>
  <c r="E33" i="3"/>
  <c r="F33" i="3"/>
  <c r="G33" i="3"/>
  <c r="H33" i="3"/>
  <c r="I33" i="3"/>
  <c r="J33" i="3"/>
  <c r="K33" i="3"/>
  <c r="L33" i="3"/>
  <c r="M33" i="3"/>
  <c r="N33" i="3"/>
  <c r="O33" i="3"/>
  <c r="P33" i="3"/>
  <c r="Q33" i="3"/>
  <c r="R33" i="3"/>
  <c r="S33" i="3"/>
  <c r="T33" i="3"/>
  <c r="E34" i="3"/>
  <c r="F34" i="3"/>
  <c r="G34" i="3"/>
  <c r="H34" i="3"/>
  <c r="I34" i="3"/>
  <c r="J34" i="3"/>
  <c r="K34" i="3"/>
  <c r="L34" i="3"/>
  <c r="M34" i="3"/>
  <c r="N34" i="3"/>
  <c r="O34" i="3"/>
  <c r="P34" i="3"/>
  <c r="Q34" i="3"/>
  <c r="R34" i="3"/>
  <c r="S34" i="3"/>
  <c r="T34" i="3"/>
  <c r="E35" i="3"/>
  <c r="F35" i="3"/>
  <c r="G35" i="3"/>
  <c r="H35" i="3"/>
  <c r="I35" i="3"/>
  <c r="J35" i="3"/>
  <c r="K35" i="3"/>
  <c r="L35" i="3"/>
  <c r="M35" i="3"/>
  <c r="N35" i="3"/>
  <c r="O35" i="3"/>
  <c r="P35" i="3"/>
  <c r="Q35" i="3"/>
  <c r="R35" i="3"/>
  <c r="S35" i="3"/>
  <c r="T35" i="3"/>
  <c r="E36" i="3"/>
  <c r="F36" i="3"/>
  <c r="G36" i="3"/>
  <c r="H36" i="3"/>
  <c r="I36" i="3"/>
  <c r="J36" i="3"/>
  <c r="K36" i="3"/>
  <c r="L36" i="3"/>
  <c r="M36" i="3"/>
  <c r="N36" i="3"/>
  <c r="O36" i="3"/>
  <c r="P36" i="3"/>
  <c r="Q36" i="3"/>
  <c r="R36" i="3"/>
  <c r="S36" i="3"/>
  <c r="T36" i="3"/>
  <c r="E37" i="3"/>
  <c r="F37" i="3"/>
  <c r="G37" i="3"/>
  <c r="H37" i="3"/>
  <c r="I37" i="3"/>
  <c r="J37" i="3"/>
  <c r="K37" i="3"/>
  <c r="L37" i="3"/>
  <c r="M37" i="3"/>
  <c r="N37" i="3"/>
  <c r="O37" i="3"/>
  <c r="P37" i="3"/>
  <c r="Q37" i="3"/>
  <c r="R37" i="3"/>
  <c r="S37" i="3"/>
  <c r="T37" i="3"/>
  <c r="E38" i="3"/>
  <c r="F38" i="3"/>
  <c r="G38" i="3"/>
  <c r="H38" i="3"/>
  <c r="I38" i="3"/>
  <c r="J38" i="3"/>
  <c r="K38" i="3"/>
  <c r="L38" i="3"/>
  <c r="M38" i="3"/>
  <c r="N38" i="3"/>
  <c r="O38" i="3"/>
  <c r="P38" i="3"/>
  <c r="Q38" i="3"/>
  <c r="R38" i="3"/>
  <c r="S38" i="3"/>
  <c r="T38" i="3"/>
  <c r="E39" i="3"/>
  <c r="F39" i="3"/>
  <c r="G39" i="3"/>
  <c r="H39" i="3"/>
  <c r="I39" i="3"/>
  <c r="J39" i="3"/>
  <c r="K39" i="3"/>
  <c r="L39" i="3"/>
  <c r="M39" i="3"/>
  <c r="N39" i="3"/>
  <c r="O39" i="3"/>
  <c r="P39" i="3"/>
  <c r="Q39" i="3"/>
  <c r="R39" i="3"/>
  <c r="S39" i="3"/>
  <c r="T39" i="3"/>
  <c r="E40" i="3"/>
  <c r="F40" i="3"/>
  <c r="G40" i="3"/>
  <c r="H40" i="3"/>
  <c r="I40" i="3"/>
  <c r="J40" i="3"/>
  <c r="K40" i="3"/>
  <c r="L40" i="3"/>
  <c r="M40" i="3"/>
  <c r="N40" i="3"/>
  <c r="O40" i="3"/>
  <c r="P40" i="3"/>
  <c r="Q40" i="3"/>
  <c r="R40" i="3"/>
  <c r="S40" i="3"/>
  <c r="T40" i="3"/>
  <c r="E41" i="3"/>
  <c r="F41" i="3"/>
  <c r="G41" i="3"/>
  <c r="H41" i="3"/>
  <c r="I41" i="3"/>
  <c r="J41" i="3"/>
  <c r="K41" i="3"/>
  <c r="L41" i="3"/>
  <c r="M41" i="3"/>
  <c r="N41" i="3"/>
  <c r="O41" i="3"/>
  <c r="P41" i="3"/>
  <c r="Q41" i="3"/>
  <c r="R41" i="3"/>
  <c r="S41" i="3"/>
  <c r="T41" i="3"/>
  <c r="E42" i="3"/>
  <c r="F42" i="3"/>
  <c r="G42" i="3"/>
  <c r="H42" i="3"/>
  <c r="I42" i="3"/>
  <c r="J42" i="3"/>
  <c r="K42" i="3"/>
  <c r="L42" i="3"/>
  <c r="M42" i="3"/>
  <c r="N42" i="3"/>
  <c r="O42" i="3"/>
  <c r="P42" i="3"/>
  <c r="Q42" i="3"/>
  <c r="R42" i="3"/>
  <c r="S42" i="3"/>
  <c r="T42" i="3"/>
  <c r="E43" i="3"/>
  <c r="F43" i="3"/>
  <c r="G43" i="3"/>
  <c r="H43" i="3"/>
  <c r="I43" i="3"/>
  <c r="J43" i="3"/>
  <c r="K43" i="3"/>
  <c r="L43" i="3"/>
  <c r="M43" i="3"/>
  <c r="N43" i="3"/>
  <c r="O43" i="3"/>
  <c r="P43" i="3"/>
  <c r="Q43" i="3"/>
  <c r="R43" i="3"/>
  <c r="S43" i="3"/>
  <c r="T43" i="3"/>
  <c r="E44" i="3"/>
  <c r="F44" i="3"/>
  <c r="G44" i="3"/>
  <c r="H44" i="3"/>
  <c r="I44" i="3"/>
  <c r="J44" i="3"/>
  <c r="K44" i="3"/>
  <c r="L44" i="3"/>
  <c r="M44" i="3"/>
  <c r="N44" i="3"/>
  <c r="O44" i="3"/>
  <c r="P44" i="3"/>
  <c r="Q44" i="3"/>
  <c r="R44" i="3"/>
  <c r="S44" i="3"/>
  <c r="T44" i="3"/>
  <c r="E45" i="3"/>
  <c r="F45" i="3"/>
  <c r="G45" i="3"/>
  <c r="H45" i="3"/>
  <c r="I45" i="3"/>
  <c r="J45" i="3"/>
  <c r="K45" i="3"/>
  <c r="L45" i="3"/>
  <c r="M45" i="3"/>
  <c r="N45" i="3"/>
  <c r="O45" i="3"/>
  <c r="P45" i="3"/>
  <c r="Q45" i="3"/>
  <c r="R45" i="3"/>
  <c r="S45" i="3"/>
  <c r="T45" i="3"/>
  <c r="E46" i="3"/>
  <c r="F46" i="3"/>
  <c r="G46" i="3"/>
  <c r="H46" i="3"/>
  <c r="I46" i="3"/>
  <c r="J46" i="3"/>
  <c r="K46" i="3"/>
  <c r="L46" i="3"/>
  <c r="M46" i="3"/>
  <c r="N46" i="3"/>
  <c r="O46" i="3"/>
  <c r="P46" i="3"/>
  <c r="Q46" i="3"/>
  <c r="R46" i="3"/>
  <c r="S46" i="3"/>
  <c r="T46" i="3"/>
  <c r="E47" i="3"/>
  <c r="F47" i="3"/>
  <c r="G47" i="3"/>
  <c r="H47" i="3"/>
  <c r="I47" i="3"/>
  <c r="J47" i="3"/>
  <c r="K47" i="3"/>
  <c r="L47" i="3"/>
  <c r="M47" i="3"/>
  <c r="N47" i="3"/>
  <c r="O47" i="3"/>
  <c r="P47" i="3"/>
  <c r="Q47" i="3"/>
  <c r="R47" i="3"/>
  <c r="S47" i="3"/>
  <c r="T47" i="3"/>
  <c r="E48" i="3"/>
  <c r="F48" i="3"/>
  <c r="G48" i="3"/>
  <c r="H48" i="3"/>
  <c r="I48" i="3"/>
  <c r="J48" i="3"/>
  <c r="K48" i="3"/>
  <c r="L48" i="3"/>
  <c r="M48" i="3"/>
  <c r="N48" i="3"/>
  <c r="O48" i="3"/>
  <c r="P48" i="3"/>
  <c r="Q48" i="3"/>
  <c r="R48" i="3"/>
  <c r="S48" i="3"/>
  <c r="T48" i="3"/>
  <c r="E49" i="3"/>
  <c r="F49" i="3"/>
  <c r="G49" i="3"/>
  <c r="H49" i="3"/>
  <c r="I49" i="3"/>
  <c r="J49" i="3"/>
  <c r="K49" i="3"/>
  <c r="L49" i="3"/>
  <c r="M49" i="3"/>
  <c r="N49" i="3"/>
  <c r="O49" i="3"/>
  <c r="P49" i="3"/>
  <c r="Q49" i="3"/>
  <c r="R49" i="3"/>
  <c r="S49" i="3"/>
  <c r="T49" i="3"/>
  <c r="E50" i="3"/>
  <c r="F50" i="3"/>
  <c r="G50" i="3"/>
  <c r="H50" i="3"/>
  <c r="I50" i="3"/>
  <c r="J50" i="3"/>
  <c r="K50" i="3"/>
  <c r="L50" i="3"/>
  <c r="M50" i="3"/>
  <c r="N50" i="3"/>
  <c r="O50" i="3"/>
  <c r="P50" i="3"/>
  <c r="Q50" i="3"/>
  <c r="R50" i="3"/>
  <c r="S50" i="3"/>
  <c r="T50" i="3"/>
  <c r="E51" i="3"/>
  <c r="F51" i="3"/>
  <c r="G51" i="3"/>
  <c r="H51" i="3"/>
  <c r="I51" i="3"/>
  <c r="J51" i="3"/>
  <c r="K51" i="3"/>
  <c r="L51" i="3"/>
  <c r="M51" i="3"/>
  <c r="N51" i="3"/>
  <c r="O51" i="3"/>
  <c r="P51" i="3"/>
  <c r="Q51" i="3"/>
  <c r="R51" i="3"/>
  <c r="S51" i="3"/>
  <c r="T51" i="3"/>
  <c r="E52" i="3"/>
  <c r="F52" i="3"/>
  <c r="G52" i="3"/>
  <c r="H52" i="3"/>
  <c r="I52" i="3"/>
  <c r="J52" i="3"/>
  <c r="K52" i="3"/>
  <c r="L52" i="3"/>
  <c r="M52" i="3"/>
  <c r="N52" i="3"/>
  <c r="O52" i="3"/>
  <c r="P52" i="3"/>
  <c r="Q52" i="3"/>
  <c r="R52" i="3"/>
  <c r="S52" i="3"/>
  <c r="T52" i="3"/>
  <c r="E53" i="3"/>
  <c r="F53" i="3"/>
  <c r="G53" i="3"/>
  <c r="H53" i="3"/>
  <c r="I53" i="3"/>
  <c r="J53" i="3"/>
  <c r="K53" i="3"/>
  <c r="L53" i="3"/>
  <c r="M53" i="3"/>
  <c r="N53" i="3"/>
  <c r="O53" i="3"/>
  <c r="P53" i="3"/>
  <c r="Q53" i="3"/>
  <c r="R53" i="3"/>
  <c r="S53" i="3"/>
  <c r="T53" i="3"/>
  <c r="E54" i="3"/>
  <c r="F54" i="3"/>
  <c r="G54" i="3"/>
  <c r="H54" i="3"/>
  <c r="I54" i="3"/>
  <c r="J54" i="3"/>
  <c r="K54" i="3"/>
  <c r="L54" i="3"/>
  <c r="M54" i="3"/>
  <c r="N54" i="3"/>
  <c r="O54" i="3"/>
  <c r="P54" i="3"/>
  <c r="Q54" i="3"/>
  <c r="R54" i="3"/>
  <c r="S54" i="3"/>
  <c r="T54" i="3"/>
  <c r="E55" i="3"/>
  <c r="F55" i="3"/>
  <c r="G55" i="3"/>
  <c r="H55" i="3"/>
  <c r="I55" i="3"/>
  <c r="J55" i="3"/>
  <c r="K55" i="3"/>
  <c r="L55" i="3"/>
  <c r="M55" i="3"/>
  <c r="N55" i="3"/>
  <c r="O55" i="3"/>
  <c r="P55" i="3"/>
  <c r="Q55" i="3"/>
  <c r="R55" i="3"/>
  <c r="S55" i="3"/>
  <c r="T55" i="3"/>
  <c r="E56" i="3"/>
  <c r="F56" i="3"/>
  <c r="G56" i="3"/>
  <c r="H56" i="3"/>
  <c r="I56" i="3"/>
  <c r="J56" i="3"/>
  <c r="K56" i="3"/>
  <c r="L56" i="3"/>
  <c r="M56" i="3"/>
  <c r="N56" i="3"/>
  <c r="O56" i="3"/>
  <c r="P56" i="3"/>
  <c r="Q56" i="3"/>
  <c r="R56" i="3"/>
  <c r="S56" i="3"/>
  <c r="T56" i="3"/>
  <c r="E57" i="3"/>
  <c r="F57" i="3"/>
  <c r="G57" i="3"/>
  <c r="H57" i="3"/>
  <c r="I57" i="3"/>
  <c r="J57" i="3"/>
  <c r="K57" i="3"/>
  <c r="L57" i="3"/>
  <c r="M57" i="3"/>
  <c r="N57" i="3"/>
  <c r="O57" i="3"/>
  <c r="P57" i="3"/>
  <c r="Q57" i="3"/>
  <c r="R57" i="3"/>
  <c r="S57" i="3"/>
  <c r="T57" i="3"/>
  <c r="E58" i="3"/>
  <c r="F58" i="3"/>
  <c r="G58" i="3"/>
  <c r="H58" i="3"/>
  <c r="I58" i="3"/>
  <c r="J58" i="3"/>
  <c r="K58" i="3"/>
  <c r="L58" i="3"/>
  <c r="M58" i="3"/>
  <c r="N58" i="3"/>
  <c r="O58" i="3"/>
  <c r="P58" i="3"/>
  <c r="Q58" i="3"/>
  <c r="R58" i="3"/>
  <c r="S58" i="3"/>
  <c r="T58" i="3"/>
  <c r="E59" i="3"/>
  <c r="F59" i="3"/>
  <c r="G59" i="3"/>
  <c r="H59" i="3"/>
  <c r="I59" i="3"/>
  <c r="J59" i="3"/>
  <c r="K59" i="3"/>
  <c r="L59" i="3"/>
  <c r="M59" i="3"/>
  <c r="N59" i="3"/>
  <c r="O59" i="3"/>
  <c r="P59" i="3"/>
  <c r="Q59" i="3"/>
  <c r="R59" i="3"/>
  <c r="S59" i="3"/>
  <c r="T59" i="3"/>
  <c r="E60" i="3"/>
  <c r="F60" i="3"/>
  <c r="G60" i="3"/>
  <c r="H60" i="3"/>
  <c r="I60" i="3"/>
  <c r="J60" i="3"/>
  <c r="K60" i="3"/>
  <c r="L60" i="3"/>
  <c r="M60" i="3"/>
  <c r="N60" i="3"/>
  <c r="O60" i="3"/>
  <c r="P60" i="3"/>
  <c r="Q60" i="3"/>
  <c r="R60" i="3"/>
  <c r="S60" i="3"/>
  <c r="T60" i="3"/>
  <c r="E61" i="3"/>
  <c r="F61" i="3"/>
  <c r="G61" i="3"/>
  <c r="H61" i="3"/>
  <c r="I61" i="3"/>
  <c r="J61" i="3"/>
  <c r="K61" i="3"/>
  <c r="L61" i="3"/>
  <c r="M61" i="3"/>
  <c r="N61" i="3"/>
  <c r="O61" i="3"/>
  <c r="P61" i="3"/>
  <c r="Q61" i="3"/>
  <c r="R61" i="3"/>
  <c r="S61" i="3"/>
  <c r="T61" i="3"/>
  <c r="E62" i="3"/>
  <c r="F62" i="3"/>
  <c r="G62" i="3"/>
  <c r="H62" i="3"/>
  <c r="I62" i="3"/>
  <c r="J62" i="3"/>
  <c r="K62" i="3"/>
  <c r="L62" i="3"/>
  <c r="M62" i="3"/>
  <c r="N62" i="3"/>
  <c r="O62" i="3"/>
  <c r="P62" i="3"/>
  <c r="Q62" i="3"/>
  <c r="R62" i="3"/>
  <c r="S62" i="3"/>
  <c r="T62" i="3"/>
  <c r="E63" i="3"/>
  <c r="F63" i="3"/>
  <c r="G63" i="3"/>
  <c r="H63" i="3"/>
  <c r="I63" i="3"/>
  <c r="J63" i="3"/>
  <c r="K63" i="3"/>
  <c r="L63" i="3"/>
  <c r="M63" i="3"/>
  <c r="N63" i="3"/>
  <c r="O63" i="3"/>
  <c r="P63" i="3"/>
  <c r="Q63" i="3"/>
  <c r="R63" i="3"/>
  <c r="S63" i="3"/>
  <c r="T63" i="3"/>
  <c r="E64" i="3"/>
  <c r="F64" i="3"/>
  <c r="G64" i="3"/>
  <c r="H64" i="3"/>
  <c r="I64" i="3"/>
  <c r="J64" i="3"/>
  <c r="K64" i="3"/>
  <c r="L64" i="3"/>
  <c r="M64" i="3"/>
  <c r="N64" i="3"/>
  <c r="O64" i="3"/>
  <c r="P64" i="3"/>
  <c r="Q64" i="3"/>
  <c r="R64" i="3"/>
  <c r="S64" i="3"/>
  <c r="T64" i="3"/>
  <c r="E65" i="3"/>
  <c r="F65" i="3"/>
  <c r="G65" i="3"/>
  <c r="H65" i="3"/>
  <c r="I65" i="3"/>
  <c r="J65" i="3"/>
  <c r="K65" i="3"/>
  <c r="L65" i="3"/>
  <c r="M65" i="3"/>
  <c r="N65" i="3"/>
  <c r="O65" i="3"/>
  <c r="P65" i="3"/>
  <c r="Q65" i="3"/>
  <c r="R65" i="3"/>
  <c r="S65" i="3"/>
  <c r="T65" i="3"/>
  <c r="E66" i="3"/>
  <c r="F66" i="3"/>
  <c r="G66" i="3"/>
  <c r="H66" i="3"/>
  <c r="I66" i="3"/>
  <c r="J66" i="3"/>
  <c r="K66" i="3"/>
  <c r="L66" i="3"/>
  <c r="M66" i="3"/>
  <c r="N66" i="3"/>
  <c r="O66" i="3"/>
  <c r="P66" i="3"/>
  <c r="Q66" i="3"/>
  <c r="R66" i="3"/>
  <c r="S66" i="3"/>
  <c r="T66" i="3"/>
  <c r="E67" i="3"/>
  <c r="F67" i="3"/>
  <c r="G67" i="3"/>
  <c r="H67" i="3"/>
  <c r="I67" i="3"/>
  <c r="J67" i="3"/>
  <c r="K67" i="3"/>
  <c r="L67" i="3"/>
  <c r="M67" i="3"/>
  <c r="N67" i="3"/>
  <c r="O67" i="3"/>
  <c r="P67" i="3"/>
  <c r="Q67" i="3"/>
  <c r="R67" i="3"/>
  <c r="S67" i="3"/>
  <c r="T67" i="3"/>
  <c r="E68" i="3"/>
  <c r="F68" i="3"/>
  <c r="G68" i="3"/>
  <c r="H68" i="3"/>
  <c r="I68" i="3"/>
  <c r="J68" i="3"/>
  <c r="K68" i="3"/>
  <c r="L68" i="3"/>
  <c r="M68" i="3"/>
  <c r="N68" i="3"/>
  <c r="O68" i="3"/>
  <c r="P68" i="3"/>
  <c r="Q68" i="3"/>
  <c r="R68" i="3"/>
  <c r="S68" i="3"/>
  <c r="T68" i="3"/>
  <c r="E69" i="3"/>
  <c r="F69" i="3"/>
  <c r="G69" i="3"/>
  <c r="H69" i="3"/>
  <c r="I69" i="3"/>
  <c r="J69" i="3"/>
  <c r="K69" i="3"/>
  <c r="L69" i="3"/>
  <c r="M69" i="3"/>
  <c r="N69" i="3"/>
  <c r="O69" i="3"/>
  <c r="P69" i="3"/>
  <c r="Q69" i="3"/>
  <c r="R69" i="3"/>
  <c r="S69" i="3"/>
  <c r="T69" i="3"/>
  <c r="E70" i="3"/>
  <c r="F70" i="3"/>
  <c r="G70" i="3"/>
  <c r="H70" i="3"/>
  <c r="I70" i="3"/>
  <c r="J70" i="3"/>
  <c r="K70" i="3"/>
  <c r="L70" i="3"/>
  <c r="M70" i="3"/>
  <c r="N70" i="3"/>
  <c r="O70" i="3"/>
  <c r="P70" i="3"/>
  <c r="Q70" i="3"/>
  <c r="R70" i="3"/>
  <c r="S70" i="3"/>
  <c r="T70" i="3"/>
  <c r="E71" i="3"/>
  <c r="F71" i="3"/>
  <c r="G71" i="3"/>
  <c r="H71" i="3"/>
  <c r="I71" i="3"/>
  <c r="J71" i="3"/>
  <c r="K71" i="3"/>
  <c r="L71" i="3"/>
  <c r="M71" i="3"/>
  <c r="N71" i="3"/>
  <c r="O71" i="3"/>
  <c r="P71" i="3"/>
  <c r="Q71" i="3"/>
  <c r="R71" i="3"/>
  <c r="S71" i="3"/>
  <c r="T71" i="3"/>
  <c r="E72" i="3"/>
  <c r="F72" i="3"/>
  <c r="G72" i="3"/>
  <c r="H72" i="3"/>
  <c r="I72" i="3"/>
  <c r="J72" i="3"/>
  <c r="K72" i="3"/>
  <c r="L72" i="3"/>
  <c r="M72" i="3"/>
  <c r="N72" i="3"/>
  <c r="O72" i="3"/>
  <c r="P72" i="3"/>
  <c r="Q72" i="3"/>
  <c r="R72" i="3"/>
  <c r="S72" i="3"/>
  <c r="T72" i="3"/>
  <c r="E73" i="3"/>
  <c r="F73" i="3"/>
  <c r="G73" i="3"/>
  <c r="H73" i="3"/>
  <c r="I73" i="3"/>
  <c r="J73" i="3"/>
  <c r="K73" i="3"/>
  <c r="L73" i="3"/>
  <c r="M73" i="3"/>
  <c r="N73" i="3"/>
  <c r="O73" i="3"/>
  <c r="P73" i="3"/>
  <c r="Q73" i="3"/>
  <c r="R73" i="3"/>
  <c r="S73" i="3"/>
  <c r="T73" i="3"/>
  <c r="E74" i="3"/>
  <c r="F74" i="3"/>
  <c r="G74" i="3"/>
  <c r="H74" i="3"/>
  <c r="I74" i="3"/>
  <c r="J74" i="3"/>
  <c r="K74" i="3"/>
  <c r="L74" i="3"/>
  <c r="M74" i="3"/>
  <c r="N74" i="3"/>
  <c r="O74" i="3"/>
  <c r="P74" i="3"/>
  <c r="Q74" i="3"/>
  <c r="R74" i="3"/>
  <c r="S74" i="3"/>
  <c r="T74" i="3"/>
  <c r="E75" i="3"/>
  <c r="F75" i="3"/>
  <c r="G75" i="3"/>
  <c r="H75" i="3"/>
  <c r="I75" i="3"/>
  <c r="J75" i="3"/>
  <c r="K75" i="3"/>
  <c r="L75" i="3"/>
  <c r="M75" i="3"/>
  <c r="N75" i="3"/>
  <c r="O75" i="3"/>
  <c r="P75" i="3"/>
  <c r="Q75" i="3"/>
  <c r="R75" i="3"/>
  <c r="S75" i="3"/>
  <c r="T75" i="3"/>
  <c r="E76" i="3"/>
  <c r="F76" i="3"/>
  <c r="G76" i="3"/>
  <c r="H76" i="3"/>
  <c r="I76" i="3"/>
  <c r="J76" i="3"/>
  <c r="K76" i="3"/>
  <c r="L76" i="3"/>
  <c r="M76" i="3"/>
  <c r="N76" i="3"/>
  <c r="O76" i="3"/>
  <c r="P76" i="3"/>
  <c r="Q76" i="3"/>
  <c r="R76" i="3"/>
  <c r="S76" i="3"/>
  <c r="T76" i="3"/>
  <c r="E77" i="3"/>
  <c r="F77" i="3"/>
  <c r="G77" i="3"/>
  <c r="H77" i="3"/>
  <c r="I77" i="3"/>
  <c r="J77" i="3"/>
  <c r="K77" i="3"/>
  <c r="L77" i="3"/>
  <c r="M77" i="3"/>
  <c r="N77" i="3"/>
  <c r="O77" i="3"/>
  <c r="P77" i="3"/>
  <c r="Q77" i="3"/>
  <c r="R77" i="3"/>
  <c r="S77" i="3"/>
  <c r="T77" i="3"/>
  <c r="E78" i="3"/>
  <c r="F78" i="3"/>
  <c r="G78" i="3"/>
  <c r="H78" i="3"/>
  <c r="I78" i="3"/>
  <c r="J78" i="3"/>
  <c r="K78" i="3"/>
  <c r="L78" i="3"/>
  <c r="M78" i="3"/>
  <c r="N78" i="3"/>
  <c r="O78" i="3"/>
  <c r="P78" i="3"/>
  <c r="Q78" i="3"/>
  <c r="R78" i="3"/>
  <c r="S78" i="3"/>
  <c r="T78"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9" i="3"/>
  <c r="E4" i="3"/>
  <c r="F4" i="3"/>
  <c r="G4" i="3"/>
  <c r="H4" i="3"/>
  <c r="I4" i="3"/>
  <c r="J4" i="3"/>
  <c r="K4" i="3"/>
  <c r="L4" i="3"/>
  <c r="M4" i="3"/>
  <c r="N4" i="3"/>
  <c r="O4" i="3"/>
  <c r="P4" i="3"/>
  <c r="Q4" i="3"/>
  <c r="R4" i="3"/>
  <c r="S4" i="3"/>
  <c r="T4" i="3"/>
  <c r="E5" i="3"/>
  <c r="BN5" i="3" s="1"/>
  <c r="F5" i="3"/>
  <c r="BP5" i="3" s="1"/>
  <c r="G5" i="3"/>
  <c r="BR5" i="3" s="1"/>
  <c r="H5" i="3"/>
  <c r="BT5" i="3" s="1"/>
  <c r="I5" i="3"/>
  <c r="BV5" i="3" s="1"/>
  <c r="J5" i="3"/>
  <c r="BX5" i="3" s="1"/>
  <c r="K5" i="3"/>
  <c r="L5" i="3"/>
  <c r="M5" i="3"/>
  <c r="N5" i="3"/>
  <c r="O5" i="3"/>
  <c r="P5" i="3"/>
  <c r="CB5" i="3" s="1"/>
  <c r="Q5" i="3"/>
  <c r="CD5" i="3" s="1"/>
  <c r="R5" i="3"/>
  <c r="S5" i="3"/>
  <c r="T5" i="3"/>
  <c r="E6" i="3"/>
  <c r="BN6" i="3" s="1"/>
  <c r="F6" i="3"/>
  <c r="BP6" i="3" s="1"/>
  <c r="G6" i="3"/>
  <c r="BR6" i="3" s="1"/>
  <c r="H6" i="3"/>
  <c r="BT6" i="3" s="1"/>
  <c r="I6" i="3"/>
  <c r="BV6" i="3" s="1"/>
  <c r="J6" i="3"/>
  <c r="BX6" i="3" s="1"/>
  <c r="K6" i="3"/>
  <c r="L6" i="3"/>
  <c r="M6" i="3"/>
  <c r="N6" i="3"/>
  <c r="O6" i="3"/>
  <c r="P6" i="3"/>
  <c r="CB6" i="3" s="1"/>
  <c r="Q6" i="3"/>
  <c r="CD6" i="3" s="1"/>
  <c r="R6" i="3"/>
  <c r="S6" i="3"/>
  <c r="T6" i="3"/>
  <c r="E7" i="3"/>
  <c r="BN7" i="3" s="1"/>
  <c r="F7" i="3"/>
  <c r="BP7" i="3" s="1"/>
  <c r="G7" i="3"/>
  <c r="BR7" i="3" s="1"/>
  <c r="H7" i="3"/>
  <c r="BT7" i="3" s="1"/>
  <c r="I7" i="3"/>
  <c r="BV7" i="3" s="1"/>
  <c r="J7" i="3"/>
  <c r="BX7" i="3" s="1"/>
  <c r="K7" i="3"/>
  <c r="L7" i="3"/>
  <c r="M7" i="3"/>
  <c r="N7" i="3"/>
  <c r="O7" i="3"/>
  <c r="P7" i="3"/>
  <c r="CB7" i="3" s="1"/>
  <c r="Q7" i="3"/>
  <c r="CD7" i="3" s="1"/>
  <c r="R7" i="3"/>
  <c r="S7" i="3"/>
  <c r="T7" i="3"/>
  <c r="D5" i="3"/>
  <c r="BL5" i="3" s="1"/>
  <c r="D6" i="3"/>
  <c r="D7" i="3"/>
  <c r="BL7" i="3" s="1"/>
  <c r="D4" i="3"/>
  <c r="CP27" i="59"/>
  <c r="CZ5" i="62"/>
  <c r="CZ6" i="62"/>
  <c r="CZ7" i="62"/>
  <c r="CZ8" i="62"/>
  <c r="CZ9" i="62"/>
  <c r="CZ10" i="62"/>
  <c r="CZ11" i="62"/>
  <c r="CZ12" i="62"/>
  <c r="CZ13" i="62"/>
  <c r="CZ14" i="62"/>
  <c r="CZ15" i="62"/>
  <c r="CZ16" i="62"/>
  <c r="CZ17" i="62"/>
  <c r="CZ18" i="62"/>
  <c r="CZ19" i="62"/>
  <c r="CZ20" i="62"/>
  <c r="CZ21" i="62"/>
  <c r="CZ22" i="62"/>
  <c r="CZ23" i="62"/>
  <c r="CZ24" i="62"/>
  <c r="CZ25" i="62"/>
  <c r="CZ26" i="62"/>
  <c r="CZ27" i="62"/>
  <c r="CZ28" i="62"/>
  <c r="CZ29" i="62"/>
  <c r="CZ30" i="62"/>
  <c r="CZ31" i="62"/>
  <c r="CZ32" i="62"/>
  <c r="CZ33" i="62"/>
  <c r="CZ34" i="62"/>
  <c r="CZ35" i="62"/>
  <c r="CZ36" i="62"/>
  <c r="CZ37" i="62"/>
  <c r="CZ38" i="62"/>
  <c r="CZ39" i="62"/>
  <c r="CZ40" i="62"/>
  <c r="CZ41" i="62"/>
  <c r="CZ42" i="62"/>
  <c r="CZ43" i="62"/>
  <c r="CZ44" i="62"/>
  <c r="CZ45" i="62"/>
  <c r="CZ46" i="62"/>
  <c r="CZ47" i="62"/>
  <c r="CZ48" i="62"/>
  <c r="CZ49" i="62"/>
  <c r="CZ50" i="62"/>
  <c r="CZ51" i="62"/>
  <c r="CZ52" i="62"/>
  <c r="CZ53" i="62"/>
  <c r="CZ54" i="62"/>
  <c r="CZ55" i="62"/>
  <c r="CZ56" i="62"/>
  <c r="CZ57" i="62"/>
  <c r="CZ58" i="62"/>
  <c r="CZ59" i="62"/>
  <c r="CZ60" i="62"/>
  <c r="CZ61" i="62"/>
  <c r="CZ62" i="62"/>
  <c r="CZ63" i="62"/>
  <c r="CZ64" i="62"/>
  <c r="CZ65" i="62"/>
  <c r="CZ66" i="62"/>
  <c r="CZ67" i="62"/>
  <c r="CZ68" i="62"/>
  <c r="CZ69" i="62"/>
  <c r="CZ70" i="62"/>
  <c r="CZ71" i="62"/>
  <c r="CZ72" i="62"/>
  <c r="CZ73" i="62"/>
  <c r="CZ74" i="62"/>
  <c r="CZ75" i="62"/>
  <c r="CZ76" i="62"/>
  <c r="CZ77" i="62"/>
  <c r="CZ78" i="62"/>
  <c r="CZ79" i="62"/>
  <c r="CZ80" i="62"/>
  <c r="CZ81" i="62"/>
  <c r="CZ82" i="62"/>
  <c r="CZ83" i="62"/>
  <c r="CZ84" i="62"/>
  <c r="CZ85" i="62"/>
  <c r="CZ86" i="62"/>
  <c r="CZ87" i="62"/>
  <c r="CZ4" i="62"/>
  <c r="CO4" i="59"/>
  <c r="CN4" i="59"/>
  <c r="CX6" i="62"/>
  <c r="CX7" i="62"/>
  <c r="CX8" i="62"/>
  <c r="CX9" i="62"/>
  <c r="CX10" i="62"/>
  <c r="CX11" i="62"/>
  <c r="CX12" i="62"/>
  <c r="CX13" i="62"/>
  <c r="CX14" i="62"/>
  <c r="CX15" i="62"/>
  <c r="CX16" i="62"/>
  <c r="CX17" i="62"/>
  <c r="CX18" i="62"/>
  <c r="CX19" i="62"/>
  <c r="CX20" i="62"/>
  <c r="CX21" i="62"/>
  <c r="CX22" i="62"/>
  <c r="CX23" i="62"/>
  <c r="CX24" i="62"/>
  <c r="DA24" i="62" s="1"/>
  <c r="CX25" i="62"/>
  <c r="CX26" i="62"/>
  <c r="CX27" i="62"/>
  <c r="CX28" i="62"/>
  <c r="CX29" i="62"/>
  <c r="CX30" i="62"/>
  <c r="CX31" i="62"/>
  <c r="CX32" i="62"/>
  <c r="CX33" i="62"/>
  <c r="CX34" i="62"/>
  <c r="CX35" i="62"/>
  <c r="CX36" i="62"/>
  <c r="CX37" i="62"/>
  <c r="CX38" i="62"/>
  <c r="CX39" i="62"/>
  <c r="CX40" i="62"/>
  <c r="CX41" i="62"/>
  <c r="CX42" i="62"/>
  <c r="CX43" i="62"/>
  <c r="CX44" i="62"/>
  <c r="CX45" i="62"/>
  <c r="CX46" i="62"/>
  <c r="CX47" i="62"/>
  <c r="CX48" i="62"/>
  <c r="CX49" i="62"/>
  <c r="CX50" i="62"/>
  <c r="CX51" i="62"/>
  <c r="CX52" i="62"/>
  <c r="CX53" i="62"/>
  <c r="CX54" i="62"/>
  <c r="CX55" i="62"/>
  <c r="CX56" i="62"/>
  <c r="CX57" i="62"/>
  <c r="CX58" i="62"/>
  <c r="CX59" i="62"/>
  <c r="CX60" i="62"/>
  <c r="CX61" i="62"/>
  <c r="CX62" i="62"/>
  <c r="CX63" i="62"/>
  <c r="CX64" i="62"/>
  <c r="CX65" i="62"/>
  <c r="CX66" i="62"/>
  <c r="CX67" i="62"/>
  <c r="CX68" i="62"/>
  <c r="CX69" i="62"/>
  <c r="CX70" i="62"/>
  <c r="CX71" i="62"/>
  <c r="CX72" i="62"/>
  <c r="CX73" i="62"/>
  <c r="DA73" i="62" s="1"/>
  <c r="CX74" i="62"/>
  <c r="CX75" i="62"/>
  <c r="CX76" i="62"/>
  <c r="CX77" i="62"/>
  <c r="CX78" i="62"/>
  <c r="CX79" i="62"/>
  <c r="CX80" i="62"/>
  <c r="CX81" i="62"/>
  <c r="CX82" i="62"/>
  <c r="CX83" i="62"/>
  <c r="CX84" i="62"/>
  <c r="CX85" i="62"/>
  <c r="CX86" i="62"/>
  <c r="CX87" i="62"/>
  <c r="CX4" i="62"/>
  <c r="CM4" i="59"/>
  <c r="CW5" i="62"/>
  <c r="CW6" i="62"/>
  <c r="CW7" i="62"/>
  <c r="CW8" i="62"/>
  <c r="CW9" i="62"/>
  <c r="CW10" i="62"/>
  <c r="CW11" i="62"/>
  <c r="CW12" i="62"/>
  <c r="CW13" i="62"/>
  <c r="CW14" i="62"/>
  <c r="CW15" i="62"/>
  <c r="CW16" i="62"/>
  <c r="CW17" i="62"/>
  <c r="CW18" i="62"/>
  <c r="CW19" i="62"/>
  <c r="CW20" i="62"/>
  <c r="CW21" i="62"/>
  <c r="CW22" i="62"/>
  <c r="CW23" i="62"/>
  <c r="CW24" i="62"/>
  <c r="CW25" i="62"/>
  <c r="CW26" i="62"/>
  <c r="CW27" i="62"/>
  <c r="CW28" i="62"/>
  <c r="CW29" i="62"/>
  <c r="CW30" i="62"/>
  <c r="CW31" i="62"/>
  <c r="CW32" i="62"/>
  <c r="CW33" i="62"/>
  <c r="CW34" i="62"/>
  <c r="CW35" i="62"/>
  <c r="CW36" i="62"/>
  <c r="CW37" i="62"/>
  <c r="CW38" i="62"/>
  <c r="CW39" i="62"/>
  <c r="CW40" i="62"/>
  <c r="CW41" i="62"/>
  <c r="CW42" i="62"/>
  <c r="CW43" i="62"/>
  <c r="CW44" i="62"/>
  <c r="CW45" i="62"/>
  <c r="CW46" i="62"/>
  <c r="CW47" i="62"/>
  <c r="CW48" i="62"/>
  <c r="CW49" i="62"/>
  <c r="CW50" i="62"/>
  <c r="CW51" i="62"/>
  <c r="CW52" i="62"/>
  <c r="CW53" i="62"/>
  <c r="CW54" i="62"/>
  <c r="CW55" i="62"/>
  <c r="CW56" i="62"/>
  <c r="CW57" i="62"/>
  <c r="CW58" i="62"/>
  <c r="CW59" i="62"/>
  <c r="CW60" i="62"/>
  <c r="CW61" i="62"/>
  <c r="CW62" i="62"/>
  <c r="CW63" i="62"/>
  <c r="CW64" i="62"/>
  <c r="CW65" i="62"/>
  <c r="CW66" i="62"/>
  <c r="CW67" i="62"/>
  <c r="CW68" i="62"/>
  <c r="CW69" i="62"/>
  <c r="CW70" i="62"/>
  <c r="CW71" i="62"/>
  <c r="CW72" i="62"/>
  <c r="CW73" i="62"/>
  <c r="CW74" i="62"/>
  <c r="CW75" i="62"/>
  <c r="CW76" i="62"/>
  <c r="CW77" i="62"/>
  <c r="CW78" i="62"/>
  <c r="CW79" i="62"/>
  <c r="CW80" i="62"/>
  <c r="CW81" i="62"/>
  <c r="CW82" i="62"/>
  <c r="CW83" i="62"/>
  <c r="CW84" i="62"/>
  <c r="CW85" i="62"/>
  <c r="CW86" i="62"/>
  <c r="CW87" i="62"/>
  <c r="CW4" i="62"/>
  <c r="CL4" i="59"/>
  <c r="CV5" i="62"/>
  <c r="CV6" i="62"/>
  <c r="CV7" i="62"/>
  <c r="CV8" i="62"/>
  <c r="CV9" i="62"/>
  <c r="CV10" i="62"/>
  <c r="CV11" i="62"/>
  <c r="CV12" i="62"/>
  <c r="CV13" i="62"/>
  <c r="CV14" i="62"/>
  <c r="CV15" i="62"/>
  <c r="CV16" i="62"/>
  <c r="CV17" i="62"/>
  <c r="CV18" i="62"/>
  <c r="CV19" i="62"/>
  <c r="CV20" i="62"/>
  <c r="CV21" i="62"/>
  <c r="CV22" i="62"/>
  <c r="CV23" i="62"/>
  <c r="CV24" i="62"/>
  <c r="CV25" i="62"/>
  <c r="CV26" i="62"/>
  <c r="CV27" i="62"/>
  <c r="CV28" i="62"/>
  <c r="CV29" i="62"/>
  <c r="CV30" i="62"/>
  <c r="CV31" i="62"/>
  <c r="CV32" i="62"/>
  <c r="CV33" i="62"/>
  <c r="CV34" i="62"/>
  <c r="CV35" i="62"/>
  <c r="CV36" i="62"/>
  <c r="CV37" i="62"/>
  <c r="CV38" i="62"/>
  <c r="CV39" i="62"/>
  <c r="CV40" i="62"/>
  <c r="CV41" i="62"/>
  <c r="CV42" i="62"/>
  <c r="CV43" i="62"/>
  <c r="CV44" i="62"/>
  <c r="CV45" i="62"/>
  <c r="CV46" i="62"/>
  <c r="CV47" i="62"/>
  <c r="CV48" i="62"/>
  <c r="CV49" i="62"/>
  <c r="CV50" i="62"/>
  <c r="CV51" i="62"/>
  <c r="CV52" i="62"/>
  <c r="CV53" i="62"/>
  <c r="CV54" i="62"/>
  <c r="CV55" i="62"/>
  <c r="CV56" i="62"/>
  <c r="CV57" i="62"/>
  <c r="CV58" i="62"/>
  <c r="CV59" i="62"/>
  <c r="CV60" i="62"/>
  <c r="CV61" i="62"/>
  <c r="CV62" i="62"/>
  <c r="CV63" i="62"/>
  <c r="CV64" i="62"/>
  <c r="CV65" i="62"/>
  <c r="CV66" i="62"/>
  <c r="CV67" i="62"/>
  <c r="CV68" i="62"/>
  <c r="CV69" i="62"/>
  <c r="CV70" i="62"/>
  <c r="CV71" i="62"/>
  <c r="CV72" i="62"/>
  <c r="CV73" i="62"/>
  <c r="CV74" i="62"/>
  <c r="CV75" i="62"/>
  <c r="CV76" i="62"/>
  <c r="CV77" i="62"/>
  <c r="CV78" i="62"/>
  <c r="CV79" i="62"/>
  <c r="CV80" i="62"/>
  <c r="CV81" i="62"/>
  <c r="CV82" i="62"/>
  <c r="CV83" i="62"/>
  <c r="CV84" i="62"/>
  <c r="CV85" i="62"/>
  <c r="CV86" i="62"/>
  <c r="CV87" i="62"/>
  <c r="CV4" i="62"/>
  <c r="CK4" i="59"/>
  <c r="CU5" i="62"/>
  <c r="CU6" i="62"/>
  <c r="CU7" i="62"/>
  <c r="CU8" i="62"/>
  <c r="CU9" i="62"/>
  <c r="CU10" i="62"/>
  <c r="CU11" i="62"/>
  <c r="CU12" i="62"/>
  <c r="CU13" i="62"/>
  <c r="CU14" i="62"/>
  <c r="CU15" i="62"/>
  <c r="CU16" i="62"/>
  <c r="CU17" i="62"/>
  <c r="CU18" i="62"/>
  <c r="CU19" i="62"/>
  <c r="CU20" i="62"/>
  <c r="CU21" i="62"/>
  <c r="CU22" i="62"/>
  <c r="CU23" i="62"/>
  <c r="CU24" i="62"/>
  <c r="CU25" i="62"/>
  <c r="CU26" i="62"/>
  <c r="CU27" i="62"/>
  <c r="CU28" i="62"/>
  <c r="CU29" i="62"/>
  <c r="CU30" i="62"/>
  <c r="CU31" i="62"/>
  <c r="CU32" i="62"/>
  <c r="CU33" i="62"/>
  <c r="CU34" i="62"/>
  <c r="CU35" i="62"/>
  <c r="CU36" i="62"/>
  <c r="CU37" i="62"/>
  <c r="CU38" i="62"/>
  <c r="CU39" i="62"/>
  <c r="CU40" i="62"/>
  <c r="CU41" i="62"/>
  <c r="CU42" i="62"/>
  <c r="CU43" i="62"/>
  <c r="CU44" i="62"/>
  <c r="CU45" i="62"/>
  <c r="CU46" i="62"/>
  <c r="CU47" i="62"/>
  <c r="CU48" i="62"/>
  <c r="CU49" i="62"/>
  <c r="CU50" i="62"/>
  <c r="CU51" i="62"/>
  <c r="CU52" i="62"/>
  <c r="CU53" i="62"/>
  <c r="CU54" i="62"/>
  <c r="CU55" i="62"/>
  <c r="CU56" i="62"/>
  <c r="CU57" i="62"/>
  <c r="CU58" i="62"/>
  <c r="CU59" i="62"/>
  <c r="CU60" i="62"/>
  <c r="CU61" i="62"/>
  <c r="CU62" i="62"/>
  <c r="CU63" i="62"/>
  <c r="CU64" i="62"/>
  <c r="CU65" i="62"/>
  <c r="CU66" i="62"/>
  <c r="CU67" i="62"/>
  <c r="CU68" i="62"/>
  <c r="CU69" i="62"/>
  <c r="CU70" i="62"/>
  <c r="CU71" i="62"/>
  <c r="CU72" i="62"/>
  <c r="CU73" i="62"/>
  <c r="CU74" i="62"/>
  <c r="CU75" i="62"/>
  <c r="CU76" i="62"/>
  <c r="CU77" i="62"/>
  <c r="CU78" i="62"/>
  <c r="CU79" i="62"/>
  <c r="CU80" i="62"/>
  <c r="CU81" i="62"/>
  <c r="CU82" i="62"/>
  <c r="CU83" i="62"/>
  <c r="CU84" i="62"/>
  <c r="CU85" i="62"/>
  <c r="CU86" i="62"/>
  <c r="CU87" i="62"/>
  <c r="CU4" i="62"/>
  <c r="CJ4" i="59"/>
  <c r="CP5" i="59"/>
  <c r="CP6" i="59"/>
  <c r="CP7" i="59"/>
  <c r="CP8" i="59"/>
  <c r="CP9" i="59"/>
  <c r="CP10" i="59"/>
  <c r="CP11" i="59"/>
  <c r="CP12" i="59"/>
  <c r="CP13" i="59"/>
  <c r="CP14" i="59"/>
  <c r="CP15" i="59"/>
  <c r="CP16" i="59"/>
  <c r="CP17" i="59"/>
  <c r="CP18" i="59"/>
  <c r="CP19" i="59"/>
  <c r="CP20" i="59"/>
  <c r="CP21" i="59"/>
  <c r="CP22" i="59"/>
  <c r="CP23" i="59"/>
  <c r="CP24" i="59"/>
  <c r="CP25" i="59"/>
  <c r="CP26" i="59"/>
  <c r="CP28" i="59"/>
  <c r="CP29" i="59"/>
  <c r="CP30" i="59"/>
  <c r="CP31" i="59"/>
  <c r="CP32" i="59"/>
  <c r="CP33" i="59"/>
  <c r="CP34" i="59"/>
  <c r="CP35" i="59"/>
  <c r="CP36" i="59"/>
  <c r="CP37" i="59"/>
  <c r="CP38" i="59"/>
  <c r="CP39" i="59"/>
  <c r="CP40" i="59"/>
  <c r="CP41" i="59"/>
  <c r="CP42" i="59"/>
  <c r="CP43" i="59"/>
  <c r="CP44" i="59"/>
  <c r="CP45" i="59"/>
  <c r="CP46" i="59"/>
  <c r="CP47" i="59"/>
  <c r="CP48" i="59"/>
  <c r="CP49" i="59"/>
  <c r="CP50" i="59"/>
  <c r="CP51" i="59"/>
  <c r="CP52" i="59"/>
  <c r="CP53" i="59"/>
  <c r="CP54" i="59"/>
  <c r="CP55" i="59"/>
  <c r="CP56" i="59"/>
  <c r="CP57" i="59"/>
  <c r="CP58" i="59"/>
  <c r="CP59" i="59"/>
  <c r="CP60" i="59"/>
  <c r="CP61" i="59"/>
  <c r="CP62" i="59"/>
  <c r="CP63" i="59"/>
  <c r="CP64" i="59"/>
  <c r="CP65" i="59"/>
  <c r="CP66" i="59"/>
  <c r="CP67" i="59"/>
  <c r="CP68" i="59"/>
  <c r="CP69" i="59"/>
  <c r="CP70" i="59"/>
  <c r="CP71" i="59"/>
  <c r="CP72" i="59"/>
  <c r="CP73" i="59"/>
  <c r="CP74" i="59"/>
  <c r="CP75" i="59"/>
  <c r="CP76" i="59"/>
  <c r="CP77" i="59"/>
  <c r="CP78" i="59"/>
  <c r="CP79" i="59"/>
  <c r="CP80" i="59"/>
  <c r="CP81" i="59"/>
  <c r="CP82" i="59"/>
  <c r="CP83" i="59"/>
  <c r="CP84" i="59"/>
  <c r="CP85" i="59"/>
  <c r="CP86" i="59"/>
  <c r="CP87" i="59"/>
  <c r="CP88" i="59"/>
  <c r="CP89" i="59"/>
  <c r="CP90" i="59"/>
  <c r="CP4" i="59"/>
  <c r="CP91" i="59" s="1"/>
  <c r="CO91" i="59"/>
  <c r="CO5" i="59"/>
  <c r="CO6" i="59"/>
  <c r="CO7" i="59"/>
  <c r="CO8" i="59"/>
  <c r="CO9" i="59"/>
  <c r="CO10" i="59"/>
  <c r="CO11" i="59"/>
  <c r="CO12" i="59"/>
  <c r="CO13" i="59"/>
  <c r="CO14" i="59"/>
  <c r="CO15" i="59"/>
  <c r="CO16" i="59"/>
  <c r="CO17" i="59"/>
  <c r="CO18" i="59"/>
  <c r="CO19" i="59"/>
  <c r="CO20" i="59"/>
  <c r="CO21" i="59"/>
  <c r="CO22" i="59"/>
  <c r="CO23" i="59"/>
  <c r="CO24" i="59"/>
  <c r="CO25" i="59"/>
  <c r="CO26" i="59"/>
  <c r="CO27" i="59"/>
  <c r="CO28" i="59"/>
  <c r="CO29" i="59"/>
  <c r="CO30" i="59"/>
  <c r="CO31" i="59"/>
  <c r="CO32" i="59"/>
  <c r="CO33" i="59"/>
  <c r="CO34" i="59"/>
  <c r="CO35" i="59"/>
  <c r="CO36" i="59"/>
  <c r="CO37" i="59"/>
  <c r="CO38" i="59"/>
  <c r="CO39" i="59"/>
  <c r="CO40" i="59"/>
  <c r="CO41" i="59"/>
  <c r="CO42" i="59"/>
  <c r="CO43" i="59"/>
  <c r="CO44" i="59"/>
  <c r="CO45" i="59"/>
  <c r="CO46" i="59"/>
  <c r="CO47" i="59"/>
  <c r="CO48" i="59"/>
  <c r="CO49" i="59"/>
  <c r="CO50" i="59"/>
  <c r="CO51" i="59"/>
  <c r="CO52" i="59"/>
  <c r="CO53" i="59"/>
  <c r="CO54" i="59"/>
  <c r="CO55" i="59"/>
  <c r="CO56" i="59"/>
  <c r="CO57" i="59"/>
  <c r="CO58" i="59"/>
  <c r="CO59" i="59"/>
  <c r="CO60" i="59"/>
  <c r="CO61" i="59"/>
  <c r="CO62" i="59"/>
  <c r="CO63" i="59"/>
  <c r="CO64" i="59"/>
  <c r="CO65" i="59"/>
  <c r="CO66" i="59"/>
  <c r="CO67" i="59"/>
  <c r="CO68" i="59"/>
  <c r="CO69" i="59"/>
  <c r="CO70" i="59"/>
  <c r="CO71" i="59"/>
  <c r="CO72" i="59"/>
  <c r="CO73" i="59"/>
  <c r="CO74" i="59"/>
  <c r="CO75" i="59"/>
  <c r="CO76" i="59"/>
  <c r="CO77" i="59"/>
  <c r="CO78" i="59"/>
  <c r="CO79" i="59"/>
  <c r="CO80" i="59"/>
  <c r="CO81" i="59"/>
  <c r="CO82" i="59"/>
  <c r="CO83" i="59"/>
  <c r="CO84" i="59"/>
  <c r="CO85" i="59"/>
  <c r="CO86" i="59"/>
  <c r="CO87" i="59"/>
  <c r="CO88" i="59"/>
  <c r="CO89" i="59"/>
  <c r="CO90" i="59"/>
  <c r="CN91" i="59"/>
  <c r="CN5" i="59"/>
  <c r="CN6" i="59"/>
  <c r="CN7" i="59"/>
  <c r="CN8" i="59"/>
  <c r="CN9" i="59"/>
  <c r="CN10" i="59"/>
  <c r="CN11" i="59"/>
  <c r="CN12" i="59"/>
  <c r="CN13" i="59"/>
  <c r="CN14" i="59"/>
  <c r="CN15" i="59"/>
  <c r="CN16" i="59"/>
  <c r="CN17" i="59"/>
  <c r="CN18" i="59"/>
  <c r="CN19" i="59"/>
  <c r="CN20" i="59"/>
  <c r="CN21" i="59"/>
  <c r="CN22" i="59"/>
  <c r="CN23" i="59"/>
  <c r="CN24" i="59"/>
  <c r="CN25" i="59"/>
  <c r="CN26" i="59"/>
  <c r="CN27" i="59"/>
  <c r="CN28" i="59"/>
  <c r="CN29" i="59"/>
  <c r="CN30" i="59"/>
  <c r="CN31" i="59"/>
  <c r="CN32" i="59"/>
  <c r="CN33" i="59"/>
  <c r="CN34" i="59"/>
  <c r="CN35" i="59"/>
  <c r="CN36" i="59"/>
  <c r="CN37" i="59"/>
  <c r="CN38" i="59"/>
  <c r="CN39" i="59"/>
  <c r="CN40" i="59"/>
  <c r="CN41" i="59"/>
  <c r="CN42" i="59"/>
  <c r="CN43" i="59"/>
  <c r="CN44" i="59"/>
  <c r="CN45" i="59"/>
  <c r="CN46" i="59"/>
  <c r="CN47" i="59"/>
  <c r="CN48" i="59"/>
  <c r="CN49" i="59"/>
  <c r="CN50" i="59"/>
  <c r="CN51" i="59"/>
  <c r="CN52" i="59"/>
  <c r="CN53" i="59"/>
  <c r="CN54" i="59"/>
  <c r="CN55" i="59"/>
  <c r="CN56" i="59"/>
  <c r="CN57" i="59"/>
  <c r="CN58" i="59"/>
  <c r="CN59" i="59"/>
  <c r="CN60" i="59"/>
  <c r="CN61" i="59"/>
  <c r="CN62" i="59"/>
  <c r="CN63" i="59"/>
  <c r="CN64" i="59"/>
  <c r="CN65" i="59"/>
  <c r="CN66" i="59"/>
  <c r="CN67" i="59"/>
  <c r="CN68" i="59"/>
  <c r="CN69" i="59"/>
  <c r="CN70" i="59"/>
  <c r="CN71" i="59"/>
  <c r="CN72" i="59"/>
  <c r="CN73" i="59"/>
  <c r="CN74" i="59"/>
  <c r="CN75" i="59"/>
  <c r="CN76" i="59"/>
  <c r="CN77" i="59"/>
  <c r="CN78" i="59"/>
  <c r="CN79" i="59"/>
  <c r="CN80" i="59"/>
  <c r="CN81" i="59"/>
  <c r="CN82" i="59"/>
  <c r="CN83" i="59"/>
  <c r="CN84" i="59"/>
  <c r="CN85" i="59"/>
  <c r="CN86" i="59"/>
  <c r="CN87" i="59"/>
  <c r="CN88" i="59"/>
  <c r="CN89" i="59"/>
  <c r="CN90" i="59"/>
  <c r="CM91" i="59"/>
  <c r="CM5" i="59"/>
  <c r="CM6" i="59"/>
  <c r="CM7" i="59"/>
  <c r="CM8" i="59"/>
  <c r="CM9" i="59"/>
  <c r="CM10" i="59"/>
  <c r="CM11" i="59"/>
  <c r="CM12" i="59"/>
  <c r="CM13" i="59"/>
  <c r="CM14" i="59"/>
  <c r="CM15" i="59"/>
  <c r="CM16" i="59"/>
  <c r="CM17" i="59"/>
  <c r="CM18" i="59"/>
  <c r="CM19" i="59"/>
  <c r="CM20" i="59"/>
  <c r="CM21" i="59"/>
  <c r="CM22" i="59"/>
  <c r="CM23" i="59"/>
  <c r="CM24" i="59"/>
  <c r="CM25" i="59"/>
  <c r="CM26" i="59"/>
  <c r="CM27" i="59"/>
  <c r="CM28" i="59"/>
  <c r="CM29" i="59"/>
  <c r="CM30" i="59"/>
  <c r="CM31" i="59"/>
  <c r="CM32" i="59"/>
  <c r="CM33" i="59"/>
  <c r="CM34" i="59"/>
  <c r="CM35" i="59"/>
  <c r="CM36" i="59"/>
  <c r="CM37" i="59"/>
  <c r="CM38" i="59"/>
  <c r="CM39" i="59"/>
  <c r="CM40" i="59"/>
  <c r="CM41" i="59"/>
  <c r="CM42" i="59"/>
  <c r="CM43" i="59"/>
  <c r="CM44" i="59"/>
  <c r="CM45" i="59"/>
  <c r="CM46" i="59"/>
  <c r="CM47" i="59"/>
  <c r="CM48" i="59"/>
  <c r="CM49" i="59"/>
  <c r="CM50" i="59"/>
  <c r="CM51" i="59"/>
  <c r="CM52" i="59"/>
  <c r="CM53" i="59"/>
  <c r="CM54" i="59"/>
  <c r="CM55" i="59"/>
  <c r="CM56" i="59"/>
  <c r="CM57" i="59"/>
  <c r="CM58" i="59"/>
  <c r="CM59" i="59"/>
  <c r="CM60" i="59"/>
  <c r="CM61" i="59"/>
  <c r="CM62" i="59"/>
  <c r="CM63" i="59"/>
  <c r="CM64" i="59"/>
  <c r="CM65" i="59"/>
  <c r="CM66" i="59"/>
  <c r="CM67" i="59"/>
  <c r="CM68" i="59"/>
  <c r="CM69" i="59"/>
  <c r="CM70" i="59"/>
  <c r="CM71" i="59"/>
  <c r="CM72" i="59"/>
  <c r="CM73" i="59"/>
  <c r="CM74" i="59"/>
  <c r="CM75" i="59"/>
  <c r="CM76" i="59"/>
  <c r="CM77" i="59"/>
  <c r="CM78" i="59"/>
  <c r="CM79" i="59"/>
  <c r="CM80" i="59"/>
  <c r="CM81" i="59"/>
  <c r="CM82" i="59"/>
  <c r="CM83" i="59"/>
  <c r="CM84" i="59"/>
  <c r="CM85" i="59"/>
  <c r="CM86" i="59"/>
  <c r="CM87" i="59"/>
  <c r="CM88" i="59"/>
  <c r="CM89" i="59"/>
  <c r="CM90" i="59"/>
  <c r="BI10" i="3" l="1"/>
  <c r="CV88" i="62"/>
  <c r="D88" i="3"/>
  <c r="BD9" i="3"/>
  <c r="U20" i="3"/>
  <c r="U72" i="3"/>
  <c r="U60" i="3"/>
  <c r="DA25" i="62"/>
  <c r="DA13" i="62"/>
  <c r="U84" i="3"/>
  <c r="U58" i="3"/>
  <c r="DA66" i="62"/>
  <c r="U67" i="3"/>
  <c r="U75" i="3"/>
  <c r="U50" i="3"/>
  <c r="DA30" i="62"/>
  <c r="U30" i="3"/>
  <c r="DA18" i="62"/>
  <c r="U94" i="3"/>
  <c r="DA6" i="62"/>
  <c r="U46" i="3"/>
  <c r="U51" i="3"/>
  <c r="DA33" i="62"/>
  <c r="U19" i="3"/>
  <c r="DA9" i="62"/>
  <c r="DA60" i="62"/>
  <c r="U83" i="3"/>
  <c r="U64" i="3"/>
  <c r="DA65" i="62"/>
  <c r="U65" i="3"/>
  <c r="U28" i="3"/>
  <c r="DA41" i="62"/>
  <c r="U48" i="3"/>
  <c r="U29" i="3"/>
  <c r="U5" i="3"/>
  <c r="DA5" i="62"/>
  <c r="U44" i="3"/>
  <c r="DA83" i="62"/>
  <c r="U37" i="3"/>
  <c r="DA71" i="62"/>
  <c r="U12" i="3"/>
  <c r="DA59" i="62"/>
  <c r="U22" i="3"/>
  <c r="U73" i="3"/>
  <c r="U34" i="3"/>
  <c r="CW88" i="62"/>
  <c r="U15" i="3"/>
  <c r="U33" i="3"/>
  <c r="DA21" i="62"/>
  <c r="U57" i="3"/>
  <c r="DA68" i="62"/>
  <c r="U14" i="3"/>
  <c r="U87" i="3"/>
  <c r="DA79" i="62"/>
  <c r="U17" i="3"/>
  <c r="DA67" i="62"/>
  <c r="U68" i="3"/>
  <c r="DA55" i="62"/>
  <c r="U53" i="3"/>
  <c r="DA43" i="62"/>
  <c r="U49" i="3"/>
  <c r="DA31" i="62"/>
  <c r="U31" i="3"/>
  <c r="DA19" i="62"/>
  <c r="DA47" i="62"/>
  <c r="DA35" i="62"/>
  <c r="DA23" i="62"/>
  <c r="DA11" i="62"/>
  <c r="U4" i="3"/>
  <c r="DA4" i="62"/>
  <c r="U16" i="3"/>
  <c r="U69" i="3"/>
  <c r="U66" i="3"/>
  <c r="U56" i="3"/>
  <c r="DA40" i="62"/>
  <c r="U42" i="3"/>
  <c r="DA28" i="62"/>
  <c r="U27" i="3"/>
  <c r="DA16" i="62"/>
  <c r="U9" i="3"/>
  <c r="U55" i="3"/>
  <c r="U89" i="3"/>
  <c r="U43" i="3"/>
  <c r="U70" i="3"/>
  <c r="DA63" i="62"/>
  <c r="U63" i="3"/>
  <c r="DA51" i="62"/>
  <c r="U71" i="3"/>
  <c r="DA39" i="62"/>
  <c r="U41" i="3"/>
  <c r="U26" i="3"/>
  <c r="U13" i="3"/>
  <c r="U93" i="3"/>
  <c r="DA69" i="62"/>
  <c r="DA57" i="62"/>
  <c r="DA45" i="62"/>
  <c r="U91" i="3"/>
  <c r="DA86" i="62"/>
  <c r="U61" i="3"/>
  <c r="DA62" i="62"/>
  <c r="U62" i="3"/>
  <c r="DA50" i="62"/>
  <c r="U21" i="3"/>
  <c r="DA38" i="62"/>
  <c r="U39" i="3"/>
  <c r="DA26" i="62"/>
  <c r="U25" i="3"/>
  <c r="DA14" i="62"/>
  <c r="U36" i="3"/>
  <c r="CX88" i="62"/>
  <c r="BC105" i="3" s="1"/>
  <c r="U82" i="3"/>
  <c r="U52" i="3"/>
  <c r="DA32" i="62"/>
  <c r="U90" i="3"/>
  <c r="DA85" i="62"/>
  <c r="U59" i="3"/>
  <c r="DA61" i="62"/>
  <c r="U47" i="3"/>
  <c r="DA49" i="62"/>
  <c r="U76" i="3"/>
  <c r="DA37" i="62"/>
  <c r="U38" i="3"/>
  <c r="U24" i="3"/>
  <c r="U18" i="3"/>
  <c r="U10" i="3"/>
  <c r="DA58" i="62"/>
  <c r="U11" i="3"/>
  <c r="DA46" i="62"/>
  <c r="U78" i="3"/>
  <c r="DA34" i="62"/>
  <c r="U35" i="3"/>
  <c r="BD23" i="3"/>
  <c r="U86" i="3"/>
  <c r="DA81" i="62"/>
  <c r="CZ88" i="62"/>
  <c r="U32" i="3"/>
  <c r="DA20" i="62"/>
  <c r="DA7" i="62"/>
  <c r="U45" i="3"/>
  <c r="DA84" i="62"/>
  <c r="U77" i="3"/>
  <c r="DA72" i="62"/>
  <c r="U54" i="3"/>
  <c r="U40" i="3"/>
  <c r="DA48" i="62"/>
  <c r="U74" i="3"/>
  <c r="DA36" i="62"/>
  <c r="U23" i="3"/>
  <c r="DA12" i="62"/>
  <c r="U80" i="3"/>
  <c r="DA78" i="62"/>
  <c r="DA54" i="62"/>
  <c r="DA42" i="62"/>
  <c r="DA74" i="62"/>
  <c r="CX6" i="3"/>
  <c r="CH6" i="3"/>
  <c r="BZ7" i="3"/>
  <c r="BL6" i="3"/>
  <c r="BI6" i="3"/>
  <c r="DA82" i="62"/>
  <c r="DA22" i="62"/>
  <c r="DA10" i="62"/>
  <c r="BZ6" i="3"/>
  <c r="DA76" i="62"/>
  <c r="DA64" i="62"/>
  <c r="DA52" i="62"/>
  <c r="BZ5" i="3"/>
  <c r="CX7" i="3"/>
  <c r="CH7" i="3"/>
  <c r="CX5" i="3"/>
  <c r="CH5" i="3"/>
  <c r="DA80" i="62"/>
  <c r="DA56" i="62"/>
  <c r="DA44" i="62"/>
  <c r="DA8" i="62"/>
  <c r="DA77" i="62"/>
  <c r="DA53" i="62"/>
  <c r="DA29" i="62"/>
  <c r="DA17" i="62"/>
  <c r="CU88" i="62"/>
  <c r="DA70" i="62"/>
  <c r="U7" i="3"/>
  <c r="U6" i="3"/>
  <c r="BC6" i="3" s="1"/>
  <c r="DA87" i="62"/>
  <c r="DA15" i="62"/>
  <c r="DA75" i="62"/>
  <c r="DA27" i="62"/>
  <c r="AM88" i="62"/>
  <c r="U105" i="3" s="1"/>
  <c r="Y75" i="61"/>
  <c r="X75" i="61"/>
  <c r="V75" i="61"/>
  <c r="K75" i="61"/>
  <c r="I75" i="61"/>
  <c r="U73" i="61"/>
  <c r="W73" i="61" s="1"/>
  <c r="L73" i="61"/>
  <c r="Z73" i="61" s="1"/>
  <c r="A73" i="61"/>
  <c r="Z72" i="61"/>
  <c r="U72" i="61"/>
  <c r="W72" i="61" s="1"/>
  <c r="L72" i="61"/>
  <c r="A72" i="61"/>
  <c r="Z71" i="61"/>
  <c r="U71" i="61"/>
  <c r="W71" i="61" s="1"/>
  <c r="L71" i="61"/>
  <c r="A71" i="61"/>
  <c r="U70" i="61"/>
  <c r="W70" i="61" s="1"/>
  <c r="L70" i="61"/>
  <c r="Z70" i="61" s="1"/>
  <c r="A70" i="61"/>
  <c r="Z69" i="61"/>
  <c r="U69" i="61"/>
  <c r="W69" i="61" s="1"/>
  <c r="L69" i="61"/>
  <c r="A69" i="61"/>
  <c r="Z68" i="61"/>
  <c r="W68" i="61"/>
  <c r="U68" i="61"/>
  <c r="L68" i="61"/>
  <c r="A68" i="61"/>
  <c r="U67" i="61"/>
  <c r="W67" i="61" s="1"/>
  <c r="L67" i="61"/>
  <c r="Z67" i="61" s="1"/>
  <c r="A67" i="61"/>
  <c r="W66" i="61"/>
  <c r="U66" i="61"/>
  <c r="L66" i="61"/>
  <c r="Z66" i="61" s="1"/>
  <c r="A66" i="61"/>
  <c r="Z65" i="61"/>
  <c r="W65" i="61"/>
  <c r="U65" i="61"/>
  <c r="L65" i="61"/>
  <c r="A65" i="61"/>
  <c r="Z64" i="61"/>
  <c r="W64" i="61"/>
  <c r="U64" i="61"/>
  <c r="L64" i="61"/>
  <c r="A64" i="61"/>
  <c r="Z63" i="61"/>
  <c r="U63" i="61"/>
  <c r="W63" i="61" s="1"/>
  <c r="L63" i="61"/>
  <c r="A63" i="61"/>
  <c r="U62" i="61"/>
  <c r="W62" i="61" s="1"/>
  <c r="L62" i="61"/>
  <c r="Z62" i="61" s="1"/>
  <c r="A62" i="61"/>
  <c r="Z61" i="61"/>
  <c r="U61" i="61"/>
  <c r="W61" i="61" s="1"/>
  <c r="L61" i="61"/>
  <c r="A61" i="61"/>
  <c r="Z60" i="61"/>
  <c r="W60" i="61"/>
  <c r="U60" i="61"/>
  <c r="L60" i="61"/>
  <c r="A60" i="61"/>
  <c r="U59" i="61"/>
  <c r="W59" i="61" s="1"/>
  <c r="L59" i="61"/>
  <c r="Z59" i="61" s="1"/>
  <c r="A59" i="61"/>
  <c r="W58" i="61"/>
  <c r="U58" i="61"/>
  <c r="L58" i="61"/>
  <c r="Z58" i="61" s="1"/>
  <c r="A58" i="61"/>
  <c r="Z57" i="61"/>
  <c r="W57" i="61"/>
  <c r="U57" i="61"/>
  <c r="L57" i="61"/>
  <c r="A57" i="61"/>
  <c r="Z56" i="61"/>
  <c r="W56" i="61"/>
  <c r="U56" i="61"/>
  <c r="L56" i="61"/>
  <c r="A56" i="61"/>
  <c r="U55" i="61"/>
  <c r="W55" i="61" s="1"/>
  <c r="L55" i="61"/>
  <c r="Z55" i="61" s="1"/>
  <c r="A55" i="61"/>
  <c r="U54" i="61"/>
  <c r="W54" i="61" s="1"/>
  <c r="L54" i="61"/>
  <c r="Z54" i="61" s="1"/>
  <c r="A54" i="61"/>
  <c r="Z53" i="61"/>
  <c r="U53" i="61"/>
  <c r="W53" i="61" s="1"/>
  <c r="L53" i="61"/>
  <c r="A53" i="61"/>
  <c r="Z52" i="61"/>
  <c r="W52" i="61"/>
  <c r="U52" i="61"/>
  <c r="L52" i="61"/>
  <c r="A52" i="61"/>
  <c r="U51" i="61"/>
  <c r="W51" i="61" s="1"/>
  <c r="L51" i="61"/>
  <c r="Z51" i="61" s="1"/>
  <c r="A51" i="61"/>
  <c r="W50" i="61"/>
  <c r="U50" i="61"/>
  <c r="L50" i="61"/>
  <c r="Z50" i="61" s="1"/>
  <c r="A50" i="61"/>
  <c r="Z49" i="61"/>
  <c r="W49" i="61"/>
  <c r="U49" i="61"/>
  <c r="L49" i="61"/>
  <c r="A49" i="61"/>
  <c r="Z48" i="61"/>
  <c r="W48" i="61"/>
  <c r="U48" i="61"/>
  <c r="L48" i="61"/>
  <c r="A48" i="61"/>
  <c r="Z47" i="61"/>
  <c r="U47" i="61"/>
  <c r="W47" i="61" s="1"/>
  <c r="L47" i="61"/>
  <c r="A47" i="61"/>
  <c r="U46" i="61"/>
  <c r="W46" i="61" s="1"/>
  <c r="L46" i="61"/>
  <c r="A46" i="61"/>
  <c r="W45" i="61"/>
  <c r="U45" i="61"/>
  <c r="L45" i="61"/>
  <c r="Z45" i="61" s="1"/>
  <c r="A45" i="61"/>
  <c r="Z44" i="61"/>
  <c r="W44" i="61"/>
  <c r="U44" i="61"/>
  <c r="L44" i="61"/>
  <c r="A44" i="61"/>
  <c r="Z43" i="61"/>
  <c r="W43" i="61"/>
  <c r="U43" i="61"/>
  <c r="L43" i="61"/>
  <c r="A43" i="61"/>
  <c r="Z42" i="61"/>
  <c r="U42" i="61"/>
  <c r="W42" i="61" s="1"/>
  <c r="L42" i="61"/>
  <c r="A42" i="61"/>
  <c r="U41" i="61"/>
  <c r="W41" i="61" s="1"/>
  <c r="L41" i="61"/>
  <c r="Z41" i="61" s="1"/>
  <c r="A41" i="61"/>
  <c r="Z40" i="61"/>
  <c r="U40" i="61"/>
  <c r="W40" i="61" s="1"/>
  <c r="L40" i="61"/>
  <c r="A40" i="61"/>
  <c r="Z39" i="61"/>
  <c r="W39" i="61"/>
  <c r="U39" i="61"/>
  <c r="L39" i="61"/>
  <c r="A39" i="61"/>
  <c r="U38" i="61"/>
  <c r="W38" i="61" s="1"/>
  <c r="L38" i="61"/>
  <c r="Z38" i="61" s="1"/>
  <c r="A38" i="61"/>
  <c r="W37" i="61"/>
  <c r="U37" i="61"/>
  <c r="L37" i="61"/>
  <c r="Z37" i="61" s="1"/>
  <c r="A37" i="61"/>
  <c r="Z36" i="61"/>
  <c r="W36" i="61"/>
  <c r="U36" i="61"/>
  <c r="L36" i="61"/>
  <c r="A36" i="61"/>
  <c r="Z35" i="61"/>
  <c r="W35" i="61"/>
  <c r="U35" i="61"/>
  <c r="L35" i="61"/>
  <c r="A35" i="61"/>
  <c r="Z34" i="61"/>
  <c r="U34" i="61"/>
  <c r="W34" i="61" s="1"/>
  <c r="L34" i="61"/>
  <c r="A34" i="61"/>
  <c r="U33" i="61"/>
  <c r="W33" i="61" s="1"/>
  <c r="L33" i="61"/>
  <c r="Z33" i="61" s="1"/>
  <c r="A33" i="61"/>
  <c r="Z32" i="61"/>
  <c r="U32" i="61"/>
  <c r="W32" i="61" s="1"/>
  <c r="L32" i="61"/>
  <c r="A32" i="61"/>
  <c r="Z31" i="61"/>
  <c r="W31" i="61"/>
  <c r="U31" i="61"/>
  <c r="L31" i="61"/>
  <c r="A31" i="61"/>
  <c r="W30" i="61"/>
  <c r="U30" i="61"/>
  <c r="L30" i="61"/>
  <c r="Z30" i="61" s="1"/>
  <c r="A30" i="61"/>
  <c r="W29" i="61"/>
  <c r="U29" i="61"/>
  <c r="L29" i="61"/>
  <c r="Z29" i="61" s="1"/>
  <c r="A29" i="61"/>
  <c r="Z28" i="61"/>
  <c r="W28" i="61"/>
  <c r="U28" i="61"/>
  <c r="L28" i="61"/>
  <c r="A28" i="61"/>
  <c r="Z27" i="61"/>
  <c r="W27" i="61"/>
  <c r="U27" i="61"/>
  <c r="L27" i="61"/>
  <c r="A27" i="61"/>
  <c r="Z26" i="61"/>
  <c r="U26" i="61"/>
  <c r="W26" i="61" s="1"/>
  <c r="L26" i="61"/>
  <c r="A26" i="61"/>
  <c r="U25" i="61"/>
  <c r="W25" i="61" s="1"/>
  <c r="L25" i="61"/>
  <c r="Z25" i="61" s="1"/>
  <c r="A25" i="61"/>
  <c r="Z24" i="61"/>
  <c r="U24" i="61"/>
  <c r="W24" i="61" s="1"/>
  <c r="L24" i="61"/>
  <c r="A24" i="61"/>
  <c r="Z23" i="61"/>
  <c r="W23" i="61"/>
  <c r="U23" i="61"/>
  <c r="L23" i="61"/>
  <c r="A23" i="61"/>
  <c r="W22" i="61"/>
  <c r="U22" i="61"/>
  <c r="L22" i="61"/>
  <c r="Z22" i="61" s="1"/>
  <c r="A22" i="61"/>
  <c r="W21" i="61"/>
  <c r="U21" i="61"/>
  <c r="L21" i="61"/>
  <c r="Z21" i="61" s="1"/>
  <c r="A21" i="61"/>
  <c r="Z20" i="61"/>
  <c r="W20" i="61"/>
  <c r="U20" i="61"/>
  <c r="L20" i="61"/>
  <c r="A20" i="61"/>
  <c r="Z19" i="61"/>
  <c r="W19" i="61"/>
  <c r="U19" i="61"/>
  <c r="L19" i="61"/>
  <c r="A19" i="61"/>
  <c r="Z18" i="61"/>
  <c r="U18" i="61"/>
  <c r="W18" i="61" s="1"/>
  <c r="L18" i="61"/>
  <c r="A18" i="61"/>
  <c r="U17" i="61"/>
  <c r="W17" i="61" s="1"/>
  <c r="L17" i="61"/>
  <c r="Z17" i="61" s="1"/>
  <c r="A17" i="61"/>
  <c r="Z16" i="61"/>
  <c r="U16" i="61"/>
  <c r="W16" i="61" s="1"/>
  <c r="L16" i="61"/>
  <c r="A16" i="61"/>
  <c r="Z15" i="61"/>
  <c r="W15" i="61"/>
  <c r="U15" i="61"/>
  <c r="L15" i="61"/>
  <c r="A15" i="61"/>
  <c r="U14" i="61"/>
  <c r="W14" i="61" s="1"/>
  <c r="L14" i="61"/>
  <c r="Z14" i="61" s="1"/>
  <c r="A14" i="61"/>
  <c r="W13" i="61"/>
  <c r="U13" i="61"/>
  <c r="L13" i="61"/>
  <c r="Z13" i="61" s="1"/>
  <c r="A13" i="61"/>
  <c r="Z12" i="61"/>
  <c r="W12" i="61"/>
  <c r="U12" i="61"/>
  <c r="L12" i="61"/>
  <c r="A12" i="61"/>
  <c r="Z11" i="61"/>
  <c r="W11" i="61"/>
  <c r="U11" i="61"/>
  <c r="L11" i="61"/>
  <c r="A11" i="61"/>
  <c r="Z10" i="61"/>
  <c r="U10" i="61"/>
  <c r="W10" i="61" s="1"/>
  <c r="L10" i="61"/>
  <c r="A10" i="61"/>
  <c r="U9" i="61"/>
  <c r="W9" i="61" s="1"/>
  <c r="L9" i="61"/>
  <c r="Z9" i="61" s="1"/>
  <c r="A9" i="61"/>
  <c r="Z8" i="61"/>
  <c r="U8" i="61"/>
  <c r="W8" i="61" s="1"/>
  <c r="L8" i="61"/>
  <c r="A8" i="61"/>
  <c r="Z7" i="61"/>
  <c r="W7" i="61"/>
  <c r="U7" i="61"/>
  <c r="L7" i="61"/>
  <c r="A7" i="61"/>
  <c r="U6" i="61"/>
  <c r="W6" i="61" s="1"/>
  <c r="L6" i="61"/>
  <c r="Z6" i="61" s="1"/>
  <c r="A6" i="61"/>
  <c r="W5" i="61"/>
  <c r="U5" i="61"/>
  <c r="L5" i="61"/>
  <c r="Z5" i="61" s="1"/>
  <c r="A5" i="61"/>
  <c r="Z4" i="61"/>
  <c r="W4" i="61"/>
  <c r="U4" i="61"/>
  <c r="L4" i="61"/>
  <c r="A4" i="61"/>
  <c r="Z3" i="61"/>
  <c r="W3" i="61"/>
  <c r="U3" i="61"/>
  <c r="U75" i="61" s="1"/>
  <c r="L3" i="61"/>
  <c r="L75" i="61" s="1"/>
  <c r="A3" i="61"/>
  <c r="U98" i="3" l="1"/>
  <c r="CY88" i="62"/>
  <c r="BD105" i="3" s="1"/>
  <c r="DA88" i="62"/>
  <c r="BE105" i="3" s="1"/>
  <c r="W75" i="61"/>
  <c r="Z75" i="61"/>
  <c r="CJ5" i="59" l="1"/>
  <c r="CK5" i="59"/>
  <c r="CL5" i="59"/>
  <c r="CJ6" i="59"/>
  <c r="CK6" i="59"/>
  <c r="CK91" i="59" s="1"/>
  <c r="CL6" i="59"/>
  <c r="CJ7" i="59"/>
  <c r="CK7" i="59"/>
  <c r="CL7" i="59"/>
  <c r="CJ8" i="59"/>
  <c r="CK8" i="59"/>
  <c r="CL8" i="59"/>
  <c r="CJ9" i="59"/>
  <c r="CJ91" i="59" s="1"/>
  <c r="CK9" i="59"/>
  <c r="CL9" i="59"/>
  <c r="CJ10" i="59"/>
  <c r="CK10" i="59"/>
  <c r="CL10" i="59"/>
  <c r="CJ11" i="59"/>
  <c r="CK11" i="59"/>
  <c r="CL11" i="59"/>
  <c r="CL91" i="59" s="1"/>
  <c r="CJ12" i="59"/>
  <c r="CK12" i="59"/>
  <c r="CL12" i="59"/>
  <c r="CJ13" i="59"/>
  <c r="CK13" i="59"/>
  <c r="CL13" i="59"/>
  <c r="CJ14" i="59"/>
  <c r="CK14" i="59"/>
  <c r="CL14" i="59"/>
  <c r="CJ15" i="59"/>
  <c r="CK15" i="59"/>
  <c r="CL15" i="59"/>
  <c r="CJ16" i="59"/>
  <c r="CK16" i="59"/>
  <c r="CL16" i="59"/>
  <c r="CJ17" i="59"/>
  <c r="CK17" i="59"/>
  <c r="CL17" i="59"/>
  <c r="CJ18" i="59"/>
  <c r="CK18" i="59"/>
  <c r="CL18" i="59"/>
  <c r="CJ19" i="59"/>
  <c r="CK19" i="59"/>
  <c r="CL19" i="59"/>
  <c r="CJ20" i="59"/>
  <c r="CK20" i="59"/>
  <c r="CL20" i="59"/>
  <c r="CJ21" i="59"/>
  <c r="CK21" i="59"/>
  <c r="CL21" i="59"/>
  <c r="CJ22" i="59"/>
  <c r="CK22" i="59"/>
  <c r="CL22" i="59"/>
  <c r="CJ23" i="59"/>
  <c r="CK23" i="59"/>
  <c r="CL23" i="59"/>
  <c r="CJ24" i="59"/>
  <c r="CK24" i="59"/>
  <c r="CL24" i="59"/>
  <c r="CJ25" i="59"/>
  <c r="CK25" i="59"/>
  <c r="CL25" i="59"/>
  <c r="CJ26" i="59"/>
  <c r="CK26" i="59"/>
  <c r="CL26" i="59"/>
  <c r="CJ27" i="59"/>
  <c r="CK27" i="59"/>
  <c r="CL27" i="59"/>
  <c r="CJ28" i="59"/>
  <c r="CK28" i="59"/>
  <c r="CL28" i="59"/>
  <c r="CJ29" i="59"/>
  <c r="CK29" i="59"/>
  <c r="CL29" i="59"/>
  <c r="CJ30" i="59"/>
  <c r="CK30" i="59"/>
  <c r="CL30" i="59"/>
  <c r="CJ31" i="59"/>
  <c r="CK31" i="59"/>
  <c r="CL31" i="59"/>
  <c r="CJ32" i="59"/>
  <c r="CK32" i="59"/>
  <c r="CL32" i="59"/>
  <c r="CJ33" i="59"/>
  <c r="CK33" i="59"/>
  <c r="CL33" i="59"/>
  <c r="CJ34" i="59"/>
  <c r="CK34" i="59"/>
  <c r="CL34" i="59"/>
  <c r="CJ35" i="59"/>
  <c r="CK35" i="59"/>
  <c r="CL35" i="59"/>
  <c r="CJ36" i="59"/>
  <c r="CK36" i="59"/>
  <c r="CL36" i="59"/>
  <c r="CJ37" i="59"/>
  <c r="CK37" i="59"/>
  <c r="CL37" i="59"/>
  <c r="CJ38" i="59"/>
  <c r="CK38" i="59"/>
  <c r="CL38" i="59"/>
  <c r="CJ39" i="59"/>
  <c r="CK39" i="59"/>
  <c r="CL39" i="59"/>
  <c r="CJ40" i="59"/>
  <c r="CK40" i="59"/>
  <c r="CL40" i="59"/>
  <c r="CJ41" i="59"/>
  <c r="CK41" i="59"/>
  <c r="CL41" i="59"/>
  <c r="CJ42" i="59"/>
  <c r="CK42" i="59"/>
  <c r="CL42" i="59"/>
  <c r="CJ43" i="59"/>
  <c r="CK43" i="59"/>
  <c r="CL43" i="59"/>
  <c r="CJ44" i="59"/>
  <c r="CK44" i="59"/>
  <c r="CL44" i="59"/>
  <c r="CJ45" i="59"/>
  <c r="CK45" i="59"/>
  <c r="CL45" i="59"/>
  <c r="CJ46" i="59"/>
  <c r="CK46" i="59"/>
  <c r="CL46" i="59"/>
  <c r="CJ47" i="59"/>
  <c r="CK47" i="59"/>
  <c r="CL47" i="59"/>
  <c r="CJ48" i="59"/>
  <c r="CK48" i="59"/>
  <c r="CL48" i="59"/>
  <c r="CJ49" i="59"/>
  <c r="CK49" i="59"/>
  <c r="CL49" i="59"/>
  <c r="CJ50" i="59"/>
  <c r="CK50" i="59"/>
  <c r="CL50" i="59"/>
  <c r="CJ51" i="59"/>
  <c r="CK51" i="59"/>
  <c r="CL51" i="59"/>
  <c r="CJ52" i="59"/>
  <c r="CK52" i="59"/>
  <c r="CL52" i="59"/>
  <c r="CJ53" i="59"/>
  <c r="CK53" i="59"/>
  <c r="CL53" i="59"/>
  <c r="CJ54" i="59"/>
  <c r="CK54" i="59"/>
  <c r="CL54" i="59"/>
  <c r="CJ55" i="59"/>
  <c r="CK55" i="59"/>
  <c r="CL55" i="59"/>
  <c r="CJ56" i="59"/>
  <c r="CK56" i="59"/>
  <c r="CL56" i="59"/>
  <c r="CJ57" i="59"/>
  <c r="CK57" i="59"/>
  <c r="CL57" i="59"/>
  <c r="CJ58" i="59"/>
  <c r="CK58" i="59"/>
  <c r="CL58" i="59"/>
  <c r="CJ59" i="59"/>
  <c r="CK59" i="59"/>
  <c r="CL59" i="59"/>
  <c r="CJ60" i="59"/>
  <c r="CK60" i="59"/>
  <c r="CL60" i="59"/>
  <c r="CJ61" i="59"/>
  <c r="CK61" i="59"/>
  <c r="CL61" i="59"/>
  <c r="CJ62" i="59"/>
  <c r="CK62" i="59"/>
  <c r="CL62" i="59"/>
  <c r="CJ63" i="59"/>
  <c r="CK63" i="59"/>
  <c r="CL63" i="59"/>
  <c r="CJ64" i="59"/>
  <c r="CK64" i="59"/>
  <c r="CL64" i="59"/>
  <c r="CJ65" i="59"/>
  <c r="CK65" i="59"/>
  <c r="CL65" i="59"/>
  <c r="CJ66" i="59"/>
  <c r="CK66" i="59"/>
  <c r="CL66" i="59"/>
  <c r="CJ67" i="59"/>
  <c r="CK67" i="59"/>
  <c r="CL67" i="59"/>
  <c r="CJ68" i="59"/>
  <c r="CK68" i="59"/>
  <c r="CL68" i="59"/>
  <c r="CJ69" i="59"/>
  <c r="CK69" i="59"/>
  <c r="CL69" i="59"/>
  <c r="CJ70" i="59"/>
  <c r="CK70" i="59"/>
  <c r="CL70" i="59"/>
  <c r="CJ71" i="59"/>
  <c r="CK71" i="59"/>
  <c r="CL71" i="59"/>
  <c r="CJ72" i="59"/>
  <c r="CK72" i="59"/>
  <c r="CL72" i="59"/>
  <c r="CJ73" i="59"/>
  <c r="CK73" i="59"/>
  <c r="CL73" i="59"/>
  <c r="CJ74" i="59"/>
  <c r="CK74" i="59"/>
  <c r="CL74" i="59"/>
  <c r="CJ75" i="59"/>
  <c r="CK75" i="59"/>
  <c r="CL75" i="59"/>
  <c r="CJ76" i="59"/>
  <c r="CK76" i="59"/>
  <c r="CL76" i="59"/>
  <c r="CJ77" i="59"/>
  <c r="CK77" i="59"/>
  <c r="CL77" i="59"/>
  <c r="CJ78" i="59"/>
  <c r="CK78" i="59"/>
  <c r="CL78" i="59"/>
  <c r="CJ79" i="59"/>
  <c r="CK79" i="59"/>
  <c r="CL79" i="59"/>
  <c r="CJ80" i="59"/>
  <c r="CK80" i="59"/>
  <c r="CL80" i="59"/>
  <c r="CJ81" i="59"/>
  <c r="CK81" i="59"/>
  <c r="CL81" i="59"/>
  <c r="CJ82" i="59"/>
  <c r="CK82" i="59"/>
  <c r="CL82" i="59"/>
  <c r="CJ83" i="59"/>
  <c r="CK83" i="59"/>
  <c r="CL83" i="59"/>
  <c r="CJ84" i="59"/>
  <c r="CK84" i="59"/>
  <c r="CL84" i="59"/>
  <c r="CJ85" i="59"/>
  <c r="CK85" i="59"/>
  <c r="CL85" i="59"/>
  <c r="CJ86" i="59"/>
  <c r="CK86" i="59"/>
  <c r="CL86" i="59"/>
  <c r="CJ87" i="59"/>
  <c r="CK87" i="59"/>
  <c r="CL87" i="59"/>
  <c r="CJ88" i="59"/>
  <c r="CK88" i="59"/>
  <c r="CL88" i="59"/>
  <c r="CJ89" i="59"/>
  <c r="CK89" i="59"/>
  <c r="CL89" i="59"/>
  <c r="CJ90" i="59"/>
  <c r="CK90" i="59"/>
  <c r="CL90" i="59"/>
  <c r="Q91" i="59"/>
  <c r="R91" i="59"/>
  <c r="S91" i="59"/>
  <c r="T91" i="59"/>
  <c r="U91" i="59"/>
  <c r="V91" i="59"/>
  <c r="W91" i="59"/>
  <c r="X91" i="59"/>
  <c r="Y91" i="59"/>
  <c r="Z91" i="59"/>
  <c r="AA91" i="59"/>
  <c r="AB91" i="59"/>
  <c r="AC91" i="59"/>
  <c r="AD91" i="59"/>
  <c r="AE91" i="59"/>
  <c r="AF91" i="59"/>
  <c r="AG91" i="59"/>
  <c r="AH91" i="59"/>
  <c r="AI91" i="59"/>
  <c r="AJ91" i="59"/>
  <c r="AK91" i="59"/>
  <c r="AL91" i="59"/>
  <c r="AM91" i="59"/>
  <c r="AN91" i="59"/>
  <c r="AO91" i="59"/>
  <c r="AP91" i="59"/>
  <c r="AQ91" i="59"/>
  <c r="AR91" i="59"/>
  <c r="AS91" i="59"/>
  <c r="AT91" i="59"/>
  <c r="AU91" i="59"/>
  <c r="AV91" i="59"/>
  <c r="AW91" i="59"/>
  <c r="AX91" i="59"/>
  <c r="AY91" i="59"/>
  <c r="AZ91" i="59"/>
  <c r="BA91" i="59"/>
  <c r="BB91" i="59"/>
  <c r="BC91" i="59"/>
  <c r="BD91" i="59"/>
  <c r="BE91" i="59"/>
  <c r="BF91" i="59"/>
  <c r="BG91" i="59"/>
  <c r="BH91" i="59"/>
  <c r="BI91" i="59"/>
  <c r="BJ91" i="59"/>
  <c r="BK91" i="59"/>
  <c r="BL91" i="59"/>
  <c r="BM91" i="59"/>
  <c r="BN91" i="59"/>
  <c r="BO91" i="59"/>
  <c r="BP91" i="59"/>
  <c r="BQ91" i="59"/>
  <c r="BR91" i="59"/>
  <c r="BS91" i="59"/>
  <c r="BT91" i="59"/>
  <c r="BU91" i="59"/>
  <c r="BV91" i="59"/>
  <c r="BW91" i="59"/>
  <c r="BX91" i="59"/>
  <c r="BY91" i="59"/>
  <c r="BZ91" i="59"/>
  <c r="CA91" i="59"/>
  <c r="CB91" i="59"/>
  <c r="CC91" i="59"/>
  <c r="CD91" i="59"/>
  <c r="CE91" i="59"/>
  <c r="CF91" i="59"/>
  <c r="CG91" i="59"/>
  <c r="CH91" i="59"/>
  <c r="CI91" i="59"/>
  <c r="ED5" i="3"/>
  <c r="ED6" i="3"/>
  <c r="ED7" i="3"/>
  <c r="ED4" i="3"/>
  <c r="EC5" i="3"/>
  <c r="EC6" i="3"/>
  <c r="EC7" i="3"/>
  <c r="EC4" i="3"/>
  <c r="E81" i="3"/>
  <c r="E99" i="3" s="1"/>
  <c r="E97" i="3" l="1"/>
  <c r="ED79" i="3"/>
  <c r="E98" i="3"/>
  <c r="E101" i="3"/>
  <c r="E95" i="3"/>
  <c r="ED92" i="3"/>
  <c r="ED81" i="3"/>
  <c r="E102" i="3"/>
  <c r="E100" i="3"/>
  <c r="E92" i="3"/>
  <c r="E88" i="3"/>
  <c r="E103" i="3" l="1"/>
  <c r="E107" i="3" s="1"/>
  <c r="EB5" i="3" l="1"/>
  <c r="EA5" i="3" s="1"/>
  <c r="EB6" i="3"/>
  <c r="EA6" i="3" s="1"/>
  <c r="EB7" i="3"/>
  <c r="EA7" i="3" s="1"/>
  <c r="EB4" i="3"/>
  <c r="E97" i="54" l="1"/>
  <c r="R44" i="57"/>
  <c r="I43" i="57"/>
  <c r="S93" i="57"/>
  <c r="CL91" i="56"/>
  <c r="CL14" i="56"/>
  <c r="CL15" i="56"/>
  <c r="CL16" i="56"/>
  <c r="CL17" i="56"/>
  <c r="CL18" i="56"/>
  <c r="CL19" i="56"/>
  <c r="CL20" i="56"/>
  <c r="CL21" i="56"/>
  <c r="CL22" i="56"/>
  <c r="CL23" i="56"/>
  <c r="CL24" i="56"/>
  <c r="CL25" i="56"/>
  <c r="CL26" i="56"/>
  <c r="CL27" i="56"/>
  <c r="CL28" i="56"/>
  <c r="CL29" i="56"/>
  <c r="CL30" i="56"/>
  <c r="CL31" i="56"/>
  <c r="CL32" i="56"/>
  <c r="CL33" i="56"/>
  <c r="CL34" i="56"/>
  <c r="CL35" i="56"/>
  <c r="CL36" i="56"/>
  <c r="CL37" i="56"/>
  <c r="CL38" i="56"/>
  <c r="CL39" i="56"/>
  <c r="CL40" i="56"/>
  <c r="CL41" i="56"/>
  <c r="CL42" i="56"/>
  <c r="CL43" i="56"/>
  <c r="CL44" i="56"/>
  <c r="CL45" i="56"/>
  <c r="CL46" i="56"/>
  <c r="CL47" i="56"/>
  <c r="CL48" i="56"/>
  <c r="CL49" i="56"/>
  <c r="CL50" i="56"/>
  <c r="CL51" i="56"/>
  <c r="CL52" i="56"/>
  <c r="CL53" i="56"/>
  <c r="CL54" i="56"/>
  <c r="CL55" i="56"/>
  <c r="CL56" i="56"/>
  <c r="CL57" i="56"/>
  <c r="CL58" i="56"/>
  <c r="CL59" i="56"/>
  <c r="CL60" i="56"/>
  <c r="CL61" i="56"/>
  <c r="CL62" i="56"/>
  <c r="CL63" i="56"/>
  <c r="CL64" i="56"/>
  <c r="CL65" i="56"/>
  <c r="CL66" i="56"/>
  <c r="CL67" i="56"/>
  <c r="CL68" i="56"/>
  <c r="CL69" i="56"/>
  <c r="CL70" i="56"/>
  <c r="CL71" i="56"/>
  <c r="CL72" i="56"/>
  <c r="CL73" i="56"/>
  <c r="CL74" i="56"/>
  <c r="CL75" i="56"/>
  <c r="CL76" i="56"/>
  <c r="CL77" i="56"/>
  <c r="CL78" i="56"/>
  <c r="CL79" i="56"/>
  <c r="CL80" i="56"/>
  <c r="CL81" i="56"/>
  <c r="CL82" i="56"/>
  <c r="CL83" i="56"/>
  <c r="CL84" i="56"/>
  <c r="CL85" i="56"/>
  <c r="CL86" i="56"/>
  <c r="CL87" i="56"/>
  <c r="CL88" i="56"/>
  <c r="CL89" i="56"/>
  <c r="CL90" i="56"/>
  <c r="CL5" i="56"/>
  <c r="CL6" i="56"/>
  <c r="CL7" i="56"/>
  <c r="CL8" i="56"/>
  <c r="CL9" i="56"/>
  <c r="CL10" i="56"/>
  <c r="CL11" i="56"/>
  <c r="CL12" i="56"/>
  <c r="CL13" i="56"/>
  <c r="CL4" i="56"/>
  <c r="AO91" i="56"/>
  <c r="AP91" i="56"/>
  <c r="AQ91" i="56"/>
  <c r="AR91" i="56"/>
  <c r="AS91" i="56"/>
  <c r="AT91" i="56"/>
  <c r="AU91" i="56"/>
  <c r="AV91" i="56"/>
  <c r="AW91" i="56"/>
  <c r="AX91" i="56"/>
  <c r="AY91" i="56"/>
  <c r="AZ91" i="56"/>
  <c r="BA91" i="56"/>
  <c r="BB91" i="56"/>
  <c r="BC91" i="56"/>
  <c r="BD91" i="56"/>
  <c r="BE91" i="56"/>
  <c r="BF91" i="56"/>
  <c r="BG91" i="56"/>
  <c r="BH91" i="56"/>
  <c r="BI91" i="56"/>
  <c r="BJ91" i="56"/>
  <c r="BK91" i="56"/>
  <c r="BL91" i="56"/>
  <c r="BM91" i="56"/>
  <c r="BN91" i="56"/>
  <c r="BO91" i="56"/>
  <c r="BP91" i="56"/>
  <c r="BQ91" i="56"/>
  <c r="BR91" i="56"/>
  <c r="BS91" i="56"/>
  <c r="BT91" i="56"/>
  <c r="BU91" i="56"/>
  <c r="BV91" i="56"/>
  <c r="BW91" i="56"/>
  <c r="BX91" i="56"/>
  <c r="BY91" i="56"/>
  <c r="BZ91" i="56"/>
  <c r="CA91" i="56"/>
  <c r="CB91" i="56"/>
  <c r="CC91" i="56"/>
  <c r="CD91" i="56"/>
  <c r="CE91" i="56"/>
  <c r="CF91" i="56"/>
  <c r="CG91" i="56"/>
  <c r="CH91" i="56"/>
  <c r="CI91" i="56"/>
  <c r="AF91" i="56"/>
  <c r="AG91" i="56"/>
  <c r="AH91" i="56"/>
  <c r="AI91" i="56"/>
  <c r="AJ91" i="56"/>
  <c r="AK91" i="56"/>
  <c r="AL91" i="56"/>
  <c r="AM91" i="56"/>
  <c r="AN91" i="56"/>
  <c r="R91" i="56"/>
  <c r="S91" i="56"/>
  <c r="T91" i="56"/>
  <c r="U91" i="56"/>
  <c r="V91" i="56"/>
  <c r="W91" i="56"/>
  <c r="X91" i="56"/>
  <c r="Y91" i="56"/>
  <c r="Z91" i="56"/>
  <c r="AA91" i="56"/>
  <c r="AB91" i="56"/>
  <c r="AC91" i="56"/>
  <c r="AD91" i="56"/>
  <c r="AE91" i="56"/>
  <c r="Q91" i="56"/>
  <c r="CJ17" i="56"/>
  <c r="CK17" i="56"/>
  <c r="CJ18" i="56"/>
  <c r="CK18" i="56"/>
  <c r="CJ19" i="56"/>
  <c r="CK19" i="56"/>
  <c r="CJ20" i="56"/>
  <c r="CK20" i="56"/>
  <c r="CJ21" i="56"/>
  <c r="CK21" i="56"/>
  <c r="CJ22" i="56"/>
  <c r="CK22" i="56"/>
  <c r="CJ23" i="56"/>
  <c r="CK23" i="56"/>
  <c r="CJ24" i="56"/>
  <c r="CK24" i="56"/>
  <c r="CJ25" i="56"/>
  <c r="CK25" i="56"/>
  <c r="CJ26" i="56"/>
  <c r="CK26" i="56"/>
  <c r="CJ27" i="56"/>
  <c r="CK27" i="56"/>
  <c r="CJ28" i="56"/>
  <c r="CK28" i="56"/>
  <c r="CJ29" i="56"/>
  <c r="CK29" i="56"/>
  <c r="CJ30" i="56"/>
  <c r="CK30" i="56"/>
  <c r="CJ31" i="56"/>
  <c r="CK31" i="56"/>
  <c r="CJ32" i="56"/>
  <c r="CK32" i="56"/>
  <c r="CJ33" i="56"/>
  <c r="CK33" i="56"/>
  <c r="CJ34" i="56"/>
  <c r="CK34" i="56"/>
  <c r="CJ35" i="56"/>
  <c r="CK35" i="56"/>
  <c r="CJ36" i="56"/>
  <c r="CK36" i="56"/>
  <c r="CJ37" i="56"/>
  <c r="CK37" i="56"/>
  <c r="CJ38" i="56"/>
  <c r="CK38" i="56"/>
  <c r="CJ39" i="56"/>
  <c r="CK39" i="56"/>
  <c r="CJ40" i="56"/>
  <c r="CK40" i="56"/>
  <c r="CJ41" i="56"/>
  <c r="CK41" i="56"/>
  <c r="CJ42" i="56"/>
  <c r="CK42" i="56"/>
  <c r="CJ43" i="56"/>
  <c r="CK43" i="56"/>
  <c r="CJ44" i="56"/>
  <c r="CK44" i="56"/>
  <c r="CJ45" i="56"/>
  <c r="CK45" i="56"/>
  <c r="CJ46" i="56"/>
  <c r="CK46" i="56"/>
  <c r="CJ47" i="56"/>
  <c r="CK47" i="56"/>
  <c r="CJ48" i="56"/>
  <c r="CK48" i="56"/>
  <c r="CJ49" i="56"/>
  <c r="CK49" i="56"/>
  <c r="CJ50" i="56"/>
  <c r="CK50" i="56"/>
  <c r="CJ51" i="56"/>
  <c r="CK51" i="56"/>
  <c r="CJ52" i="56"/>
  <c r="CK52" i="56"/>
  <c r="CJ53" i="56"/>
  <c r="CK53" i="56"/>
  <c r="CJ54" i="56"/>
  <c r="CK54" i="56"/>
  <c r="CJ55" i="56"/>
  <c r="CK55" i="56"/>
  <c r="CJ56" i="56"/>
  <c r="CK56" i="56"/>
  <c r="CJ57" i="56"/>
  <c r="CK57" i="56"/>
  <c r="CJ58" i="56"/>
  <c r="CK58" i="56"/>
  <c r="CJ59" i="56"/>
  <c r="CK59" i="56"/>
  <c r="CJ60" i="56"/>
  <c r="CK60" i="56"/>
  <c r="CJ61" i="56"/>
  <c r="CK61" i="56"/>
  <c r="CJ62" i="56"/>
  <c r="CK62" i="56"/>
  <c r="CJ63" i="56"/>
  <c r="CK63" i="56"/>
  <c r="CJ64" i="56"/>
  <c r="CK64" i="56"/>
  <c r="CJ65" i="56"/>
  <c r="CK65" i="56"/>
  <c r="CJ66" i="56"/>
  <c r="CK66" i="56"/>
  <c r="CJ67" i="56"/>
  <c r="CK67" i="56"/>
  <c r="CJ68" i="56"/>
  <c r="CK68" i="56"/>
  <c r="CJ69" i="56"/>
  <c r="CK69" i="56"/>
  <c r="CJ70" i="56"/>
  <c r="CK70" i="56"/>
  <c r="CJ71" i="56"/>
  <c r="CK71" i="56"/>
  <c r="CJ72" i="56"/>
  <c r="CK72" i="56"/>
  <c r="CJ73" i="56"/>
  <c r="CK73" i="56"/>
  <c r="CJ74" i="56"/>
  <c r="CK74" i="56"/>
  <c r="CJ75" i="56"/>
  <c r="CK75" i="56"/>
  <c r="CJ76" i="56"/>
  <c r="CK76" i="56"/>
  <c r="CJ77" i="56"/>
  <c r="CK77" i="56"/>
  <c r="CJ78" i="56"/>
  <c r="CK78" i="56"/>
  <c r="CJ79" i="56"/>
  <c r="CK79" i="56"/>
  <c r="CJ80" i="56"/>
  <c r="CK80" i="56"/>
  <c r="CJ81" i="56"/>
  <c r="CK81" i="56"/>
  <c r="CJ82" i="56"/>
  <c r="CK82" i="56"/>
  <c r="CJ83" i="56"/>
  <c r="CK83" i="56"/>
  <c r="CJ84" i="56"/>
  <c r="CK84" i="56"/>
  <c r="CJ85" i="56"/>
  <c r="CK85" i="56"/>
  <c r="CJ86" i="56"/>
  <c r="CK86" i="56"/>
  <c r="CJ87" i="56"/>
  <c r="CK87" i="56"/>
  <c r="CJ88" i="56"/>
  <c r="CK88" i="56"/>
  <c r="CJ89" i="56"/>
  <c r="CK89" i="56"/>
  <c r="CJ90" i="56"/>
  <c r="CK90" i="56"/>
  <c r="CJ5" i="56"/>
  <c r="CK5" i="56"/>
  <c r="CJ6" i="56"/>
  <c r="CJ91" i="56" s="1"/>
  <c r="CK6" i="56"/>
  <c r="CJ7" i="56"/>
  <c r="CK7" i="56"/>
  <c r="CJ8" i="56"/>
  <c r="CK8" i="56"/>
  <c r="CJ9" i="56"/>
  <c r="CK9" i="56"/>
  <c r="CJ10" i="56"/>
  <c r="CK10" i="56"/>
  <c r="CJ11" i="56"/>
  <c r="CK11" i="56"/>
  <c r="CJ12" i="56"/>
  <c r="CK12" i="56"/>
  <c r="CJ13" i="56"/>
  <c r="CK13" i="56"/>
  <c r="CJ14" i="56"/>
  <c r="CK14" i="56"/>
  <c r="CJ15" i="56"/>
  <c r="CK15" i="56"/>
  <c r="CJ16" i="56"/>
  <c r="CK16" i="56"/>
  <c r="CK4" i="56"/>
  <c r="CK91" i="56" s="1"/>
  <c r="CJ4" i="56"/>
  <c r="I93" i="57" l="1"/>
  <c r="I44" i="57"/>
  <c r="G79" i="3"/>
  <c r="BR9" i="3"/>
  <c r="BI9" i="3"/>
  <c r="V67" i="55"/>
  <c r="U67" i="55"/>
  <c r="S67" i="55"/>
  <c r="R67" i="55"/>
  <c r="Q67" i="55"/>
  <c r="P67" i="55"/>
  <c r="N67" i="55"/>
  <c r="M67" i="55"/>
  <c r="L67" i="55"/>
  <c r="K67" i="55"/>
  <c r="I67" i="55"/>
  <c r="E59" i="54"/>
  <c r="CI9" i="3" l="1"/>
  <c r="DX9" i="3"/>
  <c r="CE9" i="3"/>
  <c r="DJ9" i="3"/>
  <c r="DG9" i="3"/>
  <c r="DD9" i="3"/>
  <c r="CY9" i="3"/>
  <c r="CU9" i="3"/>
  <c r="CQ9" i="3"/>
  <c r="DQ9" i="3"/>
  <c r="CM9" i="3"/>
  <c r="DN9" i="3"/>
  <c r="DV9" i="3"/>
  <c r="CW9" i="3"/>
  <c r="DO9" i="3"/>
  <c r="CG9" i="3"/>
  <c r="DE9" i="3"/>
  <c r="CZ9" i="3"/>
  <c r="DH9" i="3"/>
  <c r="CO9" i="3"/>
  <c r="CK9" i="3"/>
  <c r="CS9" i="3"/>
  <c r="DR9" i="3"/>
  <c r="DL9" i="3"/>
  <c r="DT9" i="3"/>
  <c r="BX9" i="3"/>
  <c r="BP9" i="3"/>
  <c r="DS9" i="3"/>
  <c r="DC9" i="3"/>
  <c r="DB9" i="3"/>
  <c r="CT9" i="3"/>
  <c r="CL9" i="3"/>
  <c r="CD9" i="3"/>
  <c r="BV9" i="3"/>
  <c r="BN9" i="3"/>
  <c r="DI9" i="3"/>
  <c r="DA9" i="3"/>
  <c r="DU9" i="3"/>
  <c r="DM9" i="3"/>
  <c r="DP9" i="3"/>
  <c r="CB9" i="3"/>
  <c r="BT9" i="3"/>
  <c r="BL9" i="3"/>
  <c r="DF9" i="3"/>
  <c r="CX9" i="3"/>
  <c r="CP9" i="3"/>
  <c r="CH9" i="3"/>
  <c r="BZ9" i="3"/>
  <c r="DW9" i="3"/>
  <c r="DW94" i="3"/>
  <c r="DW93" i="3"/>
  <c r="DW90" i="3"/>
  <c r="DW91" i="3"/>
  <c r="DW89" i="3"/>
  <c r="DW83" i="3"/>
  <c r="DW84" i="3"/>
  <c r="DW85" i="3"/>
  <c r="DW86" i="3"/>
  <c r="DW87" i="3"/>
  <c r="DW82" i="3"/>
  <c r="DW80" i="3"/>
  <c r="DW32" i="3"/>
  <c r="DW33" i="3"/>
  <c r="DW34" i="3"/>
  <c r="DW35" i="3"/>
  <c r="DW36" i="3"/>
  <c r="DW37" i="3"/>
  <c r="DW38" i="3"/>
  <c r="DW39" i="3"/>
  <c r="DW40" i="3"/>
  <c r="DW41" i="3"/>
  <c r="DW42" i="3"/>
  <c r="DW43" i="3"/>
  <c r="DW44" i="3"/>
  <c r="DW45" i="3"/>
  <c r="DW46" i="3"/>
  <c r="DW47" i="3"/>
  <c r="DW48" i="3"/>
  <c r="DW49" i="3"/>
  <c r="DW50" i="3"/>
  <c r="DW51" i="3"/>
  <c r="DW52" i="3"/>
  <c r="DW53" i="3"/>
  <c r="DW54" i="3"/>
  <c r="DW55" i="3"/>
  <c r="DW56" i="3"/>
  <c r="DW57" i="3"/>
  <c r="DW58" i="3"/>
  <c r="DW59" i="3"/>
  <c r="DW60" i="3"/>
  <c r="DW61" i="3"/>
  <c r="DW62" i="3"/>
  <c r="DW63" i="3"/>
  <c r="DW64" i="3"/>
  <c r="DW65" i="3"/>
  <c r="DW66" i="3"/>
  <c r="DW67" i="3"/>
  <c r="DW68" i="3"/>
  <c r="DW69" i="3"/>
  <c r="DW70" i="3"/>
  <c r="DW71" i="3"/>
  <c r="DW73" i="3"/>
  <c r="DW74" i="3"/>
  <c r="DW75" i="3"/>
  <c r="DW76" i="3"/>
  <c r="DW77" i="3"/>
  <c r="DW78" i="3"/>
  <c r="DW25" i="3"/>
  <c r="DW26" i="3"/>
  <c r="DW27" i="3"/>
  <c r="DW28" i="3"/>
  <c r="DW29" i="3"/>
  <c r="DW30" i="3"/>
  <c r="DW31" i="3"/>
  <c r="DW10" i="3"/>
  <c r="DW11" i="3"/>
  <c r="DW12" i="3"/>
  <c r="DW13" i="3"/>
  <c r="DW14" i="3"/>
  <c r="DW15" i="3"/>
  <c r="DW16" i="3"/>
  <c r="DW17" i="3"/>
  <c r="DW18" i="3"/>
  <c r="DW19" i="3"/>
  <c r="DW20" i="3"/>
  <c r="DW21" i="3"/>
  <c r="DW22" i="3"/>
  <c r="DW23" i="3"/>
  <c r="DW24" i="3"/>
  <c r="E6" i="54"/>
  <c r="E95" i="54" l="1"/>
  <c r="EA4" i="3"/>
  <c r="R91" i="52"/>
  <c r="S91" i="52"/>
  <c r="Q91" i="52"/>
  <c r="DU4" i="3"/>
  <c r="DP4" i="3"/>
  <c r="DM4" i="3"/>
  <c r="DI4" i="3"/>
  <c r="DF4" i="3"/>
  <c r="DC4" i="3"/>
  <c r="DA4" i="3"/>
  <c r="CP4" i="3"/>
  <c r="CL4" i="3"/>
  <c r="CD4" i="3"/>
  <c r="BZ91" i="52"/>
  <c r="CA91" i="52"/>
  <c r="CB91" i="52"/>
  <c r="CC91" i="52"/>
  <c r="CD91" i="52"/>
  <c r="CE91" i="52"/>
  <c r="CF91" i="52"/>
  <c r="CG91" i="52"/>
  <c r="CH91" i="52"/>
  <c r="CI91" i="52"/>
  <c r="CJ91" i="52"/>
  <c r="CK91" i="52"/>
  <c r="CL91" i="52"/>
  <c r="BW91" i="52"/>
  <c r="BX91" i="52"/>
  <c r="BY91" i="52"/>
  <c r="U91" i="52"/>
  <c r="V91" i="52"/>
  <c r="W91" i="52"/>
  <c r="X91" i="52"/>
  <c r="Y91" i="52"/>
  <c r="Z91" i="52"/>
  <c r="AA91" i="52"/>
  <c r="AB91" i="52"/>
  <c r="AC91" i="52"/>
  <c r="AD91" i="52"/>
  <c r="AE91" i="52"/>
  <c r="AF91" i="52"/>
  <c r="AG91" i="52"/>
  <c r="AH91" i="52"/>
  <c r="AI91" i="52"/>
  <c r="AJ91" i="52"/>
  <c r="AK91" i="52"/>
  <c r="AL91" i="52"/>
  <c r="AM91" i="52"/>
  <c r="AN91" i="52"/>
  <c r="AO91" i="52"/>
  <c r="AP91" i="52"/>
  <c r="AQ91" i="52"/>
  <c r="AR91" i="52"/>
  <c r="AS91" i="52"/>
  <c r="AT91" i="52"/>
  <c r="AU91" i="52"/>
  <c r="AV91" i="52"/>
  <c r="AW91" i="52"/>
  <c r="AX91" i="52"/>
  <c r="AY91" i="52"/>
  <c r="AZ91" i="52"/>
  <c r="BA91" i="52"/>
  <c r="BB91" i="52"/>
  <c r="BC91" i="52"/>
  <c r="BD91" i="52"/>
  <c r="BE91" i="52"/>
  <c r="BF91" i="52"/>
  <c r="BG91" i="52"/>
  <c r="BH91" i="52"/>
  <c r="BI91" i="52"/>
  <c r="BJ91" i="52"/>
  <c r="BK91" i="52"/>
  <c r="BL91" i="52"/>
  <c r="BM91" i="52"/>
  <c r="BN91" i="52"/>
  <c r="BO91" i="52"/>
  <c r="BP91" i="52"/>
  <c r="BQ91" i="52"/>
  <c r="BR91" i="52"/>
  <c r="BS91" i="52"/>
  <c r="BT91" i="52"/>
  <c r="BU91" i="52"/>
  <c r="BV91" i="52"/>
  <c r="T91" i="52"/>
  <c r="CL90" i="52"/>
  <c r="CK90" i="52"/>
  <c r="CL89" i="52"/>
  <c r="CK89" i="52"/>
  <c r="CL88" i="52"/>
  <c r="CK88" i="52"/>
  <c r="CL87" i="52"/>
  <c r="CK87" i="52"/>
  <c r="CL86" i="52"/>
  <c r="CK86" i="52"/>
  <c r="CL85" i="52"/>
  <c r="CK85" i="52"/>
  <c r="CL84" i="52"/>
  <c r="CK84" i="52"/>
  <c r="CL83" i="52"/>
  <c r="CK83" i="52"/>
  <c r="CL82" i="52"/>
  <c r="CK82" i="52"/>
  <c r="CL81" i="52"/>
  <c r="CK81" i="52"/>
  <c r="CL80" i="52"/>
  <c r="CK80" i="52"/>
  <c r="CL79" i="52"/>
  <c r="CK79" i="52"/>
  <c r="CL78" i="52"/>
  <c r="CK78" i="52"/>
  <c r="CL77" i="52"/>
  <c r="CK77" i="52"/>
  <c r="CL76" i="52"/>
  <c r="CK76" i="52"/>
  <c r="CL75" i="52"/>
  <c r="CK75" i="52"/>
  <c r="CL74" i="52"/>
  <c r="CK74" i="52"/>
  <c r="CL73" i="52"/>
  <c r="CK73" i="52"/>
  <c r="CL72" i="52"/>
  <c r="CK72" i="52"/>
  <c r="CL71" i="52"/>
  <c r="CK71" i="52"/>
  <c r="CL70" i="52"/>
  <c r="CK70" i="52"/>
  <c r="CL69" i="52"/>
  <c r="CK69" i="52"/>
  <c r="CL68" i="52"/>
  <c r="CK68" i="52"/>
  <c r="CL67" i="52"/>
  <c r="CK67" i="52"/>
  <c r="CL66" i="52"/>
  <c r="CK66" i="52"/>
  <c r="CL65" i="52"/>
  <c r="CK65" i="52"/>
  <c r="CL64" i="52"/>
  <c r="CK64" i="52"/>
  <c r="CL63" i="52"/>
  <c r="CK63" i="52"/>
  <c r="CL62" i="52"/>
  <c r="CK62" i="52"/>
  <c r="CL61" i="52"/>
  <c r="CK61" i="52"/>
  <c r="CL60" i="52"/>
  <c r="CK60" i="52"/>
  <c r="CL59" i="52"/>
  <c r="CK59" i="52"/>
  <c r="CL58" i="52"/>
  <c r="CK58" i="52"/>
  <c r="CL57" i="52"/>
  <c r="CK57" i="52"/>
  <c r="CL56" i="52"/>
  <c r="CK56" i="52"/>
  <c r="CL55" i="52"/>
  <c r="CK55" i="52"/>
  <c r="CL54" i="52"/>
  <c r="CK54" i="52"/>
  <c r="CL53" i="52"/>
  <c r="CK53" i="52"/>
  <c r="CL52" i="52"/>
  <c r="CK52" i="52"/>
  <c r="CL51" i="52"/>
  <c r="CK51" i="52"/>
  <c r="CL50" i="52"/>
  <c r="CK50" i="52"/>
  <c r="CL49" i="52"/>
  <c r="CK49" i="52"/>
  <c r="CL48" i="52"/>
  <c r="CK48" i="52"/>
  <c r="CL47" i="52"/>
  <c r="CK47" i="52"/>
  <c r="CL46" i="52"/>
  <c r="CK46" i="52"/>
  <c r="CL45" i="52"/>
  <c r="CK45" i="52"/>
  <c r="CL44" i="52"/>
  <c r="CK44" i="52"/>
  <c r="CL43" i="52"/>
  <c r="CK43" i="52"/>
  <c r="CL42" i="52"/>
  <c r="CK42" i="52"/>
  <c r="CL41" i="52"/>
  <c r="CK41" i="52"/>
  <c r="CL40" i="52"/>
  <c r="CK40" i="52"/>
  <c r="CL39" i="52"/>
  <c r="CK39" i="52"/>
  <c r="CL38" i="52"/>
  <c r="CK38" i="52"/>
  <c r="CL37" i="52"/>
  <c r="CK37" i="52"/>
  <c r="CL36" i="52"/>
  <c r="CK36" i="52"/>
  <c r="CL35" i="52"/>
  <c r="CK35" i="52"/>
  <c r="CL34" i="52"/>
  <c r="CK34" i="52"/>
  <c r="CL33" i="52"/>
  <c r="CK33" i="52"/>
  <c r="CL32" i="52"/>
  <c r="CK32" i="52"/>
  <c r="CL31" i="52"/>
  <c r="CK31" i="52"/>
  <c r="CL30" i="52"/>
  <c r="CK30" i="52"/>
  <c r="CL29" i="52"/>
  <c r="CK29" i="52"/>
  <c r="CL28" i="52"/>
  <c r="CK28" i="52"/>
  <c r="CL27" i="52"/>
  <c r="CK27" i="52"/>
  <c r="CL26" i="52"/>
  <c r="CK26" i="52"/>
  <c r="CL25" i="52"/>
  <c r="CK25" i="52"/>
  <c r="CL24" i="52"/>
  <c r="CK24" i="52"/>
  <c r="CL23" i="52"/>
  <c r="CK23" i="52"/>
  <c r="CL22" i="52"/>
  <c r="CK22" i="52"/>
  <c r="CL21" i="52"/>
  <c r="CK21" i="52"/>
  <c r="CL20" i="52"/>
  <c r="CK20" i="52"/>
  <c r="CL19" i="52"/>
  <c r="CK19" i="52"/>
  <c r="CL18" i="52"/>
  <c r="CK18" i="52"/>
  <c r="CL17" i="52"/>
  <c r="CK17" i="52"/>
  <c r="CL16" i="52"/>
  <c r="CK16" i="52"/>
  <c r="CL15" i="52"/>
  <c r="CK15" i="52"/>
  <c r="CL14" i="52"/>
  <c r="CK14" i="52"/>
  <c r="CL13" i="52"/>
  <c r="CK13" i="52"/>
  <c r="CL12" i="52"/>
  <c r="CK12" i="52"/>
  <c r="CL11" i="52"/>
  <c r="CK11" i="52"/>
  <c r="CL10" i="52"/>
  <c r="CK10" i="52"/>
  <c r="CL9" i="52"/>
  <c r="CK9" i="52"/>
  <c r="CL8" i="52"/>
  <c r="CK8" i="52"/>
  <c r="CL7" i="52"/>
  <c r="CK7" i="52"/>
  <c r="CL6" i="52"/>
  <c r="CK6" i="52"/>
  <c r="CL5" i="52"/>
  <c r="CK5" i="52"/>
  <c r="CL4" i="52"/>
  <c r="CK4" i="52"/>
  <c r="DW4" i="3" l="1"/>
  <c r="DW8" i="3" s="1"/>
  <c r="BI58" i="3"/>
  <c r="BI35" i="3"/>
  <c r="BI20" i="3"/>
  <c r="DW79" i="3"/>
  <c r="DW95" i="3"/>
  <c r="BI82" i="3"/>
  <c r="BI76" i="3"/>
  <c r="BI68" i="3"/>
  <c r="BI60" i="3"/>
  <c r="BI53" i="3"/>
  <c r="BI45" i="3"/>
  <c r="BI37" i="3"/>
  <c r="BI22" i="3"/>
  <c r="BI15" i="3"/>
  <c r="BI87" i="3"/>
  <c r="BI93" i="3"/>
  <c r="DW81" i="3"/>
  <c r="BI51" i="3"/>
  <c r="BI85" i="3"/>
  <c r="DW88" i="3"/>
  <c r="BI74" i="3"/>
  <c r="BI43" i="3"/>
  <c r="BI13" i="3"/>
  <c r="BI66" i="3"/>
  <c r="BI28" i="3"/>
  <c r="BI72" i="3"/>
  <c r="BI64" i="3"/>
  <c r="BI56" i="3"/>
  <c r="BI49" i="3"/>
  <c r="BI41" i="3"/>
  <c r="BI33" i="3"/>
  <c r="BI26" i="3"/>
  <c r="BI18" i="3"/>
  <c r="BI11" i="3"/>
  <c r="BI83" i="3"/>
  <c r="DN6" i="3"/>
  <c r="CX4" i="3"/>
  <c r="DW92" i="3"/>
  <c r="CH4" i="3"/>
  <c r="BI4" i="3"/>
  <c r="BI73" i="3"/>
  <c r="BI65" i="3"/>
  <c r="BI57" i="3"/>
  <c r="BI50" i="3"/>
  <c r="BI42" i="3"/>
  <c r="BI34" i="3"/>
  <c r="BI27" i="3"/>
  <c r="BI19" i="3"/>
  <c r="BI12" i="3"/>
  <c r="BI84" i="3"/>
  <c r="BI5" i="3"/>
  <c r="CY5" i="3" s="1"/>
  <c r="BI63" i="3"/>
  <c r="BI48" i="3"/>
  <c r="BI25" i="3"/>
  <c r="BI55" i="3"/>
  <c r="BI40" i="3"/>
  <c r="BI32" i="3"/>
  <c r="BI17" i="3"/>
  <c r="BI89" i="3"/>
  <c r="BI78" i="3"/>
  <c r="BI70" i="3"/>
  <c r="BI62" i="3"/>
  <c r="BI54" i="3"/>
  <c r="BI47" i="3"/>
  <c r="BI39" i="3"/>
  <c r="BI31" i="3"/>
  <c r="BI24" i="3"/>
  <c r="BI80" i="3"/>
  <c r="BI91" i="3"/>
  <c r="BI71" i="3"/>
  <c r="BI77" i="3"/>
  <c r="BI69" i="3"/>
  <c r="BI61" i="3"/>
  <c r="BI46" i="3"/>
  <c r="BI38" i="3"/>
  <c r="BI30" i="3"/>
  <c r="BI23" i="3"/>
  <c r="BI16" i="3"/>
  <c r="BI90" i="3"/>
  <c r="BC5" i="3"/>
  <c r="BW5" i="3" s="1"/>
  <c r="BI7" i="3"/>
  <c r="BI75" i="3"/>
  <c r="BI67" i="3"/>
  <c r="BI59" i="3"/>
  <c r="BI52" i="3"/>
  <c r="BI44" i="3"/>
  <c r="BI36" i="3"/>
  <c r="BI29" i="3"/>
  <c r="BI21" i="3"/>
  <c r="BI14" i="3"/>
  <c r="BI86" i="3"/>
  <c r="BI94" i="3"/>
  <c r="BD5" i="3"/>
  <c r="DV5" i="3" s="1"/>
  <c r="BK6" i="3"/>
  <c r="BD6" i="3"/>
  <c r="CE6" i="3" l="1"/>
  <c r="DX6" i="3"/>
  <c r="CM5" i="3"/>
  <c r="CE5" i="3"/>
  <c r="DQ5" i="3"/>
  <c r="CQ5" i="3"/>
  <c r="DX5" i="3"/>
  <c r="DW102" i="3"/>
  <c r="L74" i="14"/>
  <c r="DW101" i="3"/>
  <c r="K74" i="14"/>
  <c r="DW100" i="3"/>
  <c r="I74" i="14"/>
  <c r="DW99" i="3"/>
  <c r="J74" i="14"/>
  <c r="DW98" i="3"/>
  <c r="H74" i="14"/>
  <c r="DW97" i="3"/>
  <c r="G74" i="14"/>
  <c r="DL6" i="3"/>
  <c r="DV6" i="3"/>
  <c r="DK6" i="3"/>
  <c r="BQ6" i="3"/>
  <c r="CC6" i="3"/>
  <c r="BW6" i="3"/>
  <c r="CN6" i="3"/>
  <c r="CC5" i="3"/>
  <c r="BQ5" i="3"/>
  <c r="CV5" i="3"/>
  <c r="BS6" i="3"/>
  <c r="BY6" i="3"/>
  <c r="CN5" i="3"/>
  <c r="CU6" i="3"/>
  <c r="CY6" i="3"/>
  <c r="CM6" i="3"/>
  <c r="CJ6" i="3"/>
  <c r="CI6" i="3"/>
  <c r="CQ6" i="3"/>
  <c r="DQ6" i="3"/>
  <c r="DD6" i="3"/>
  <c r="DJ6" i="3"/>
  <c r="DG6" i="3"/>
  <c r="CF5" i="3"/>
  <c r="BM5" i="3"/>
  <c r="BE5" i="3"/>
  <c r="BG5" i="3" s="1"/>
  <c r="BS5" i="3"/>
  <c r="BO5" i="3"/>
  <c r="DY5" i="3"/>
  <c r="BY5" i="3"/>
  <c r="BU5" i="3"/>
  <c r="BK5" i="3"/>
  <c r="DK5" i="3"/>
  <c r="CR5" i="3"/>
  <c r="CA5" i="3"/>
  <c r="DG5" i="3"/>
  <c r="DN5" i="3"/>
  <c r="CI5" i="3"/>
  <c r="CA6" i="3"/>
  <c r="DD5" i="3"/>
  <c r="CU5" i="3"/>
  <c r="CJ5" i="3"/>
  <c r="DJ5" i="3"/>
  <c r="CG5" i="3"/>
  <c r="CW5" i="3"/>
  <c r="DL5" i="3"/>
  <c r="CS5" i="3"/>
  <c r="DE5" i="3"/>
  <c r="DZ5" i="3"/>
  <c r="CZ5" i="3"/>
  <c r="DY6" i="3"/>
  <c r="CF6" i="3"/>
  <c r="CO5" i="3"/>
  <c r="DT5" i="3"/>
  <c r="DH5" i="3"/>
  <c r="CK5" i="3"/>
  <c r="DB5" i="3"/>
  <c r="BM6" i="3"/>
  <c r="CR6" i="3"/>
  <c r="BU6" i="3"/>
  <c r="DR5" i="3"/>
  <c r="DO5" i="3"/>
  <c r="CV6" i="3"/>
  <c r="BO6" i="3"/>
  <c r="CS6" i="3"/>
  <c r="DO6" i="3"/>
  <c r="DE6" i="3"/>
  <c r="DZ6" i="3"/>
  <c r="CW6" i="3"/>
  <c r="BE6" i="3"/>
  <c r="BG6" i="3" s="1"/>
  <c r="CO6" i="3"/>
  <c r="CG6" i="3"/>
  <c r="DR6" i="3"/>
  <c r="DH6" i="3"/>
  <c r="DB6" i="3"/>
  <c r="CZ6" i="3"/>
  <c r="DT6" i="3"/>
  <c r="CK6" i="3"/>
  <c r="D2" i="14" l="1"/>
  <c r="D47" i="14" s="1"/>
  <c r="E2" i="14"/>
  <c r="E15" i="14" s="1"/>
  <c r="F2" i="14"/>
  <c r="DX7" i="3"/>
  <c r="BP85" i="3"/>
  <c r="BP20" i="3"/>
  <c r="BT28" i="3"/>
  <c r="BL35" i="3"/>
  <c r="BX43" i="3"/>
  <c r="BV57" i="3"/>
  <c r="CD65" i="3"/>
  <c r="BT73" i="3"/>
  <c r="E8" i="51"/>
  <c r="F8" i="51"/>
  <c r="G8" i="51"/>
  <c r="H8" i="51"/>
  <c r="I8" i="51"/>
  <c r="J8" i="51"/>
  <c r="K8" i="51"/>
  <c r="L8" i="51"/>
  <c r="M8" i="51"/>
  <c r="N8" i="51"/>
  <c r="O8" i="51"/>
  <c r="P8" i="51"/>
  <c r="Q8" i="51"/>
  <c r="R8" i="51"/>
  <c r="S8" i="51"/>
  <c r="T8" i="51"/>
  <c r="U8" i="51"/>
  <c r="V8" i="51"/>
  <c r="W8" i="51"/>
  <c r="D8" i="51"/>
  <c r="K13" i="50"/>
  <c r="EA93" i="3" s="1"/>
  <c r="K14" i="50"/>
  <c r="K15" i="50"/>
  <c r="K16" i="50"/>
  <c r="K17" i="50"/>
  <c r="K18" i="50"/>
  <c r="K19" i="50"/>
  <c r="K20" i="50"/>
  <c r="K21" i="50"/>
  <c r="K22" i="50"/>
  <c r="K23" i="50"/>
  <c r="K24" i="50"/>
  <c r="K25" i="50"/>
  <c r="K26" i="50"/>
  <c r="K27" i="50"/>
  <c r="K28" i="50"/>
  <c r="K29" i="50"/>
  <c r="K30" i="50"/>
  <c r="K31" i="50"/>
  <c r="K32" i="50"/>
  <c r="K33" i="50"/>
  <c r="K34" i="50"/>
  <c r="K35" i="50"/>
  <c r="K36" i="50"/>
  <c r="K37" i="50"/>
  <c r="EA36" i="3" s="1"/>
  <c r="K38" i="50"/>
  <c r="K39" i="50"/>
  <c r="K40" i="50"/>
  <c r="K41" i="50"/>
  <c r="K42" i="50"/>
  <c r="K43" i="50"/>
  <c r="K44" i="50"/>
  <c r="K45" i="50"/>
  <c r="EA48" i="3" s="1"/>
  <c r="K46" i="50"/>
  <c r="K47" i="50"/>
  <c r="K48" i="50"/>
  <c r="K49" i="50"/>
  <c r="K50" i="50"/>
  <c r="K51" i="50"/>
  <c r="K52" i="50"/>
  <c r="K53" i="50"/>
  <c r="K54" i="50"/>
  <c r="K55" i="50"/>
  <c r="K56" i="50"/>
  <c r="K57" i="50"/>
  <c r="K58" i="50"/>
  <c r="K59" i="50"/>
  <c r="K60" i="50"/>
  <c r="K61" i="50"/>
  <c r="K62" i="50"/>
  <c r="EA56" i="3" s="1"/>
  <c r="K63" i="50"/>
  <c r="K64" i="50"/>
  <c r="K65" i="50"/>
  <c r="K66" i="50"/>
  <c r="K67" i="50"/>
  <c r="K68" i="50"/>
  <c r="K69" i="50"/>
  <c r="K70" i="50"/>
  <c r="EA40" i="3" s="1"/>
  <c r="K71" i="50"/>
  <c r="K72" i="50"/>
  <c r="K73" i="50"/>
  <c r="K74" i="50"/>
  <c r="K75" i="50"/>
  <c r="K76" i="50"/>
  <c r="K77" i="50"/>
  <c r="DX68" i="3" s="1"/>
  <c r="K78" i="50"/>
  <c r="EA60" i="3" s="1"/>
  <c r="K79" i="50"/>
  <c r="K80" i="50"/>
  <c r="K81" i="50"/>
  <c r="K82" i="50"/>
  <c r="K83" i="50"/>
  <c r="K84" i="50"/>
  <c r="K85" i="50"/>
  <c r="DX70" i="3" s="1"/>
  <c r="K86" i="50"/>
  <c r="DX69" i="3" s="1"/>
  <c r="K87" i="50"/>
  <c r="K88" i="50"/>
  <c r="K89" i="50"/>
  <c r="K90" i="50"/>
  <c r="K91" i="50"/>
  <c r="K92" i="50"/>
  <c r="K93" i="50"/>
  <c r="K94" i="50"/>
  <c r="DX37" i="3" s="1"/>
  <c r="K95" i="50"/>
  <c r="K96" i="50"/>
  <c r="K97" i="50"/>
  <c r="K98" i="50"/>
  <c r="K99" i="50"/>
  <c r="K100" i="50"/>
  <c r="K101" i="50"/>
  <c r="EA16" i="3" s="1"/>
  <c r="K102" i="50"/>
  <c r="K103" i="50"/>
  <c r="K104" i="50"/>
  <c r="K105" i="50"/>
  <c r="K106" i="50"/>
  <c r="K107" i="50"/>
  <c r="K108" i="50"/>
  <c r="K109" i="50"/>
  <c r="K110" i="50"/>
  <c r="K111" i="50"/>
  <c r="K112" i="50"/>
  <c r="K113" i="50"/>
  <c r="K114" i="50"/>
  <c r="K115" i="50"/>
  <c r="K116" i="50"/>
  <c r="K117" i="50"/>
  <c r="K118" i="50"/>
  <c r="K119" i="50"/>
  <c r="K120" i="50"/>
  <c r="K121" i="50"/>
  <c r="K122" i="50"/>
  <c r="K123" i="50"/>
  <c r="K124" i="50"/>
  <c r="K125" i="50"/>
  <c r="K126" i="50"/>
  <c r="K127" i="50"/>
  <c r="K128" i="50"/>
  <c r="K129" i="50"/>
  <c r="K130" i="50"/>
  <c r="K131" i="50"/>
  <c r="K132" i="50"/>
  <c r="K133" i="50"/>
  <c r="K134" i="50"/>
  <c r="K135" i="50"/>
  <c r="K136" i="50"/>
  <c r="K137" i="50"/>
  <c r="K12" i="50"/>
  <c r="N137" i="50"/>
  <c r="M137" i="50"/>
  <c r="L137" i="50"/>
  <c r="O137" i="50" s="1"/>
  <c r="N136" i="50"/>
  <c r="M136" i="50"/>
  <c r="O136" i="50" s="1"/>
  <c r="L136" i="50"/>
  <c r="N135" i="50"/>
  <c r="M135" i="50"/>
  <c r="O135" i="50" s="1"/>
  <c r="L135" i="50"/>
  <c r="N134" i="50"/>
  <c r="M134" i="50"/>
  <c r="O134" i="50" s="1"/>
  <c r="L134" i="50"/>
  <c r="N133" i="50"/>
  <c r="M133" i="50"/>
  <c r="O133" i="50" s="1"/>
  <c r="L133" i="50"/>
  <c r="N132" i="50"/>
  <c r="M132" i="50"/>
  <c r="O132" i="50" s="1"/>
  <c r="L132" i="50"/>
  <c r="N131" i="50"/>
  <c r="M131" i="50"/>
  <c r="O131" i="50" s="1"/>
  <c r="L131" i="50"/>
  <c r="N130" i="50"/>
  <c r="M130" i="50"/>
  <c r="O130" i="50" s="1"/>
  <c r="L130" i="50"/>
  <c r="N129" i="50"/>
  <c r="M129" i="50"/>
  <c r="O129" i="50" s="1"/>
  <c r="L129" i="50"/>
  <c r="N128" i="50"/>
  <c r="M128" i="50"/>
  <c r="O128" i="50" s="1"/>
  <c r="L128" i="50"/>
  <c r="N127" i="50"/>
  <c r="M127" i="50"/>
  <c r="O127" i="50" s="1"/>
  <c r="L127" i="50"/>
  <c r="N126" i="50"/>
  <c r="M126" i="50"/>
  <c r="O126" i="50" s="1"/>
  <c r="L126" i="50"/>
  <c r="N125" i="50"/>
  <c r="M125" i="50"/>
  <c r="O125" i="50" s="1"/>
  <c r="L125" i="50"/>
  <c r="N124" i="50"/>
  <c r="M124" i="50"/>
  <c r="O124" i="50" s="1"/>
  <c r="L124" i="50"/>
  <c r="N123" i="50"/>
  <c r="M123" i="50"/>
  <c r="O123" i="50" s="1"/>
  <c r="L123" i="50"/>
  <c r="N122" i="50"/>
  <c r="M122" i="50"/>
  <c r="O122" i="50" s="1"/>
  <c r="L122" i="50"/>
  <c r="N121" i="50"/>
  <c r="M121" i="50"/>
  <c r="O121" i="50" s="1"/>
  <c r="L121" i="50"/>
  <c r="N120" i="50"/>
  <c r="M120" i="50"/>
  <c r="O120" i="50" s="1"/>
  <c r="L120" i="50"/>
  <c r="N119" i="50"/>
  <c r="M119" i="50"/>
  <c r="L119" i="50"/>
  <c r="O119" i="50" s="1"/>
  <c r="N118" i="50"/>
  <c r="M118" i="50"/>
  <c r="O118" i="50" s="1"/>
  <c r="L118" i="50"/>
  <c r="N117" i="50"/>
  <c r="M117" i="50"/>
  <c r="L117" i="50"/>
  <c r="O117" i="50" s="1"/>
  <c r="N116" i="50"/>
  <c r="M116" i="50"/>
  <c r="O116" i="50" s="1"/>
  <c r="L116" i="50"/>
  <c r="N115" i="50"/>
  <c r="M115" i="50"/>
  <c r="L115" i="50"/>
  <c r="O115" i="50" s="1"/>
  <c r="N114" i="50"/>
  <c r="M114" i="50"/>
  <c r="O114" i="50" s="1"/>
  <c r="L114" i="50"/>
  <c r="N113" i="50"/>
  <c r="M113" i="50"/>
  <c r="L113" i="50"/>
  <c r="O113" i="50" s="1"/>
  <c r="N112" i="50"/>
  <c r="M112" i="50"/>
  <c r="O112" i="50" s="1"/>
  <c r="L112" i="50"/>
  <c r="N111" i="50"/>
  <c r="M111" i="50"/>
  <c r="L111" i="50"/>
  <c r="O111" i="50" s="1"/>
  <c r="N110" i="50"/>
  <c r="M110" i="50"/>
  <c r="O110" i="50" s="1"/>
  <c r="L110" i="50"/>
  <c r="N109" i="50"/>
  <c r="M109" i="50"/>
  <c r="L109" i="50"/>
  <c r="O109" i="50" s="1"/>
  <c r="N108" i="50"/>
  <c r="M108" i="50"/>
  <c r="O108" i="50" s="1"/>
  <c r="L108" i="50"/>
  <c r="N107" i="50"/>
  <c r="M107" i="50"/>
  <c r="L107" i="50"/>
  <c r="O107" i="50" s="1"/>
  <c r="N106" i="50"/>
  <c r="M106" i="50"/>
  <c r="O106" i="50" s="1"/>
  <c r="L106" i="50"/>
  <c r="N105" i="50"/>
  <c r="M105" i="50"/>
  <c r="L105" i="50"/>
  <c r="O105" i="50" s="1"/>
  <c r="N104" i="50"/>
  <c r="M104" i="50"/>
  <c r="O104" i="50" s="1"/>
  <c r="L104" i="50"/>
  <c r="N103" i="50"/>
  <c r="M103" i="50"/>
  <c r="L103" i="50"/>
  <c r="O103" i="50" s="1"/>
  <c r="N102" i="50"/>
  <c r="M102" i="50"/>
  <c r="O102" i="50" s="1"/>
  <c r="L102" i="50"/>
  <c r="N101" i="50"/>
  <c r="M101" i="50"/>
  <c r="L101" i="50"/>
  <c r="O101" i="50" s="1"/>
  <c r="N100" i="50"/>
  <c r="M100" i="50"/>
  <c r="O100" i="50" s="1"/>
  <c r="L100" i="50"/>
  <c r="N99" i="50"/>
  <c r="M99" i="50"/>
  <c r="L99" i="50"/>
  <c r="O99" i="50" s="1"/>
  <c r="N98" i="50"/>
  <c r="M98" i="50"/>
  <c r="O98" i="50" s="1"/>
  <c r="L98" i="50"/>
  <c r="N97" i="50"/>
  <c r="M97" i="50"/>
  <c r="L97" i="50"/>
  <c r="O97" i="50" s="1"/>
  <c r="N96" i="50"/>
  <c r="M96" i="50"/>
  <c r="O96" i="50" s="1"/>
  <c r="L96" i="50"/>
  <c r="N95" i="50"/>
  <c r="M95" i="50"/>
  <c r="L95" i="50"/>
  <c r="O95" i="50" s="1"/>
  <c r="N94" i="50"/>
  <c r="M94" i="50"/>
  <c r="L94" i="50"/>
  <c r="O94" i="50" s="1"/>
  <c r="N93" i="50"/>
  <c r="M93" i="50"/>
  <c r="L93" i="50"/>
  <c r="O93" i="50" s="1"/>
  <c r="N92" i="50"/>
  <c r="M92" i="50"/>
  <c r="L92" i="50"/>
  <c r="O92" i="50" s="1"/>
  <c r="N91" i="50"/>
  <c r="M91" i="50"/>
  <c r="L91" i="50"/>
  <c r="O91" i="50" s="1"/>
  <c r="N90" i="50"/>
  <c r="M90" i="50"/>
  <c r="L90" i="50"/>
  <c r="O90" i="50" s="1"/>
  <c r="N89" i="50"/>
  <c r="M89" i="50"/>
  <c r="L89" i="50"/>
  <c r="O89" i="50" s="1"/>
  <c r="N88" i="50"/>
  <c r="M88" i="50"/>
  <c r="L88" i="50"/>
  <c r="O88" i="50" s="1"/>
  <c r="N87" i="50"/>
  <c r="M87" i="50"/>
  <c r="L87" i="50"/>
  <c r="O87" i="50" s="1"/>
  <c r="N86" i="50"/>
  <c r="M86" i="50"/>
  <c r="L86" i="50"/>
  <c r="O86" i="50" s="1"/>
  <c r="N85" i="50"/>
  <c r="M85" i="50"/>
  <c r="L85" i="50"/>
  <c r="O85" i="50" s="1"/>
  <c r="N84" i="50"/>
  <c r="M84" i="50"/>
  <c r="L84" i="50"/>
  <c r="O84" i="50" s="1"/>
  <c r="N83" i="50"/>
  <c r="M83" i="50"/>
  <c r="L83" i="50"/>
  <c r="O83" i="50" s="1"/>
  <c r="N82" i="50"/>
  <c r="M82" i="50"/>
  <c r="L82" i="50"/>
  <c r="O82" i="50" s="1"/>
  <c r="N81" i="50"/>
  <c r="M81" i="50"/>
  <c r="L81" i="50"/>
  <c r="O81" i="50" s="1"/>
  <c r="N80" i="50"/>
  <c r="M80" i="50"/>
  <c r="L80" i="50"/>
  <c r="O80" i="50" s="1"/>
  <c r="N79" i="50"/>
  <c r="M79" i="50"/>
  <c r="L79" i="50"/>
  <c r="O79" i="50" s="1"/>
  <c r="N78" i="50"/>
  <c r="M78" i="50"/>
  <c r="L78" i="50"/>
  <c r="O78" i="50" s="1"/>
  <c r="N77" i="50"/>
  <c r="M77" i="50"/>
  <c r="L77" i="50"/>
  <c r="O77" i="50" s="1"/>
  <c r="N76" i="50"/>
  <c r="M76" i="50"/>
  <c r="L76" i="50"/>
  <c r="O76" i="50" s="1"/>
  <c r="N75" i="50"/>
  <c r="M75" i="50"/>
  <c r="L75" i="50"/>
  <c r="O75" i="50" s="1"/>
  <c r="N74" i="50"/>
  <c r="M74" i="50"/>
  <c r="L74" i="50"/>
  <c r="O74" i="50" s="1"/>
  <c r="N73" i="50"/>
  <c r="M73" i="50"/>
  <c r="L73" i="50"/>
  <c r="O73" i="50" s="1"/>
  <c r="N72" i="50"/>
  <c r="M72" i="50"/>
  <c r="L72" i="50"/>
  <c r="O72" i="50" s="1"/>
  <c r="N71" i="50"/>
  <c r="M71" i="50"/>
  <c r="L71" i="50"/>
  <c r="O71" i="50" s="1"/>
  <c r="N70" i="50"/>
  <c r="M70" i="50"/>
  <c r="L70" i="50"/>
  <c r="O70" i="50" s="1"/>
  <c r="N69" i="50"/>
  <c r="M69" i="50"/>
  <c r="L69" i="50"/>
  <c r="O69" i="50" s="1"/>
  <c r="N68" i="50"/>
  <c r="M68" i="50"/>
  <c r="L68" i="50"/>
  <c r="O68" i="50" s="1"/>
  <c r="N67" i="50"/>
  <c r="M67" i="50"/>
  <c r="L67" i="50"/>
  <c r="O67" i="50" s="1"/>
  <c r="N66" i="50"/>
  <c r="M66" i="50"/>
  <c r="L66" i="50"/>
  <c r="O66" i="50" s="1"/>
  <c r="N65" i="50"/>
  <c r="M65" i="50"/>
  <c r="L65" i="50"/>
  <c r="O65" i="50" s="1"/>
  <c r="N64" i="50"/>
  <c r="M64" i="50"/>
  <c r="L64" i="50"/>
  <c r="O64" i="50" s="1"/>
  <c r="N63" i="50"/>
  <c r="M63" i="50"/>
  <c r="L63" i="50"/>
  <c r="O63" i="50" s="1"/>
  <c r="N62" i="50"/>
  <c r="M62" i="50"/>
  <c r="L62" i="50"/>
  <c r="O62" i="50" s="1"/>
  <c r="N61" i="50"/>
  <c r="M61" i="50"/>
  <c r="L61" i="50"/>
  <c r="O61" i="50" s="1"/>
  <c r="N60" i="50"/>
  <c r="M60" i="50"/>
  <c r="L60" i="50"/>
  <c r="O60" i="50" s="1"/>
  <c r="N59" i="50"/>
  <c r="M59" i="50"/>
  <c r="L59" i="50"/>
  <c r="O59" i="50" s="1"/>
  <c r="N58" i="50"/>
  <c r="M58" i="50"/>
  <c r="L58" i="50"/>
  <c r="O58" i="50" s="1"/>
  <c r="N57" i="50"/>
  <c r="M57" i="50"/>
  <c r="L57" i="50"/>
  <c r="O57" i="50" s="1"/>
  <c r="N56" i="50"/>
  <c r="M56" i="50"/>
  <c r="L56" i="50"/>
  <c r="O56" i="50" s="1"/>
  <c r="N55" i="50"/>
  <c r="M55" i="50"/>
  <c r="L55" i="50"/>
  <c r="O55" i="50" s="1"/>
  <c r="N54" i="50"/>
  <c r="M54" i="50"/>
  <c r="L54" i="50"/>
  <c r="O54" i="50" s="1"/>
  <c r="N53" i="50"/>
  <c r="M53" i="50"/>
  <c r="L53" i="50"/>
  <c r="O53" i="50" s="1"/>
  <c r="N52" i="50"/>
  <c r="M52" i="50"/>
  <c r="L52" i="50"/>
  <c r="O52" i="50" s="1"/>
  <c r="N51" i="50"/>
  <c r="M51" i="50"/>
  <c r="L51" i="50"/>
  <c r="O51" i="50" s="1"/>
  <c r="N50" i="50"/>
  <c r="M50" i="50"/>
  <c r="L50" i="50"/>
  <c r="O50" i="50" s="1"/>
  <c r="N49" i="50"/>
  <c r="M49" i="50"/>
  <c r="L49" i="50"/>
  <c r="O49" i="50" s="1"/>
  <c r="N48" i="50"/>
  <c r="M48" i="50"/>
  <c r="L48" i="50"/>
  <c r="O48" i="50" s="1"/>
  <c r="N47" i="50"/>
  <c r="M47" i="50"/>
  <c r="L47" i="50"/>
  <c r="O47" i="50" s="1"/>
  <c r="N46" i="50"/>
  <c r="M46" i="50"/>
  <c r="L46" i="50"/>
  <c r="O46" i="50" s="1"/>
  <c r="N45" i="50"/>
  <c r="M45" i="50"/>
  <c r="L45" i="50"/>
  <c r="O45" i="50" s="1"/>
  <c r="N44" i="50"/>
  <c r="M44" i="50"/>
  <c r="L44" i="50"/>
  <c r="O44" i="50" s="1"/>
  <c r="N43" i="50"/>
  <c r="M43" i="50"/>
  <c r="L43" i="50"/>
  <c r="O43" i="50" s="1"/>
  <c r="N42" i="50"/>
  <c r="M42" i="50"/>
  <c r="L42" i="50"/>
  <c r="O42" i="50" s="1"/>
  <c r="N41" i="50"/>
  <c r="M41" i="50"/>
  <c r="L41" i="50"/>
  <c r="O41" i="50" s="1"/>
  <c r="N40" i="50"/>
  <c r="M40" i="50"/>
  <c r="L40" i="50"/>
  <c r="O40" i="50" s="1"/>
  <c r="N39" i="50"/>
  <c r="M39" i="50"/>
  <c r="L39" i="50"/>
  <c r="O39" i="50" s="1"/>
  <c r="N38" i="50"/>
  <c r="M38" i="50"/>
  <c r="L38" i="50"/>
  <c r="O38" i="50" s="1"/>
  <c r="N37" i="50"/>
  <c r="M37" i="50"/>
  <c r="L37" i="50"/>
  <c r="O37" i="50" s="1"/>
  <c r="N36" i="50"/>
  <c r="M36" i="50"/>
  <c r="L36" i="50"/>
  <c r="O36" i="50" s="1"/>
  <c r="N35" i="50"/>
  <c r="M35" i="50"/>
  <c r="L35" i="50"/>
  <c r="O35" i="50" s="1"/>
  <c r="N34" i="50"/>
  <c r="M34" i="50"/>
  <c r="L34" i="50"/>
  <c r="O34" i="50" s="1"/>
  <c r="N33" i="50"/>
  <c r="M33" i="50"/>
  <c r="L33" i="50"/>
  <c r="O33" i="50" s="1"/>
  <c r="N32" i="50"/>
  <c r="M32" i="50"/>
  <c r="L32" i="50"/>
  <c r="O32" i="50" s="1"/>
  <c r="N31" i="50"/>
  <c r="M31" i="50"/>
  <c r="L31" i="50"/>
  <c r="O31" i="50" s="1"/>
  <c r="N30" i="50"/>
  <c r="M30" i="50"/>
  <c r="L30" i="50"/>
  <c r="O30" i="50" s="1"/>
  <c r="N29" i="50"/>
  <c r="M29" i="50"/>
  <c r="L29" i="50"/>
  <c r="O29" i="50" s="1"/>
  <c r="N28" i="50"/>
  <c r="M28" i="50"/>
  <c r="L28" i="50"/>
  <c r="O28" i="50" s="1"/>
  <c r="N27" i="50"/>
  <c r="M27" i="50"/>
  <c r="L27" i="50"/>
  <c r="O27" i="50" s="1"/>
  <c r="N26" i="50"/>
  <c r="M26" i="50"/>
  <c r="L26" i="50"/>
  <c r="O26" i="50" s="1"/>
  <c r="N25" i="50"/>
  <c r="M25" i="50"/>
  <c r="L25" i="50"/>
  <c r="O25" i="50" s="1"/>
  <c r="N24" i="50"/>
  <c r="M24" i="50"/>
  <c r="L24" i="50"/>
  <c r="O24" i="50" s="1"/>
  <c r="N23" i="50"/>
  <c r="M23" i="50"/>
  <c r="L23" i="50"/>
  <c r="O23" i="50" s="1"/>
  <c r="N22" i="50"/>
  <c r="M22" i="50"/>
  <c r="L22" i="50"/>
  <c r="O22" i="50" s="1"/>
  <c r="N21" i="50"/>
  <c r="M21" i="50"/>
  <c r="L21" i="50"/>
  <c r="O21" i="50" s="1"/>
  <c r="N20" i="50"/>
  <c r="M20" i="50"/>
  <c r="L20" i="50"/>
  <c r="O20" i="50" s="1"/>
  <c r="N19" i="50"/>
  <c r="M19" i="50"/>
  <c r="L19" i="50"/>
  <c r="O19" i="50" s="1"/>
  <c r="N18" i="50"/>
  <c r="M18" i="50"/>
  <c r="L18" i="50"/>
  <c r="O18" i="50" s="1"/>
  <c r="N17" i="50"/>
  <c r="M17" i="50"/>
  <c r="L17" i="50"/>
  <c r="O17" i="50" s="1"/>
  <c r="N16" i="50"/>
  <c r="M16" i="50"/>
  <c r="L16" i="50"/>
  <c r="O16" i="50" s="1"/>
  <c r="N15" i="50"/>
  <c r="M15" i="50"/>
  <c r="L15" i="50"/>
  <c r="O15" i="50" s="1"/>
  <c r="N14" i="50"/>
  <c r="M14" i="50"/>
  <c r="L14" i="50"/>
  <c r="O14" i="50" s="1"/>
  <c r="N13" i="50"/>
  <c r="M13" i="50"/>
  <c r="L13" i="50"/>
  <c r="O13" i="50" s="1"/>
  <c r="N12" i="50"/>
  <c r="M12" i="50"/>
  <c r="L12" i="50"/>
  <c r="O12" i="50" s="1"/>
  <c r="G4" i="47"/>
  <c r="DX11" i="3" s="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7" i="47"/>
  <c r="G38" i="47"/>
  <c r="G39" i="47"/>
  <c r="G40" i="47"/>
  <c r="G41" i="47"/>
  <c r="G42" i="47"/>
  <c r="G43" i="47"/>
  <c r="G44" i="47"/>
  <c r="G45" i="47"/>
  <c r="G46" i="47"/>
  <c r="G47" i="47"/>
  <c r="G48" i="47"/>
  <c r="G49" i="47"/>
  <c r="G50" i="47"/>
  <c r="G51" i="47"/>
  <c r="DX54" i="3"/>
  <c r="G52" i="47"/>
  <c r="G53" i="47"/>
  <c r="G54" i="47"/>
  <c r="G55" i="47"/>
  <c r="G56" i="47"/>
  <c r="DQ58" i="3" s="1"/>
  <c r="G57" i="47"/>
  <c r="G58" i="47"/>
  <c r="G59" i="47"/>
  <c r="G60" i="47"/>
  <c r="G61" i="47"/>
  <c r="G62" i="47"/>
  <c r="G63" i="47"/>
  <c r="G64" i="47"/>
  <c r="G65" i="47"/>
  <c r="G66" i="47"/>
  <c r="G67" i="47"/>
  <c r="G68" i="47"/>
  <c r="G69" i="47"/>
  <c r="G70" i="47"/>
  <c r="G71" i="47"/>
  <c r="G72" i="47"/>
  <c r="G73" i="47"/>
  <c r="G74" i="47"/>
  <c r="G75" i="47"/>
  <c r="G76" i="47"/>
  <c r="G77" i="47"/>
  <c r="G78" i="47"/>
  <c r="G79" i="47"/>
  <c r="CE85" i="3" s="1"/>
  <c r="G80" i="47"/>
  <c r="G81" i="47"/>
  <c r="G82" i="47"/>
  <c r="G83" i="47"/>
  <c r="G84" i="47"/>
  <c r="DX89" i="3"/>
  <c r="G85" i="47"/>
  <c r="G86" i="47"/>
  <c r="G87" i="47"/>
  <c r="G88" i="47"/>
  <c r="G90" i="47"/>
  <c r="G91" i="47"/>
  <c r="G92" i="47"/>
  <c r="G93" i="47"/>
  <c r="G3" i="47"/>
  <c r="P89" i="47"/>
  <c r="O89" i="47"/>
  <c r="N89" i="47"/>
  <c r="M89" i="47"/>
  <c r="L89" i="47"/>
  <c r="K89" i="47"/>
  <c r="J89" i="47"/>
  <c r="I89" i="47"/>
  <c r="H89" i="47"/>
  <c r="F89" i="47"/>
  <c r="E89" i="47"/>
  <c r="D89" i="47"/>
  <c r="G89" i="47" s="1"/>
  <c r="BF100" i="3"/>
  <c r="BB100" i="3"/>
  <c r="BB79" i="3"/>
  <c r="BA100" i="3"/>
  <c r="AZ88" i="3"/>
  <c r="AY100" i="3"/>
  <c r="AX100" i="3"/>
  <c r="AW95" i="3"/>
  <c r="AW100" i="3"/>
  <c r="AV95" i="3"/>
  <c r="DS91" i="3"/>
  <c r="DQ87" i="3"/>
  <c r="DQ80" i="3"/>
  <c r="DQ81" i="3" s="1"/>
  <c r="DS15" i="3"/>
  <c r="DS22" i="3"/>
  <c r="DQ23" i="3"/>
  <c r="DQ24" i="3"/>
  <c r="DQ30" i="3"/>
  <c r="DQ37" i="3"/>
  <c r="DS38" i="3"/>
  <c r="DS39" i="3"/>
  <c r="DS45" i="3"/>
  <c r="DQ47" i="3"/>
  <c r="DQ53" i="3"/>
  <c r="DS54" i="3"/>
  <c r="DQ57" i="3"/>
  <c r="DQ59" i="3"/>
  <c r="DS61" i="3"/>
  <c r="DS67" i="3"/>
  <c r="DS75" i="3"/>
  <c r="DS76" i="3"/>
  <c r="DS77" i="3"/>
  <c r="AU100" i="3"/>
  <c r="AU81" i="3"/>
  <c r="AU99" i="3" s="1"/>
  <c r="DU91" i="3"/>
  <c r="DU80" i="3"/>
  <c r="DU81" i="3" s="1"/>
  <c r="DU10" i="3"/>
  <c r="DU17" i="3"/>
  <c r="DU19" i="3"/>
  <c r="DU23" i="3"/>
  <c r="DU24" i="3"/>
  <c r="DU30" i="3"/>
  <c r="DU31" i="3"/>
  <c r="DU38" i="3"/>
  <c r="DU39" i="3"/>
  <c r="DU40" i="3"/>
  <c r="DU46" i="3"/>
  <c r="DU47" i="3"/>
  <c r="DU48" i="3"/>
  <c r="DU54" i="3"/>
  <c r="DU55" i="3"/>
  <c r="DU60" i="3"/>
  <c r="DU61" i="3"/>
  <c r="DU68" i="3"/>
  <c r="DU69" i="3"/>
  <c r="DU70" i="3"/>
  <c r="DU72" i="3"/>
  <c r="DU76" i="3"/>
  <c r="DU77" i="3"/>
  <c r="DU78" i="3"/>
  <c r="AS102" i="3"/>
  <c r="AS101" i="3"/>
  <c r="AR81" i="3"/>
  <c r="AR99" i="3" s="1"/>
  <c r="DN84" i="3"/>
  <c r="DN82" i="3"/>
  <c r="DN12" i="3"/>
  <c r="DN19" i="3"/>
  <c r="DN20" i="3"/>
  <c r="DN24" i="3"/>
  <c r="DP27" i="3"/>
  <c r="DN31" i="3"/>
  <c r="DP34" i="3"/>
  <c r="DN35" i="3"/>
  <c r="DN37" i="3"/>
  <c r="DP41" i="3"/>
  <c r="DN42" i="3"/>
  <c r="DN49" i="3"/>
  <c r="DN50" i="3"/>
  <c r="DN51" i="3"/>
  <c r="DP56" i="3"/>
  <c r="DP63" i="3"/>
  <c r="DN64" i="3"/>
  <c r="DN65" i="3"/>
  <c r="DP71" i="3"/>
  <c r="DP72" i="3"/>
  <c r="DN7" i="3"/>
  <c r="AP8" i="3"/>
  <c r="AO100" i="3"/>
  <c r="AO81" i="3"/>
  <c r="AO99" i="3" s="1"/>
  <c r="AN95" i="3"/>
  <c r="DM87" i="3"/>
  <c r="DJ82" i="3"/>
  <c r="DM15" i="3"/>
  <c r="DJ22" i="3"/>
  <c r="DJ23" i="3"/>
  <c r="DJ27" i="3"/>
  <c r="DJ30" i="3"/>
  <c r="DJ37" i="3"/>
  <c r="DJ38" i="3"/>
  <c r="DJ45" i="3"/>
  <c r="DJ46" i="3"/>
  <c r="DJ53" i="3"/>
  <c r="DJ59" i="3"/>
  <c r="DM67" i="3"/>
  <c r="DJ68" i="3"/>
  <c r="DJ75" i="3"/>
  <c r="DJ76" i="3"/>
  <c r="DJ4" i="3"/>
  <c r="DI90" i="3"/>
  <c r="DG82" i="3"/>
  <c r="AM81" i="3"/>
  <c r="AM99" i="3" s="1"/>
  <c r="DI11" i="3"/>
  <c r="DG16" i="3"/>
  <c r="DI17" i="3"/>
  <c r="DI21" i="3"/>
  <c r="DI23" i="3"/>
  <c r="DI30" i="3"/>
  <c r="DI32" i="3"/>
  <c r="DI38" i="3"/>
  <c r="DI46" i="3"/>
  <c r="DI48" i="3"/>
  <c r="DG53" i="3"/>
  <c r="DI55" i="3"/>
  <c r="DG59" i="3"/>
  <c r="DG60" i="3"/>
  <c r="DG67" i="3"/>
  <c r="DI68" i="3"/>
  <c r="DI69" i="3"/>
  <c r="DG76" i="3"/>
  <c r="DI77" i="3"/>
  <c r="AL81" i="3"/>
  <c r="AL99" i="3" s="1"/>
  <c r="DD89" i="3"/>
  <c r="DD83" i="3"/>
  <c r="DF10" i="3"/>
  <c r="DF11" i="3"/>
  <c r="DD15" i="3"/>
  <c r="DD17" i="3"/>
  <c r="DF25" i="3"/>
  <c r="DF26" i="3"/>
  <c r="DF27" i="3"/>
  <c r="DD31" i="3"/>
  <c r="DD32" i="3"/>
  <c r="DF40" i="3"/>
  <c r="DD42" i="3"/>
  <c r="DF48" i="3"/>
  <c r="DD50" i="3"/>
  <c r="DD55" i="3"/>
  <c r="DF62" i="3"/>
  <c r="DF67" i="3"/>
  <c r="DD70" i="3"/>
  <c r="DD71" i="3"/>
  <c r="DF78" i="3"/>
  <c r="DC84" i="3"/>
  <c r="DC11" i="3"/>
  <c r="DC12" i="3"/>
  <c r="DC18" i="3"/>
  <c r="DC19" i="3"/>
  <c r="DC27" i="3"/>
  <c r="DC33" i="3"/>
  <c r="DC34" i="3"/>
  <c r="DC36" i="3"/>
  <c r="DC42" i="3"/>
  <c r="DC49" i="3"/>
  <c r="DC56" i="3"/>
  <c r="DC63" i="3"/>
  <c r="DC64" i="3"/>
  <c r="DC71" i="3"/>
  <c r="DC72" i="3"/>
  <c r="AH81" i="3"/>
  <c r="AH99" i="3" s="1"/>
  <c r="AH8" i="3"/>
  <c r="DA94" i="3"/>
  <c r="DA86" i="3"/>
  <c r="DA87" i="3"/>
  <c r="DA82" i="3"/>
  <c r="DA15" i="3"/>
  <c r="DA18" i="3"/>
  <c r="CY21" i="3"/>
  <c r="DA26" i="3"/>
  <c r="CY29" i="3"/>
  <c r="CY31" i="3"/>
  <c r="CY36" i="3"/>
  <c r="CY39" i="3"/>
  <c r="CY43" i="3"/>
  <c r="DA44" i="3"/>
  <c r="DA45" i="3"/>
  <c r="DA48" i="3"/>
  <c r="CY51" i="3"/>
  <c r="CY52" i="3"/>
  <c r="CY55" i="3"/>
  <c r="CY57" i="3"/>
  <c r="CY58" i="3"/>
  <c r="DA66" i="3"/>
  <c r="DA74" i="3"/>
  <c r="CY7" i="3"/>
  <c r="AF95" i="3"/>
  <c r="AF81" i="3"/>
  <c r="AF99" i="3" s="1"/>
  <c r="AD81" i="3"/>
  <c r="AD99" i="3" s="1"/>
  <c r="AC81" i="3"/>
  <c r="AC99" i="3" s="1"/>
  <c r="CU18" i="3"/>
  <c r="BD63" i="3"/>
  <c r="AA81" i="3"/>
  <c r="AA99" i="3" s="1"/>
  <c r="CX12" i="3"/>
  <c r="CQ83" i="3"/>
  <c r="CT85" i="3"/>
  <c r="CT13" i="3"/>
  <c r="CQ15" i="3"/>
  <c r="CQ20" i="3"/>
  <c r="CQ21" i="3"/>
  <c r="CQ24" i="3"/>
  <c r="CT27" i="3"/>
  <c r="CT30" i="3"/>
  <c r="CQ31" i="3"/>
  <c r="CQ34" i="3"/>
  <c r="CQ35" i="3"/>
  <c r="CQ38" i="3"/>
  <c r="CQ42" i="3"/>
  <c r="CQ43" i="3"/>
  <c r="CQ45" i="3"/>
  <c r="CQ53" i="3"/>
  <c r="CT57" i="3"/>
  <c r="CQ62" i="3"/>
  <c r="CT63" i="3"/>
  <c r="CQ66" i="3"/>
  <c r="CQ67" i="3"/>
  <c r="CQ73" i="3"/>
  <c r="CQ74" i="3"/>
  <c r="CT78" i="3"/>
  <c r="CT4" i="3"/>
  <c r="CP94" i="3"/>
  <c r="CM86" i="3"/>
  <c r="CM80" i="3"/>
  <c r="CM81" i="3" s="1"/>
  <c r="CM13" i="3"/>
  <c r="CM18" i="3"/>
  <c r="CM20" i="3"/>
  <c r="CM23" i="3"/>
  <c r="CM24" i="3"/>
  <c r="CM30" i="3"/>
  <c r="CM34" i="3"/>
  <c r="CM38" i="3"/>
  <c r="CM42" i="3"/>
  <c r="CM44" i="3"/>
  <c r="CM46" i="3"/>
  <c r="CM50" i="3"/>
  <c r="CM51" i="3"/>
  <c r="CX52" i="3"/>
  <c r="CM56" i="3"/>
  <c r="CP58" i="3"/>
  <c r="CM60" i="3"/>
  <c r="CM64" i="3"/>
  <c r="CP66" i="3"/>
  <c r="CP67" i="3"/>
  <c r="CM73" i="3"/>
  <c r="CM4" i="3"/>
  <c r="CL93" i="3"/>
  <c r="X100" i="3"/>
  <c r="CL14" i="3"/>
  <c r="CI15" i="3"/>
  <c r="CI18" i="3"/>
  <c r="CI22" i="3"/>
  <c r="CI24" i="3"/>
  <c r="CL29" i="3"/>
  <c r="CI32" i="3"/>
  <c r="CL36" i="3"/>
  <c r="CI37" i="3"/>
  <c r="CL59" i="3"/>
  <c r="CX67" i="3"/>
  <c r="CL68" i="3"/>
  <c r="CX75" i="3"/>
  <c r="CI4" i="3"/>
  <c r="CU82" i="3"/>
  <c r="CE16" i="3"/>
  <c r="CX30" i="3"/>
  <c r="CH46" i="3"/>
  <c r="CE60" i="3"/>
  <c r="CH76" i="3"/>
  <c r="CH94" i="3"/>
  <c r="CE91" i="3"/>
  <c r="CE39" i="3"/>
  <c r="CE47" i="3"/>
  <c r="CH52" i="3"/>
  <c r="CE69" i="3"/>
  <c r="CH77" i="3"/>
  <c r="ED101" i="3"/>
  <c r="BC19" i="3"/>
  <c r="BC50" i="3"/>
  <c r="T81" i="3"/>
  <c r="T99" i="3" s="1"/>
  <c r="T97" i="3"/>
  <c r="R81" i="3"/>
  <c r="R99" i="3" s="1"/>
  <c r="CD90" i="3"/>
  <c r="Q81" i="3"/>
  <c r="Q99" i="3" s="1"/>
  <c r="CD12" i="3"/>
  <c r="CD14" i="3"/>
  <c r="CD16" i="3"/>
  <c r="CD19" i="3"/>
  <c r="CD23" i="3"/>
  <c r="CD25" i="3"/>
  <c r="CD27" i="3"/>
  <c r="CD30" i="3"/>
  <c r="CD32" i="3"/>
  <c r="CD33" i="3"/>
  <c r="CD34" i="3"/>
  <c r="CD35" i="3"/>
  <c r="CD38" i="3"/>
  <c r="CD39" i="3"/>
  <c r="CD40" i="3"/>
  <c r="CD42" i="3"/>
  <c r="CD46" i="3"/>
  <c r="CD47" i="3"/>
  <c r="CD48" i="3"/>
  <c r="CD50" i="3"/>
  <c r="CD53" i="3"/>
  <c r="CD55" i="3"/>
  <c r="CD56" i="3"/>
  <c r="CD59" i="3"/>
  <c r="CD60" i="3"/>
  <c r="CD63" i="3"/>
  <c r="CD64" i="3"/>
  <c r="CD67" i="3"/>
  <c r="CD68" i="3"/>
  <c r="CD71" i="3"/>
  <c r="CD72" i="3"/>
  <c r="CD75" i="3"/>
  <c r="P95" i="3"/>
  <c r="CB83" i="3"/>
  <c r="CB80" i="3"/>
  <c r="CB81" i="3" s="1"/>
  <c r="CB11" i="3"/>
  <c r="CB12" i="3"/>
  <c r="CB16" i="3"/>
  <c r="CB18" i="3"/>
  <c r="CB19" i="3"/>
  <c r="CB21" i="3"/>
  <c r="CB24" i="3"/>
  <c r="CB26" i="3"/>
  <c r="CB27" i="3"/>
  <c r="CB29" i="3"/>
  <c r="CB30" i="3"/>
  <c r="CB31" i="3"/>
  <c r="CB32" i="3"/>
  <c r="CB33" i="3"/>
  <c r="CB37" i="3"/>
  <c r="CB39" i="3"/>
  <c r="CB40" i="3"/>
  <c r="CB41" i="3"/>
  <c r="CB44" i="3"/>
  <c r="CB46" i="3"/>
  <c r="CB47" i="3"/>
  <c r="CB58" i="3"/>
  <c r="CB59" i="3"/>
  <c r="CB61" i="3"/>
  <c r="CB62" i="3"/>
  <c r="CB63" i="3"/>
  <c r="CB66" i="3"/>
  <c r="CB67" i="3"/>
  <c r="CB69" i="3"/>
  <c r="CB70" i="3"/>
  <c r="CB71" i="3"/>
  <c r="CB72" i="3"/>
  <c r="CB75" i="3"/>
  <c r="CB77" i="3"/>
  <c r="CB78" i="3"/>
  <c r="O101" i="3"/>
  <c r="O81" i="3"/>
  <c r="O99" i="3" s="1"/>
  <c r="N81" i="3"/>
  <c r="N99" i="3" s="1"/>
  <c r="N79" i="3"/>
  <c r="M88" i="3"/>
  <c r="M81" i="3"/>
  <c r="M99" i="3" s="1"/>
  <c r="M97" i="3"/>
  <c r="L81" i="3"/>
  <c r="L99" i="3" s="1"/>
  <c r="L79" i="3"/>
  <c r="BZ17" i="3"/>
  <c r="K95" i="3"/>
  <c r="BZ18" i="3"/>
  <c r="BZ26" i="3"/>
  <c r="BZ27" i="3"/>
  <c r="BZ41" i="3"/>
  <c r="BZ66" i="3"/>
  <c r="BZ72" i="3"/>
  <c r="BX94" i="3"/>
  <c r="BX83" i="3"/>
  <c r="BX84" i="3"/>
  <c r="BX86" i="3"/>
  <c r="BX87" i="3"/>
  <c r="J81" i="3"/>
  <c r="J99" i="3" s="1"/>
  <c r="BX10" i="3"/>
  <c r="BX12" i="3"/>
  <c r="BX14" i="3"/>
  <c r="BX15" i="3"/>
  <c r="BX17" i="3"/>
  <c r="BX18" i="3"/>
  <c r="BX19" i="3"/>
  <c r="BX21" i="3"/>
  <c r="BX22" i="3"/>
  <c r="BX27" i="3"/>
  <c r="BX29" i="3"/>
  <c r="BX30" i="3"/>
  <c r="BX31" i="3"/>
  <c r="BX33" i="3"/>
  <c r="BX36" i="3"/>
  <c r="BX37" i="3"/>
  <c r="BX38" i="3"/>
  <c r="BX40" i="3"/>
  <c r="BX41" i="3"/>
  <c r="BX44" i="3"/>
  <c r="BX49" i="3"/>
  <c r="BX52" i="3"/>
  <c r="BX54" i="3"/>
  <c r="BX55" i="3"/>
  <c r="BX58" i="3"/>
  <c r="BX59" i="3"/>
  <c r="BX62" i="3"/>
  <c r="BX64" i="3"/>
  <c r="BX66" i="3"/>
  <c r="BX67" i="3"/>
  <c r="BX69" i="3"/>
  <c r="BX70" i="3"/>
  <c r="BX72" i="3"/>
  <c r="BX74" i="3"/>
  <c r="BX75" i="3"/>
  <c r="BX77" i="3"/>
  <c r="BX78" i="3"/>
  <c r="BV91" i="3"/>
  <c r="BV89" i="3"/>
  <c r="BV83" i="3"/>
  <c r="BV84" i="3"/>
  <c r="I88" i="3"/>
  <c r="BV80" i="3"/>
  <c r="BV81" i="3" s="1"/>
  <c r="BV11" i="3"/>
  <c r="BV12" i="3"/>
  <c r="BV14" i="3"/>
  <c r="BV15" i="3"/>
  <c r="BV16" i="3"/>
  <c r="BV17" i="3"/>
  <c r="BV18" i="3"/>
  <c r="BV21" i="3"/>
  <c r="BV23" i="3"/>
  <c r="BV24" i="3"/>
  <c r="BV27" i="3"/>
  <c r="BV29" i="3"/>
  <c r="BV30" i="3"/>
  <c r="BV31" i="3"/>
  <c r="BV32" i="3"/>
  <c r="BV39" i="3"/>
  <c r="BV42" i="3"/>
  <c r="BV44" i="3"/>
  <c r="BV47" i="3"/>
  <c r="BV50" i="3"/>
  <c r="BV52" i="3"/>
  <c r="BV54" i="3"/>
  <c r="BV55" i="3"/>
  <c r="BV56" i="3"/>
  <c r="BV58" i="3"/>
  <c r="BV61" i="3"/>
  <c r="BV62" i="3"/>
  <c r="BV63" i="3"/>
  <c r="BV66" i="3"/>
  <c r="BV67" i="3"/>
  <c r="BV69" i="3"/>
  <c r="BV70" i="3"/>
  <c r="BV71" i="3"/>
  <c r="BT94" i="3"/>
  <c r="H95" i="3"/>
  <c r="BT84" i="3"/>
  <c r="BT87" i="3"/>
  <c r="BT82" i="3"/>
  <c r="H81" i="3"/>
  <c r="H99" i="3" s="1"/>
  <c r="BT12" i="3"/>
  <c r="BT14" i="3"/>
  <c r="BT15" i="3"/>
  <c r="BT17" i="3"/>
  <c r="BT19" i="3"/>
  <c r="BT22" i="3"/>
  <c r="BT24" i="3"/>
  <c r="BT27" i="3"/>
  <c r="BT29" i="3"/>
  <c r="BT30" i="3"/>
  <c r="BT31" i="3"/>
  <c r="BT34" i="3"/>
  <c r="BT36" i="3"/>
  <c r="BT38" i="3"/>
  <c r="BT42" i="3"/>
  <c r="BT44" i="3"/>
  <c r="BT45" i="3"/>
  <c r="BT47" i="3"/>
  <c r="BT50" i="3"/>
  <c r="BT52" i="3"/>
  <c r="BT53" i="3"/>
  <c r="BT55" i="3"/>
  <c r="BT56" i="3"/>
  <c r="BT58" i="3"/>
  <c r="BT59" i="3"/>
  <c r="BT61" i="3"/>
  <c r="BT62" i="3"/>
  <c r="BT64" i="3"/>
  <c r="BT67" i="3"/>
  <c r="BT70" i="3"/>
  <c r="BT72" i="3"/>
  <c r="BT74" i="3"/>
  <c r="BT75" i="3"/>
  <c r="G101" i="3"/>
  <c r="BR83" i="3"/>
  <c r="BR84" i="3"/>
  <c r="BR85" i="3"/>
  <c r="BR87" i="3"/>
  <c r="BR82" i="3"/>
  <c r="BR11" i="3"/>
  <c r="BR12" i="3"/>
  <c r="BR14" i="3"/>
  <c r="BR16" i="3"/>
  <c r="BR18" i="3"/>
  <c r="BR22" i="3"/>
  <c r="BR24" i="3"/>
  <c r="BR27" i="3"/>
  <c r="BR29" i="3"/>
  <c r="BR30" i="3"/>
  <c r="BR32" i="3"/>
  <c r="BR33" i="3"/>
  <c r="BR34" i="3"/>
  <c r="BR37" i="3"/>
  <c r="BR39" i="3"/>
  <c r="BR40" i="3"/>
  <c r="BR41" i="3"/>
  <c r="BR42" i="3"/>
  <c r="BR45" i="3"/>
  <c r="BR47" i="3"/>
  <c r="BR48" i="3"/>
  <c r="BR49" i="3"/>
  <c r="BR50" i="3"/>
  <c r="BR52" i="3"/>
  <c r="BR53" i="3"/>
  <c r="BR54" i="3"/>
  <c r="BR55" i="3"/>
  <c r="BR58" i="3"/>
  <c r="BR59" i="3"/>
  <c r="BR61" i="3"/>
  <c r="BR62" i="3"/>
  <c r="BR63" i="3"/>
  <c r="BR64" i="3"/>
  <c r="BR67" i="3"/>
  <c r="BR68" i="3"/>
  <c r="BR69" i="3"/>
  <c r="BR70" i="3"/>
  <c r="BR71" i="3"/>
  <c r="BR72" i="3"/>
  <c r="BR75" i="3"/>
  <c r="BR76" i="3"/>
  <c r="BR77" i="3"/>
  <c r="BR4" i="3"/>
  <c r="BP83" i="3"/>
  <c r="BP84" i="3"/>
  <c r="BP87" i="3"/>
  <c r="BP82" i="3"/>
  <c r="BP11" i="3"/>
  <c r="BP12" i="3"/>
  <c r="BP17" i="3"/>
  <c r="BP18" i="3"/>
  <c r="BP19" i="3"/>
  <c r="BP21" i="3"/>
  <c r="BP22" i="3"/>
  <c r="BP25" i="3"/>
  <c r="BP26" i="3"/>
  <c r="BP27" i="3"/>
  <c r="BP29" i="3"/>
  <c r="BP30" i="3"/>
  <c r="BP32" i="3"/>
  <c r="BP33" i="3"/>
  <c r="BP37" i="3"/>
  <c r="BP38" i="3"/>
  <c r="BP40" i="3"/>
  <c r="BP44" i="3"/>
  <c r="BP45" i="3"/>
  <c r="BP47" i="3"/>
  <c r="BP48" i="3"/>
  <c r="BP52" i="3"/>
  <c r="BP53" i="3"/>
  <c r="BP54" i="3"/>
  <c r="BP55" i="3"/>
  <c r="BP58" i="3"/>
  <c r="BP59" i="3"/>
  <c r="BP60" i="3"/>
  <c r="BP62" i="3"/>
  <c r="BP64" i="3"/>
  <c r="BP66" i="3"/>
  <c r="BP67" i="3"/>
  <c r="BP68" i="3"/>
  <c r="BP69" i="3"/>
  <c r="BP70" i="3"/>
  <c r="BP72" i="3"/>
  <c r="BP74" i="3"/>
  <c r="BP75" i="3"/>
  <c r="BP76" i="3"/>
  <c r="BN93" i="3"/>
  <c r="BN90" i="3"/>
  <c r="BN89" i="3"/>
  <c r="BN84" i="3"/>
  <c r="BN86" i="3"/>
  <c r="BN87" i="3"/>
  <c r="BN80" i="3"/>
  <c r="BN81" i="3" s="1"/>
  <c r="BN29" i="3"/>
  <c r="BN30" i="3"/>
  <c r="BN34" i="3"/>
  <c r="BN37" i="3"/>
  <c r="BN38" i="3"/>
  <c r="BN39" i="3"/>
  <c r="BN40" i="3"/>
  <c r="BN45" i="3"/>
  <c r="BN46" i="3"/>
  <c r="BN47" i="3"/>
  <c r="BN48" i="3"/>
  <c r="BN49" i="3"/>
  <c r="BN52" i="3"/>
  <c r="BN53" i="3"/>
  <c r="BN55" i="3"/>
  <c r="BN57" i="3"/>
  <c r="BN59" i="3"/>
  <c r="BN60" i="3"/>
  <c r="BN61" i="3"/>
  <c r="BN62" i="3"/>
  <c r="BN63" i="3"/>
  <c r="BN64" i="3"/>
  <c r="BN66" i="3"/>
  <c r="BN68" i="3"/>
  <c r="BN69" i="3"/>
  <c r="BN70" i="3"/>
  <c r="BN74" i="3"/>
  <c r="BN75" i="3"/>
  <c r="BN76" i="3"/>
  <c r="BN77" i="3"/>
  <c r="BN78" i="3"/>
  <c r="BN11" i="3"/>
  <c r="BN12" i="3"/>
  <c r="BN14" i="3"/>
  <c r="BN15" i="3"/>
  <c r="BN16" i="3"/>
  <c r="BN18" i="3"/>
  <c r="BN19" i="3"/>
  <c r="BN21" i="3"/>
  <c r="BN24" i="3"/>
  <c r="BN25" i="3"/>
  <c r="BN26" i="3"/>
  <c r="BL94" i="3"/>
  <c r="BL85" i="3"/>
  <c r="BL86" i="3"/>
  <c r="BL87" i="3"/>
  <c r="D81" i="3"/>
  <c r="D99" i="3" s="1"/>
  <c r="BL10" i="3"/>
  <c r="BL11" i="3"/>
  <c r="BL12" i="3"/>
  <c r="BL14" i="3"/>
  <c r="BL15" i="3"/>
  <c r="BL17" i="3"/>
  <c r="BL18" i="3"/>
  <c r="BL19" i="3"/>
  <c r="BL21" i="3"/>
  <c r="BL22" i="3"/>
  <c r="BL23" i="3"/>
  <c r="BL24" i="3"/>
  <c r="BL25" i="3"/>
  <c r="BL26" i="3"/>
  <c r="BL27" i="3"/>
  <c r="BL30" i="3"/>
  <c r="BL31" i="3"/>
  <c r="BL32" i="3"/>
  <c r="BL36" i="3"/>
  <c r="BL39" i="3"/>
  <c r="BL40" i="3"/>
  <c r="BL41" i="3"/>
  <c r="BL45" i="3"/>
  <c r="BL46" i="3"/>
  <c r="BL48" i="3"/>
  <c r="BL49" i="3"/>
  <c r="BL52" i="3"/>
  <c r="BL55" i="3"/>
  <c r="BL61" i="3"/>
  <c r="BL62" i="3"/>
  <c r="BL66" i="3"/>
  <c r="BL67" i="3"/>
  <c r="BL68" i="3"/>
  <c r="BL70" i="3"/>
  <c r="BL71" i="3"/>
  <c r="BL74" i="3"/>
  <c r="BL75" i="3"/>
  <c r="BL76" i="3"/>
  <c r="BL78" i="3"/>
  <c r="BL4" i="3"/>
  <c r="ED99" i="3"/>
  <c r="EC99" i="3"/>
  <c r="N23" i="41"/>
  <c r="J23" i="41"/>
  <c r="F23" i="41"/>
  <c r="P23" i="41" s="1"/>
  <c r="EB100" i="3"/>
  <c r="EA77" i="3"/>
  <c r="DX59" i="3"/>
  <c r="DX64" i="3"/>
  <c r="DX42" i="3"/>
  <c r="DX50" i="3"/>
  <c r="DX35" i="3"/>
  <c r="DX26" i="3"/>
  <c r="EA18" i="3"/>
  <c r="F4" i="41"/>
  <c r="J4" i="41"/>
  <c r="N4" i="41"/>
  <c r="F5" i="41"/>
  <c r="J5" i="41"/>
  <c r="N5" i="41"/>
  <c r="F6" i="41"/>
  <c r="J6" i="41"/>
  <c r="N6" i="41"/>
  <c r="C7" i="41"/>
  <c r="D7" i="41"/>
  <c r="E7" i="41"/>
  <c r="F7" i="41"/>
  <c r="G7" i="41"/>
  <c r="H7" i="41"/>
  <c r="I7" i="41"/>
  <c r="K7" i="41"/>
  <c r="L7" i="41"/>
  <c r="M7" i="41"/>
  <c r="O7" i="41"/>
  <c r="F8" i="41"/>
  <c r="P8" i="41" s="1"/>
  <c r="J8" i="41"/>
  <c r="N8" i="41"/>
  <c r="F9" i="41"/>
  <c r="P9" i="41" s="1"/>
  <c r="J9" i="41"/>
  <c r="N9" i="41"/>
  <c r="F10" i="41"/>
  <c r="J10" i="41"/>
  <c r="N10" i="41"/>
  <c r="F11" i="41"/>
  <c r="J11" i="41"/>
  <c r="N11" i="41"/>
  <c r="F12" i="41"/>
  <c r="P12" i="41" s="1"/>
  <c r="J12" i="41"/>
  <c r="N12" i="41"/>
  <c r="F13" i="41"/>
  <c r="P13" i="41" s="1"/>
  <c r="J13" i="41"/>
  <c r="N13" i="41"/>
  <c r="F14" i="41"/>
  <c r="P14" i="41" s="1"/>
  <c r="J14" i="41"/>
  <c r="N14" i="41"/>
  <c r="F15" i="41"/>
  <c r="P15" i="41" s="1"/>
  <c r="J15" i="41"/>
  <c r="N15" i="41"/>
  <c r="F16" i="41"/>
  <c r="J16" i="41"/>
  <c r="N16" i="41"/>
  <c r="N96" i="41" s="1"/>
  <c r="F17" i="41"/>
  <c r="J17" i="41"/>
  <c r="N17" i="41"/>
  <c r="F18" i="41"/>
  <c r="J18" i="41"/>
  <c r="N18" i="41"/>
  <c r="F19" i="41"/>
  <c r="J19" i="41"/>
  <c r="N19" i="41"/>
  <c r="F20" i="41"/>
  <c r="P20" i="41" s="1"/>
  <c r="J20" i="41"/>
  <c r="N20" i="41"/>
  <c r="F21" i="41"/>
  <c r="P21" i="41" s="1"/>
  <c r="J21" i="41"/>
  <c r="N21" i="41"/>
  <c r="F22" i="41"/>
  <c r="P22" i="41" s="1"/>
  <c r="J22" i="41"/>
  <c r="N22" i="41"/>
  <c r="F24" i="41"/>
  <c r="P24" i="41" s="1"/>
  <c r="J24" i="41"/>
  <c r="N24" i="41"/>
  <c r="F25" i="41"/>
  <c r="J25" i="41"/>
  <c r="N25" i="41"/>
  <c r="F26" i="41"/>
  <c r="J26" i="41"/>
  <c r="N26" i="41"/>
  <c r="F27" i="41"/>
  <c r="J27" i="41"/>
  <c r="N27" i="41"/>
  <c r="F28" i="41"/>
  <c r="J28" i="41"/>
  <c r="N28" i="41"/>
  <c r="F29" i="41"/>
  <c r="P29" i="41" s="1"/>
  <c r="J29" i="41"/>
  <c r="N29" i="41"/>
  <c r="F30" i="41"/>
  <c r="P30" i="41" s="1"/>
  <c r="J30" i="41"/>
  <c r="N30" i="41"/>
  <c r="F31" i="41"/>
  <c r="P31" i="41" s="1"/>
  <c r="J31" i="41"/>
  <c r="N31" i="41"/>
  <c r="F32" i="41"/>
  <c r="P32" i="41" s="1"/>
  <c r="J32" i="41"/>
  <c r="N32" i="41"/>
  <c r="F33" i="41"/>
  <c r="J33" i="41"/>
  <c r="N33" i="41"/>
  <c r="F34" i="41"/>
  <c r="J34" i="41"/>
  <c r="N34" i="41"/>
  <c r="F35" i="41"/>
  <c r="J35" i="41"/>
  <c r="N35" i="41"/>
  <c r="F36" i="41"/>
  <c r="J36" i="41"/>
  <c r="N36" i="41"/>
  <c r="F37" i="41"/>
  <c r="P37" i="41" s="1"/>
  <c r="J37" i="41"/>
  <c r="N37" i="41"/>
  <c r="F38" i="41"/>
  <c r="P38" i="41" s="1"/>
  <c r="J38" i="41"/>
  <c r="N38" i="41"/>
  <c r="F39" i="41"/>
  <c r="P39" i="41" s="1"/>
  <c r="J39" i="41"/>
  <c r="N39" i="41"/>
  <c r="F40" i="41"/>
  <c r="P40" i="41" s="1"/>
  <c r="J40" i="41"/>
  <c r="N40" i="41"/>
  <c r="F41" i="41"/>
  <c r="J41" i="41"/>
  <c r="N41" i="41"/>
  <c r="F42" i="41"/>
  <c r="P42" i="41"/>
  <c r="J42" i="41"/>
  <c r="N42" i="41"/>
  <c r="F43" i="41"/>
  <c r="J43" i="41"/>
  <c r="N43" i="41"/>
  <c r="F44" i="41"/>
  <c r="P44" i="41" s="1"/>
  <c r="J44" i="41"/>
  <c r="N44" i="41"/>
  <c r="F45" i="41"/>
  <c r="J45" i="41"/>
  <c r="N45" i="41"/>
  <c r="F46" i="41"/>
  <c r="J46" i="41"/>
  <c r="N46" i="41"/>
  <c r="F47" i="41"/>
  <c r="P47" i="41" s="1"/>
  <c r="J47" i="41"/>
  <c r="N47" i="41"/>
  <c r="F48" i="41"/>
  <c r="J48" i="41"/>
  <c r="N48" i="41"/>
  <c r="F49" i="41"/>
  <c r="P49" i="41" s="1"/>
  <c r="J49" i="41"/>
  <c r="N49" i="41"/>
  <c r="F50" i="41"/>
  <c r="J50" i="41"/>
  <c r="N50" i="41"/>
  <c r="F51" i="41"/>
  <c r="P51" i="41" s="1"/>
  <c r="J51" i="41"/>
  <c r="N51" i="41"/>
  <c r="F52" i="41"/>
  <c r="P52" i="41"/>
  <c r="J52" i="41"/>
  <c r="N52" i="41"/>
  <c r="F53" i="41"/>
  <c r="J53" i="41"/>
  <c r="N53" i="41"/>
  <c r="F54" i="41"/>
  <c r="J54" i="41"/>
  <c r="N54" i="41"/>
  <c r="P54" i="41" s="1"/>
  <c r="F55" i="41"/>
  <c r="J55" i="41"/>
  <c r="N55" i="41"/>
  <c r="F56" i="41"/>
  <c r="P56" i="41" s="1"/>
  <c r="J56" i="41"/>
  <c r="N56" i="41"/>
  <c r="F57" i="41"/>
  <c r="J57" i="41"/>
  <c r="N57" i="41"/>
  <c r="F58" i="41"/>
  <c r="P58" i="41"/>
  <c r="J58" i="41"/>
  <c r="N58" i="41"/>
  <c r="F59" i="41"/>
  <c r="J59" i="41"/>
  <c r="N59" i="41"/>
  <c r="F60" i="41"/>
  <c r="J60" i="41"/>
  <c r="P60" i="41" s="1"/>
  <c r="N60" i="41"/>
  <c r="F61" i="41"/>
  <c r="J61" i="41"/>
  <c r="N61" i="41"/>
  <c r="F62" i="41"/>
  <c r="J62" i="41"/>
  <c r="N62" i="41"/>
  <c r="F63" i="41"/>
  <c r="P63" i="41" s="1"/>
  <c r="J63" i="41"/>
  <c r="N63" i="41"/>
  <c r="F64" i="41"/>
  <c r="J64" i="41"/>
  <c r="N64" i="41"/>
  <c r="F65" i="41"/>
  <c r="J65" i="41"/>
  <c r="N65" i="41"/>
  <c r="F66" i="41"/>
  <c r="J66" i="41"/>
  <c r="N66" i="41"/>
  <c r="F67" i="41"/>
  <c r="J67" i="41"/>
  <c r="N67" i="41"/>
  <c r="F68" i="41"/>
  <c r="P68" i="41" s="1"/>
  <c r="J68" i="41"/>
  <c r="N68" i="41"/>
  <c r="F69" i="41"/>
  <c r="J69" i="41"/>
  <c r="N69" i="41"/>
  <c r="F70" i="41"/>
  <c r="J70" i="41"/>
  <c r="N70" i="41"/>
  <c r="F71" i="41"/>
  <c r="P71" i="41"/>
  <c r="J71" i="41"/>
  <c r="N71" i="41"/>
  <c r="F72" i="41"/>
  <c r="J72" i="41"/>
  <c r="N72" i="41"/>
  <c r="F73" i="41"/>
  <c r="J73" i="41"/>
  <c r="N73" i="41"/>
  <c r="F74" i="41"/>
  <c r="P74" i="41" s="1"/>
  <c r="J74" i="41"/>
  <c r="N74" i="41"/>
  <c r="F75" i="41"/>
  <c r="J75" i="41"/>
  <c r="N75" i="41"/>
  <c r="F76" i="41"/>
  <c r="J76" i="41"/>
  <c r="N76" i="41"/>
  <c r="F77" i="41"/>
  <c r="J77" i="41"/>
  <c r="N77" i="41"/>
  <c r="F78" i="41"/>
  <c r="J78" i="41"/>
  <c r="P78" i="41" s="1"/>
  <c r="N78" i="41"/>
  <c r="F79" i="41"/>
  <c r="P79" i="41"/>
  <c r="J79" i="41"/>
  <c r="N79" i="41"/>
  <c r="F80" i="41"/>
  <c r="J80" i="41"/>
  <c r="N80" i="41"/>
  <c r="P80" i="41" s="1"/>
  <c r="F81" i="41"/>
  <c r="J81" i="41"/>
  <c r="N81" i="41"/>
  <c r="P81" i="41" s="1"/>
  <c r="F82" i="41"/>
  <c r="P82" i="41"/>
  <c r="J82" i="41"/>
  <c r="N82" i="41"/>
  <c r="F83" i="41"/>
  <c r="J83" i="41"/>
  <c r="N83" i="41"/>
  <c r="F84" i="41"/>
  <c r="P84" i="41" s="1"/>
  <c r="J84" i="41"/>
  <c r="N84" i="41"/>
  <c r="F85" i="41"/>
  <c r="J85" i="41"/>
  <c r="N85" i="41"/>
  <c r="F86" i="41"/>
  <c r="J86" i="41"/>
  <c r="P86" i="41" s="1"/>
  <c r="N86" i="41"/>
  <c r="F87" i="41"/>
  <c r="P87" i="41" s="1"/>
  <c r="J87" i="41"/>
  <c r="N87" i="41"/>
  <c r="F88" i="41"/>
  <c r="J88" i="41"/>
  <c r="N88" i="41"/>
  <c r="F89" i="41"/>
  <c r="P89" i="41" s="1"/>
  <c r="J89" i="41"/>
  <c r="N89" i="41"/>
  <c r="F90" i="41"/>
  <c r="P90" i="41"/>
  <c r="J90" i="41"/>
  <c r="N90" i="41"/>
  <c r="F91" i="41"/>
  <c r="J91" i="41"/>
  <c r="P91" i="41" s="1"/>
  <c r="N91" i="41"/>
  <c r="F92" i="41"/>
  <c r="P92" i="41" s="1"/>
  <c r="J92" i="41"/>
  <c r="N92" i="41"/>
  <c r="F93" i="41"/>
  <c r="J93" i="41"/>
  <c r="P93" i="41" s="1"/>
  <c r="N93" i="41"/>
  <c r="F94" i="41"/>
  <c r="P94" i="41" s="1"/>
  <c r="J94" i="41"/>
  <c r="N94" i="41"/>
  <c r="F95" i="41"/>
  <c r="J95" i="41"/>
  <c r="N95" i="41"/>
  <c r="C96" i="41"/>
  <c r="D96" i="41"/>
  <c r="E96" i="41"/>
  <c r="G96" i="41"/>
  <c r="H96" i="41"/>
  <c r="I96" i="41"/>
  <c r="K96" i="41"/>
  <c r="L96" i="41"/>
  <c r="M96" i="41"/>
  <c r="O96" i="41"/>
  <c r="DC23" i="3"/>
  <c r="EA54" i="3"/>
  <c r="DI85" i="3"/>
  <c r="F5" i="33"/>
  <c r="F6" i="33"/>
  <c r="F7" i="33"/>
  <c r="F8" i="33"/>
  <c r="F9" i="33"/>
  <c r="F10" i="33"/>
  <c r="F11" i="33"/>
  <c r="F12" i="33"/>
  <c r="F13" i="33"/>
  <c r="F14" i="33"/>
  <c r="F15" i="33"/>
  <c r="F16" i="33"/>
  <c r="F17" i="33"/>
  <c r="F18" i="33"/>
  <c r="F19" i="33"/>
  <c r="F20" i="33"/>
  <c r="F21" i="33"/>
  <c r="F22" i="33"/>
  <c r="F23" i="33"/>
  <c r="F24" i="33"/>
  <c r="F25" i="33"/>
  <c r="F26" i="33"/>
  <c r="F27" i="33"/>
  <c r="F28" i="33"/>
  <c r="F29" i="33"/>
  <c r="F30" i="33"/>
  <c r="F31" i="33"/>
  <c r="F32" i="33"/>
  <c r="F33" i="33"/>
  <c r="F34" i="33"/>
  <c r="F35" i="33"/>
  <c r="F36" i="33"/>
  <c r="F37" i="33"/>
  <c r="F38" i="33"/>
  <c r="F39" i="33"/>
  <c r="F40" i="33"/>
  <c r="F41" i="33"/>
  <c r="F42" i="33"/>
  <c r="F43" i="33"/>
  <c r="F44" i="33"/>
  <c r="F45" i="33"/>
  <c r="F46" i="33"/>
  <c r="F47" i="33"/>
  <c r="F48" i="33"/>
  <c r="F49" i="33"/>
  <c r="F50" i="33"/>
  <c r="F51" i="33"/>
  <c r="F52" i="33"/>
  <c r="F53" i="33"/>
  <c r="F54" i="33"/>
  <c r="F55" i="33"/>
  <c r="F56" i="33"/>
  <c r="F57" i="33"/>
  <c r="F58" i="33"/>
  <c r="F59" i="33"/>
  <c r="F60" i="33"/>
  <c r="F61" i="33"/>
  <c r="F62" i="33"/>
  <c r="F63" i="33"/>
  <c r="F64" i="33"/>
  <c r="F65" i="33"/>
  <c r="F66" i="33"/>
  <c r="F67" i="33"/>
  <c r="F68" i="33"/>
  <c r="F69" i="33"/>
  <c r="F70" i="33"/>
  <c r="F71" i="33"/>
  <c r="F72" i="33"/>
  <c r="F73" i="33"/>
  <c r="F74" i="33"/>
  <c r="F75" i="33"/>
  <c r="F76" i="33"/>
  <c r="F77" i="33"/>
  <c r="F78" i="33"/>
  <c r="F79" i="33"/>
  <c r="F80" i="33"/>
  <c r="F81" i="33"/>
  <c r="F82" i="33"/>
  <c r="F83" i="33"/>
  <c r="F84" i="33"/>
  <c r="F85" i="33"/>
  <c r="F86" i="33"/>
  <c r="F87" i="33"/>
  <c r="F88" i="33"/>
  <c r="F89" i="33"/>
  <c r="F90" i="33"/>
  <c r="F91" i="33"/>
  <c r="F92" i="33"/>
  <c r="F93" i="33"/>
  <c r="F94" i="33"/>
  <c r="F95" i="33"/>
  <c r="F96" i="33"/>
  <c r="F97" i="33"/>
  <c r="F98" i="33"/>
  <c r="F99" i="33"/>
  <c r="F100" i="33"/>
  <c r="F101" i="33"/>
  <c r="F102" i="33"/>
  <c r="F103" i="33"/>
  <c r="F104" i="33"/>
  <c r="C108" i="33"/>
  <c r="D108" i="33"/>
  <c r="E108" i="33"/>
  <c r="G108" i="33"/>
  <c r="H108" i="33"/>
  <c r="I108" i="33"/>
  <c r="J108" i="33"/>
  <c r="K108" i="33"/>
  <c r="L108" i="33"/>
  <c r="M108" i="33"/>
  <c r="N108" i="33"/>
  <c r="O108" i="33"/>
  <c r="P108" i="33"/>
  <c r="Q108" i="33"/>
  <c r="R108" i="33"/>
  <c r="S108" i="33"/>
  <c r="T108" i="33"/>
  <c r="U108" i="33"/>
  <c r="V108" i="33"/>
  <c r="W108" i="33"/>
  <c r="X108" i="33"/>
  <c r="Y108" i="33"/>
  <c r="Z108" i="33"/>
  <c r="AA108" i="33"/>
  <c r="AB108" i="33"/>
  <c r="AC108" i="33"/>
  <c r="AD108" i="33"/>
  <c r="AE108" i="33"/>
  <c r="AF108" i="33"/>
  <c r="AG108" i="33"/>
  <c r="AH108" i="33"/>
  <c r="AI108" i="33"/>
  <c r="AJ108" i="33"/>
  <c r="AK108" i="33"/>
  <c r="AL108" i="33"/>
  <c r="AM108" i="33"/>
  <c r="AN108" i="33"/>
  <c r="AO108" i="33"/>
  <c r="AP108" i="33"/>
  <c r="AQ108" i="33"/>
  <c r="AR108" i="33"/>
  <c r="AS108" i="33"/>
  <c r="AT108" i="33"/>
  <c r="AU108" i="33"/>
  <c r="AV108" i="33"/>
  <c r="AW108" i="33"/>
  <c r="AX108" i="33"/>
  <c r="CY10" i="3"/>
  <c r="DG13" i="3"/>
  <c r="DN14" i="3"/>
  <c r="CB17" i="3"/>
  <c r="DC17" i="3"/>
  <c r="DG18" i="3"/>
  <c r="DX21" i="3"/>
  <c r="DJ26" i="3"/>
  <c r="CY28" i="3"/>
  <c r="CP32" i="3"/>
  <c r="CL33" i="3"/>
  <c r="EA33" i="3"/>
  <c r="DG35" i="3"/>
  <c r="CQ40" i="3"/>
  <c r="CY46" i="3"/>
  <c r="DN46" i="3"/>
  <c r="BV48" i="3"/>
  <c r="CE48" i="3"/>
  <c r="CT48" i="3"/>
  <c r="DS49" i="3"/>
  <c r="DX49" i="3"/>
  <c r="DQ51" i="3"/>
  <c r="DN52" i="3"/>
  <c r="CP53" i="3"/>
  <c r="EA55" i="3"/>
  <c r="DG57" i="3"/>
  <c r="DN57" i="3"/>
  <c r="DI57" i="3"/>
  <c r="CP59" i="3"/>
  <c r="DD59" i="3"/>
  <c r="CD62" i="3"/>
  <c r="CQ63" i="3"/>
  <c r="DJ63" i="3"/>
  <c r="DQ64" i="3"/>
  <c r="CI65" i="3"/>
  <c r="DX67" i="3"/>
  <c r="CE70" i="3"/>
  <c r="DX71" i="3"/>
  <c r="DQ73" i="3"/>
  <c r="EA74" i="3"/>
  <c r="DF75" i="3"/>
  <c r="CI76" i="3"/>
  <c r="EA76" i="3"/>
  <c r="DA78" i="3"/>
  <c r="DJ78" i="3"/>
  <c r="S81" i="3"/>
  <c r="S99" i="3" s="1"/>
  <c r="X81" i="3"/>
  <c r="X99" i="3" s="1"/>
  <c r="AB81" i="3"/>
  <c r="AB99" i="3" s="1"/>
  <c r="AE81" i="3"/>
  <c r="AE99" i="3" s="1"/>
  <c r="AI81" i="3"/>
  <c r="AI99" i="3" s="1"/>
  <c r="AJ81" i="3"/>
  <c r="AJ99" i="3" s="1"/>
  <c r="AK81" i="3"/>
  <c r="AK99" i="3" s="1"/>
  <c r="AN81" i="3"/>
  <c r="AN99" i="3" s="1"/>
  <c r="AP81" i="3"/>
  <c r="AP99" i="3" s="1"/>
  <c r="AQ81" i="3"/>
  <c r="AQ99" i="3" s="1"/>
  <c r="AS81" i="3"/>
  <c r="AS99" i="3" s="1"/>
  <c r="AW81" i="3"/>
  <c r="AW99" i="3" s="1"/>
  <c r="AX81" i="3"/>
  <c r="AX99" i="3" s="1"/>
  <c r="AY81" i="3"/>
  <c r="AY99" i="3" s="1"/>
  <c r="AZ81" i="3"/>
  <c r="AZ99" i="3" s="1"/>
  <c r="BA81" i="3"/>
  <c r="BA99" i="3" s="1"/>
  <c r="BB81" i="3"/>
  <c r="BB99" i="3" s="1"/>
  <c r="BF81" i="3"/>
  <c r="BF99" i="3" s="1"/>
  <c r="BH81" i="3"/>
  <c r="BH99" i="3" s="1"/>
  <c r="DG84" i="3"/>
  <c r="DD86" i="3"/>
  <c r="DU86" i="3"/>
  <c r="DX86" i="3"/>
  <c r="CI91" i="3"/>
  <c r="DP94" i="3"/>
  <c r="BF95" i="3"/>
  <c r="DQ94" i="3"/>
  <c r="BJ99" i="3"/>
  <c r="C2" i="14"/>
  <c r="DP83" i="3"/>
  <c r="DS83" i="3"/>
  <c r="DX76" i="3"/>
  <c r="EA94" i="3"/>
  <c r="DX84" i="3"/>
  <c r="DX66" i="3"/>
  <c r="CY76" i="3"/>
  <c r="CY64" i="3"/>
  <c r="DG64" i="3"/>
  <c r="DC75" i="3"/>
  <c r="DC67" i="3"/>
  <c r="DX73" i="3"/>
  <c r="CL71" i="3"/>
  <c r="DQ55" i="3"/>
  <c r="DJ55" i="3"/>
  <c r="DS55" i="3"/>
  <c r="BL54" i="3"/>
  <c r="DP55" i="3"/>
  <c r="DX45" i="3"/>
  <c r="EA45" i="3"/>
  <c r="DX65" i="3"/>
  <c r="CM62" i="3"/>
  <c r="DX57" i="3"/>
  <c r="DS62" i="3"/>
  <c r="DX52" i="3"/>
  <c r="CY60" i="3"/>
  <c r="CQ60" i="3"/>
  <c r="DG56" i="3"/>
  <c r="CY56" i="3"/>
  <c r="CQ52" i="3"/>
  <c r="DC45" i="3"/>
  <c r="CY42" i="3"/>
  <c r="DC53" i="3"/>
  <c r="CY50" i="3"/>
  <c r="DS63" i="3"/>
  <c r="CI48" i="3"/>
  <c r="CQ48" i="3"/>
  <c r="EA41" i="3"/>
  <c r="CP45" i="3"/>
  <c r="DF45" i="3"/>
  <c r="DX38" i="3"/>
  <c r="DG25" i="3"/>
  <c r="CI7" i="3"/>
  <c r="CQ7" i="3"/>
  <c r="DQ7" i="3"/>
  <c r="DJ7" i="3"/>
  <c r="EA30" i="3"/>
  <c r="CQ41" i="3"/>
  <c r="DJ35" i="3"/>
  <c r="CT33" i="3"/>
  <c r="EA32" i="3"/>
  <c r="DU29" i="3"/>
  <c r="DM29" i="3"/>
  <c r="CQ23" i="3"/>
  <c r="DF39" i="3"/>
  <c r="CL35" i="3"/>
  <c r="DP11" i="3"/>
  <c r="CL11" i="3"/>
  <c r="DS11" i="3"/>
  <c r="DM11" i="3"/>
  <c r="DU11" i="3"/>
  <c r="DG34" i="3"/>
  <c r="CY34" i="3"/>
  <c r="DP30" i="3"/>
  <c r="CL30" i="3"/>
  <c r="CT29" i="3"/>
  <c r="CE34" i="3"/>
  <c r="CT32" i="3"/>
  <c r="DI8" i="3"/>
  <c r="G81" i="14" s="1"/>
  <c r="DS26" i="3"/>
  <c r="DM18" i="3"/>
  <c r="BT18" i="3"/>
  <c r="DP18" i="3"/>
  <c r="CD18" i="3"/>
  <c r="CL18" i="3"/>
  <c r="CT18" i="3"/>
  <c r="DS18" i="3"/>
  <c r="DX23" i="3"/>
  <c r="EA21" i="3"/>
  <c r="DQ21" i="3"/>
  <c r="EA17" i="3"/>
  <c r="EA14" i="3"/>
  <c r="EA10" i="3"/>
  <c r="DJ16" i="3"/>
  <c r="DJ12" i="3"/>
  <c r="CT12" i="3"/>
  <c r="CL12" i="3"/>
  <c r="DD28" i="3"/>
  <c r="DN28" i="3"/>
  <c r="DX28" i="3"/>
  <c r="DJ28" i="3"/>
  <c r="DG20" i="3"/>
  <c r="DX20" i="3"/>
  <c r="CI20" i="3"/>
  <c r="DD13" i="3"/>
  <c r="DX13" i="3"/>
  <c r="CY13" i="3"/>
  <c r="CI13" i="3"/>
  <c r="CM15" i="3"/>
  <c r="DX15" i="3"/>
  <c r="CM31" i="3"/>
  <c r="DX31" i="3"/>
  <c r="DX24" i="3"/>
  <c r="CY26" i="3"/>
  <c r="CI26" i="3"/>
  <c r="DG26" i="3"/>
  <c r="DD26" i="3"/>
  <c r="DQ26" i="3"/>
  <c r="DQ18" i="3"/>
  <c r="DJ18" i="3"/>
  <c r="CY18" i="3"/>
  <c r="CQ18" i="3"/>
  <c r="DQ13" i="3"/>
  <c r="DN55" i="3"/>
  <c r="DQ35" i="3"/>
  <c r="CI35" i="3"/>
  <c r="DQ27" i="3"/>
  <c r="DJ83" i="3"/>
  <c r="DX30" i="3"/>
  <c r="DG27" i="3"/>
  <c r="DQ4" i="3"/>
  <c r="DJ13" i="3"/>
  <c r="DN30" i="3"/>
  <c r="DG28" i="3"/>
  <c r="DN38" i="3"/>
  <c r="DX32" i="3"/>
  <c r="CQ32" i="3"/>
  <c r="DN21" i="3"/>
  <c r="DJ20" i="3"/>
  <c r="DN18" i="3"/>
  <c r="CI27" i="3"/>
  <c r="DJ32" i="3"/>
  <c r="DM71" i="3"/>
  <c r="EA89" i="3"/>
  <c r="DA76" i="3"/>
  <c r="DC59" i="3"/>
  <c r="CP55" i="3"/>
  <c r="DX51" i="3"/>
  <c r="CD78" i="3"/>
  <c r="DU71" i="3"/>
  <c r="DJ70" i="3"/>
  <c r="DM63" i="3"/>
  <c r="CI49" i="3"/>
  <c r="CI41" i="3"/>
  <c r="DJ41" i="3"/>
  <c r="DX17" i="3"/>
  <c r="DX10" i="3"/>
  <c r="DX34" i="3"/>
  <c r="CL80" i="3"/>
  <c r="CL81" i="3" s="1"/>
  <c r="DS72" i="3"/>
  <c r="DD66" i="3"/>
  <c r="DG51" i="3"/>
  <c r="DN17" i="3"/>
  <c r="EA78" i="3"/>
  <c r="DX53" i="3"/>
  <c r="DD52" i="3"/>
  <c r="DD84" i="3"/>
  <c r="DM74" i="3"/>
  <c r="CP62" i="3"/>
  <c r="DN25" i="3"/>
  <c r="DQ10" i="3"/>
  <c r="DG10" i="3"/>
  <c r="CE10" i="3"/>
  <c r="DJ10" i="3"/>
  <c r="DQ41" i="3"/>
  <c r="DM41" i="3"/>
  <c r="DG40" i="3"/>
  <c r="DD21" i="3"/>
  <c r="DN16" i="3"/>
  <c r="BV33" i="3"/>
  <c r="CI30" i="3"/>
  <c r="CI23" i="3"/>
  <c r="DP17" i="3"/>
  <c r="DN15" i="3"/>
  <c r="CI12" i="3"/>
  <c r="DQ12" i="3"/>
  <c r="DJ36" i="3"/>
  <c r="EA27" i="3"/>
  <c r="DP21" i="3"/>
  <c r="CM16" i="3"/>
  <c r="DS29" i="3"/>
  <c r="CM27" i="3"/>
  <c r="CI16" i="3"/>
  <c r="BN10" i="3"/>
  <c r="CM37" i="3"/>
  <c r="DS27" i="3"/>
  <c r="DM27" i="3"/>
  <c r="CL27" i="3"/>
  <c r="BR17" i="3"/>
  <c r="DS12" i="3"/>
  <c r="DC10" i="3"/>
  <c r="DN4" i="3"/>
  <c r="DS21" i="3"/>
  <c r="DM21" i="3"/>
  <c r="CL21" i="3"/>
  <c r="DM14" i="3"/>
  <c r="DN10" i="3"/>
  <c r="DM12" i="3"/>
  <c r="CL62" i="3"/>
  <c r="DS33" i="3"/>
  <c r="DJ33" i="3"/>
  <c r="DM33" i="3"/>
  <c r="CY17" i="3"/>
  <c r="DA17" i="3"/>
  <c r="CQ10" i="3"/>
  <c r="CT10" i="3"/>
  <c r="AX8" i="3"/>
  <c r="CM48" i="3"/>
  <c r="DP75" i="3"/>
  <c r="CY4" i="3"/>
  <c r="DF82" i="3"/>
  <c r="DS41" i="3"/>
  <c r="AW8" i="3"/>
  <c r="AO8" i="3"/>
  <c r="DM47" i="3"/>
  <c r="DI27" i="3"/>
  <c r="DP16" i="3"/>
  <c r="DP10" i="3"/>
  <c r="CB55" i="3"/>
  <c r="DX74" i="3"/>
  <c r="DM89" i="3"/>
  <c r="CL89" i="3"/>
  <c r="CI83" i="3"/>
  <c r="DF86" i="3"/>
  <c r="CM82" i="3"/>
  <c r="CP82" i="3"/>
  <c r="CE89" i="3"/>
  <c r="DM83" i="3"/>
  <c r="DD73" i="3"/>
  <c r="DI72" i="3"/>
  <c r="CM65" i="3"/>
  <c r="DM78" i="3"/>
  <c r="DC78" i="3"/>
  <c r="DM72" i="3"/>
  <c r="CI70" i="3"/>
  <c r="CM57" i="3"/>
  <c r="DD45" i="3"/>
  <c r="CY38" i="3"/>
  <c r="CM40" i="3"/>
  <c r="DN39" i="3"/>
  <c r="CI51" i="3"/>
  <c r="CY40" i="3"/>
  <c r="CE40" i="3"/>
  <c r="CM35" i="3"/>
  <c r="DP48" i="3"/>
  <c r="DN40" i="3"/>
  <c r="DA33" i="3"/>
  <c r="DM32" i="3"/>
  <c r="DS30" i="3"/>
  <c r="DD20" i="3"/>
  <c r="DS32" i="3"/>
  <c r="CE32" i="3"/>
  <c r="CT41" i="3"/>
  <c r="DQ32" i="3"/>
  <c r="DC30" i="3"/>
  <c r="DQ36" i="3"/>
  <c r="BP24" i="3"/>
  <c r="DC21" i="3"/>
  <c r="CY12" i="3"/>
  <c r="DA12" i="3"/>
  <c r="CP12" i="3"/>
  <c r="CM12" i="3"/>
  <c r="CM17" i="3"/>
  <c r="CP17" i="3"/>
  <c r="DS17" i="3"/>
  <c r="DQ17" i="3"/>
  <c r="DJ17" i="3"/>
  <c r="DQ16" i="3"/>
  <c r="CL16" i="3"/>
  <c r="DP14" i="3"/>
  <c r="CM10" i="3"/>
  <c r="BV10" i="3"/>
  <c r="AN8" i="3"/>
  <c r="DS14" i="3"/>
  <c r="DJ14" i="3"/>
  <c r="CH11" i="3"/>
  <c r="DU12" i="3"/>
  <c r="DD36" i="3"/>
  <c r="DF36" i="3"/>
  <c r="CP27" i="3"/>
  <c r="CH12" i="3"/>
  <c r="DG12" i="3"/>
  <c r="DI12" i="3"/>
  <c r="DG42" i="3"/>
  <c r="CE42" i="3"/>
  <c r="DN86" i="3"/>
  <c r="DP86" i="3"/>
  <c r="CT45" i="3"/>
  <c r="DD38" i="3"/>
  <c r="CM70" i="3"/>
  <c r="CM55" i="3"/>
  <c r="CM7" i="3"/>
  <c r="DN66" i="3"/>
  <c r="CD83" i="3"/>
  <c r="DP82" i="3"/>
  <c r="CL49" i="3"/>
  <c r="AY102" i="3"/>
  <c r="CH10" i="3"/>
  <c r="AQ102" i="3"/>
  <c r="CH26" i="3"/>
  <c r="AI102" i="3"/>
  <c r="AI95" i="3"/>
  <c r="DD94" i="3"/>
  <c r="DF94" i="3"/>
  <c r="BP91" i="3"/>
  <c r="CY20" i="3"/>
  <c r="DM91" i="3"/>
  <c r="DQ48" i="3"/>
  <c r="DS48" i="3"/>
  <c r="DA41" i="3"/>
  <c r="CY41" i="3"/>
  <c r="DC29" i="3"/>
  <c r="AU97" i="3"/>
  <c r="W97" i="3"/>
  <c r="CY91" i="3"/>
  <c r="CL86" i="3"/>
  <c r="AB102" i="3"/>
  <c r="AB95" i="3"/>
  <c r="AA102" i="3"/>
  <c r="CL74" i="3"/>
  <c r="AR95" i="3"/>
  <c r="DJ48" i="3"/>
  <c r="DF16" i="3"/>
  <c r="DD43" i="3"/>
  <c r="CI43" i="3"/>
  <c r="DQ43" i="3"/>
  <c r="DG43" i="3"/>
  <c r="DJ43" i="3"/>
  <c r="DX43" i="3"/>
  <c r="CE43" i="3"/>
  <c r="EA87" i="3"/>
  <c r="DC87" i="3"/>
  <c r="DP87" i="3"/>
  <c r="DF87" i="3"/>
  <c r="CY63" i="3"/>
  <c r="CI63" i="3"/>
  <c r="BV68" i="3"/>
  <c r="BT48" i="3"/>
  <c r="CB48" i="3"/>
  <c r="DM48" i="3"/>
  <c r="CH48" i="3"/>
  <c r="CL48" i="3"/>
  <c r="DU20" i="3"/>
  <c r="EA63" i="3"/>
  <c r="DX82" i="3"/>
  <c r="EA82" i="3"/>
  <c r="CP48" i="3"/>
  <c r="DM70" i="3"/>
  <c r="DS43" i="3"/>
  <c r="DX46" i="3"/>
  <c r="CL82" i="3"/>
  <c r="EA47" i="3"/>
  <c r="CT82" i="3"/>
  <c r="CD86" i="3"/>
  <c r="DX75" i="3"/>
  <c r="BI81" i="3"/>
  <c r="BI99" i="3" s="1"/>
  <c r="DD87" i="3"/>
  <c r="DS89" i="3"/>
  <c r="DC86" i="3"/>
  <c r="DC74" i="3"/>
  <c r="DF74" i="3"/>
  <c r="DS74" i="3"/>
  <c r="CI40" i="3"/>
  <c r="DJ40" i="3"/>
  <c r="CD17" i="3"/>
  <c r="DM17" i="3"/>
  <c r="DX14" i="3"/>
  <c r="DD14" i="3"/>
  <c r="CI14" i="3"/>
  <c r="DQ14" i="3"/>
  <c r="DP33" i="3"/>
  <c r="CH17" i="3"/>
  <c r="CD11" i="3"/>
  <c r="DS10" i="3"/>
  <c r="DA10" i="3"/>
  <c r="DN83" i="3"/>
  <c r="CD74" i="3"/>
  <c r="CL70" i="3"/>
  <c r="CD26" i="3"/>
  <c r="DJ21" i="3"/>
  <c r="DM19" i="3"/>
  <c r="CD10" i="3"/>
  <c r="DA83" i="3"/>
  <c r="CY62" i="3"/>
  <c r="DJ57" i="3"/>
  <c r="EA53" i="3"/>
  <c r="CL41" i="3"/>
  <c r="DQ40" i="3"/>
  <c r="DI33" i="3"/>
  <c r="DU32" i="3"/>
  <c r="DU26" i="3"/>
  <c r="DI26" i="3"/>
  <c r="CI21" i="3"/>
  <c r="BT21" i="3"/>
  <c r="EA19" i="3"/>
  <c r="BT10" i="3"/>
  <c r="DG4" i="3"/>
  <c r="BV78" i="3"/>
  <c r="EA71" i="3"/>
  <c r="CL63" i="3"/>
  <c r="DJ62" i="3"/>
  <c r="DG50" i="3"/>
  <c r="CE25" i="3"/>
  <c r="DF21" i="3"/>
  <c r="CL19" i="3"/>
  <c r="DD16" i="3"/>
  <c r="EA12" i="3"/>
  <c r="DI91" i="3"/>
  <c r="DQ71" i="3"/>
  <c r="DD67" i="3"/>
  <c r="CB14" i="3"/>
  <c r="CH27" i="3"/>
  <c r="DF14" i="3"/>
  <c r="BZ12" i="3"/>
  <c r="AT102" i="3"/>
  <c r="BT41" i="3"/>
  <c r="AY95" i="3"/>
  <c r="DN93" i="3"/>
  <c r="AV97" i="3"/>
  <c r="CE15" i="3"/>
  <c r="DU37" i="3"/>
  <c r="CP37" i="3"/>
  <c r="DC37" i="3"/>
  <c r="DP37" i="3"/>
  <c r="CD37" i="3"/>
  <c r="EA37" i="3"/>
  <c r="DF69" i="3"/>
  <c r="DP69" i="3"/>
  <c r="DS69" i="3"/>
  <c r="CB90" i="3"/>
  <c r="EA90" i="3"/>
  <c r="DP90" i="3"/>
  <c r="DC90" i="3"/>
  <c r="DF90" i="3"/>
  <c r="BH92" i="3"/>
  <c r="DS90" i="3"/>
  <c r="CL23" i="3"/>
  <c r="DX77" i="3"/>
  <c r="DX18" i="3"/>
  <c r="DA91" i="3"/>
  <c r="DA32" i="3"/>
  <c r="CH32" i="3"/>
  <c r="CL32" i="3"/>
  <c r="BT32" i="3"/>
  <c r="DC32" i="3"/>
  <c r="BT85" i="3"/>
  <c r="CB36" i="3"/>
  <c r="DX4" i="3"/>
  <c r="CH70" i="3"/>
  <c r="DI70" i="3"/>
  <c r="CP70" i="3"/>
  <c r="DS70" i="3"/>
  <c r="DP70" i="3"/>
  <c r="BT16" i="3"/>
  <c r="DS16" i="3"/>
  <c r="P73" i="41"/>
  <c r="P65" i="41"/>
  <c r="P57" i="41"/>
  <c r="P5" i="41"/>
  <c r="BZ64" i="3"/>
  <c r="CT36" i="3"/>
  <c r="BR23" i="3"/>
  <c r="CT19" i="3"/>
  <c r="CH19" i="3"/>
  <c r="DI19" i="3"/>
  <c r="DM40" i="3"/>
  <c r="BT40" i="3"/>
  <c r="DA40" i="3"/>
  <c r="DP40" i="3"/>
  <c r="DS40" i="3"/>
  <c r="DM36" i="3"/>
  <c r="EA11" i="3"/>
  <c r="BH101" i="3"/>
  <c r="DA89" i="3"/>
  <c r="DI89" i="3"/>
  <c r="CT89" i="3"/>
  <c r="DC89" i="3"/>
  <c r="F108" i="33"/>
  <c r="EA15" i="3"/>
  <c r="CD15" i="3"/>
  <c r="CL40" i="3"/>
  <c r="EA26" i="3"/>
  <c r="DS36" i="3"/>
  <c r="CH40" i="3"/>
  <c r="DP89" i="3"/>
  <c r="EA72" i="3"/>
  <c r="DS24" i="3"/>
  <c r="CT24" i="3"/>
  <c r="BN23" i="3"/>
  <c r="CB23" i="3"/>
  <c r="CH74" i="3"/>
  <c r="EA59" i="3"/>
  <c r="BX82" i="3"/>
  <c r="DC82" i="3"/>
  <c r="DF13" i="3"/>
  <c r="CP77" i="3"/>
  <c r="BT68" i="3"/>
  <c r="P70" i="41"/>
  <c r="P62" i="41"/>
  <c r="P46" i="41"/>
  <c r="P43" i="41"/>
  <c r="N7" i="41"/>
  <c r="EA61" i="3"/>
  <c r="BT86" i="3"/>
  <c r="DS68" i="3"/>
  <c r="CB4" i="3"/>
  <c r="P83" i="41"/>
  <c r="P75" i="41"/>
  <c r="P67" i="41"/>
  <c r="P59" i="41"/>
  <c r="K96" i="14"/>
  <c r="CE86" i="3"/>
  <c r="CH57" i="3"/>
  <c r="EA75" i="3"/>
  <c r="CT75" i="3"/>
  <c r="CD49" i="3"/>
  <c r="P88" i="41"/>
  <c r="P72" i="41"/>
  <c r="P64" i="41"/>
  <c r="P48" i="41"/>
  <c r="P45" i="41"/>
  <c r="P4" i="41"/>
  <c r="EA67" i="3"/>
  <c r="DU67" i="3"/>
  <c r="DU62" i="3"/>
  <c r="DP62" i="3"/>
  <c r="DM57" i="3"/>
  <c r="CD45" i="3"/>
  <c r="BH97" i="3"/>
  <c r="P85" i="41"/>
  <c r="P69" i="41"/>
  <c r="P61" i="41"/>
  <c r="P53" i="41"/>
  <c r="CT71" i="3"/>
  <c r="DS71" i="3"/>
  <c r="DA63" i="3"/>
  <c r="DM55" i="3"/>
  <c r="BN41" i="3"/>
  <c r="CP16" i="3"/>
  <c r="CT77" i="3"/>
  <c r="DP61" i="3"/>
  <c r="DP54" i="3"/>
  <c r="DP47" i="3"/>
  <c r="DP39" i="3"/>
  <c r="DC54" i="3"/>
  <c r="DC47" i="3"/>
  <c r="DC39" i="3"/>
  <c r="DC24" i="3"/>
  <c r="DU75" i="3"/>
  <c r="BR15" i="3"/>
  <c r="CD77" i="3"/>
  <c r="CD69" i="3"/>
  <c r="CD61" i="3"/>
  <c r="CD54" i="3"/>
  <c r="CD24" i="3"/>
  <c r="DC16" i="3"/>
  <c r="DF61" i="3"/>
  <c r="DF54" i="3"/>
  <c r="DF47" i="3"/>
  <c r="BR74" i="3"/>
  <c r="BR36" i="3"/>
  <c r="BX47" i="3"/>
  <c r="BX24" i="3"/>
  <c r="DF30" i="3"/>
  <c r="DF23" i="3"/>
  <c r="BV75" i="3"/>
  <c r="BV59" i="3"/>
  <c r="BV53" i="3"/>
  <c r="BV45" i="3"/>
  <c r="DI54" i="3"/>
  <c r="CH75" i="3"/>
  <c r="CH37" i="3"/>
  <c r="CH22" i="3"/>
  <c r="DM69" i="3"/>
  <c r="DM61" i="3"/>
  <c r="DM39" i="3"/>
  <c r="DM24" i="3"/>
  <c r="DA47" i="3"/>
  <c r="DI75" i="3"/>
  <c r="DI45" i="3"/>
  <c r="DI37" i="3"/>
  <c r="BC9" i="3"/>
  <c r="BE9" i="3" s="1"/>
  <c r="AS97" i="3"/>
  <c r="DJ24" i="3"/>
  <c r="DM77" i="3"/>
  <c r="DI53" i="3"/>
  <c r="DG77" i="3"/>
  <c r="DG37" i="3"/>
  <c r="DA77" i="3"/>
  <c r="CT53" i="3"/>
  <c r="CT67" i="3"/>
  <c r="CP30" i="3"/>
  <c r="CP23" i="3"/>
  <c r="CH15" i="3"/>
  <c r="BX80" i="3"/>
  <c r="BX81" i="3" s="1"/>
  <c r="BL84" i="3"/>
  <c r="DU84" i="3"/>
  <c r="DP68" i="3"/>
  <c r="DQ63" i="3"/>
  <c r="DA57" i="3"/>
  <c r="CT74" i="3"/>
  <c r="DJ71" i="3"/>
  <c r="DC73" i="3"/>
  <c r="DJ80" i="3"/>
  <c r="DJ81" i="3" s="1"/>
  <c r="BX68" i="3"/>
  <c r="DN63" i="3"/>
  <c r="CT87" i="3"/>
  <c r="CQ68" i="3"/>
  <c r="DD82" i="3"/>
  <c r="BV76" i="3"/>
  <c r="CP33" i="3"/>
  <c r="DD90" i="3"/>
  <c r="CH89" i="3"/>
  <c r="CM68" i="3"/>
  <c r="CQ71" i="3"/>
  <c r="CE55" i="3"/>
  <c r="CH55" i="3"/>
  <c r="CY49" i="3"/>
  <c r="BT76" i="3"/>
  <c r="DM84" i="3"/>
  <c r="CE62" i="3"/>
  <c r="CI80" i="3"/>
  <c r="CI81" i="3" s="1"/>
  <c r="CT80" i="3"/>
  <c r="CT81" i="3" s="1"/>
  <c r="DF59" i="3"/>
  <c r="BL80" i="3"/>
  <c r="BL81" i="3" s="1"/>
  <c r="DN71" i="3"/>
  <c r="CB76" i="3"/>
  <c r="DQ65" i="3"/>
  <c r="CI73" i="3"/>
  <c r="CM91" i="3"/>
  <c r="CP76" i="3"/>
  <c r="CM63" i="3"/>
  <c r="BV65" i="3"/>
  <c r="DM80" i="3"/>
  <c r="DM81" i="3" s="1"/>
  <c r="DJ84" i="3"/>
  <c r="DC80" i="3"/>
  <c r="DC81" i="3" s="1"/>
  <c r="DQ49" i="3"/>
  <c r="DJ73" i="3"/>
  <c r="CT84" i="3"/>
  <c r="DX63" i="3"/>
  <c r="CP68" i="3"/>
  <c r="CH84" i="3"/>
  <c r="DC76" i="3"/>
  <c r="CB65" i="3"/>
  <c r="DU87" i="3"/>
  <c r="DF80" i="3"/>
  <c r="DF81" i="3" s="1"/>
  <c r="DN60" i="3"/>
  <c r="DF76" i="3"/>
  <c r="DD60" i="3"/>
  <c r="CL72" i="3"/>
  <c r="DD68" i="3"/>
  <c r="CL83" i="3"/>
  <c r="CD82" i="3"/>
  <c r="DP26" i="3"/>
  <c r="BP71" i="3"/>
  <c r="DC70" i="3"/>
  <c r="DA69" i="3"/>
  <c r="BT69" i="3"/>
  <c r="DJ66" i="3"/>
  <c r="DC62" i="3"/>
  <c r="DN59" i="3"/>
  <c r="DC55" i="3"/>
  <c r="CB54" i="3"/>
  <c r="BT54" i="3"/>
  <c r="DJ52" i="3"/>
  <c r="DG49" i="3"/>
  <c r="DD47" i="3"/>
  <c r="CI44" i="3"/>
  <c r="BR44" i="3"/>
  <c r="DI41" i="3"/>
  <c r="DA39" i="3"/>
  <c r="CP39" i="3"/>
  <c r="CT37" i="3"/>
  <c r="BV37" i="3"/>
  <c r="DG36" i="3"/>
  <c r="DD35" i="3"/>
  <c r="DU33" i="3"/>
  <c r="BX32" i="3"/>
  <c r="DF29" i="3"/>
  <c r="DA72" i="3"/>
  <c r="CL64" i="3"/>
  <c r="CY45" i="3"/>
  <c r="CM45" i="3"/>
  <c r="BZ33" i="3"/>
  <c r="DP29" i="3"/>
  <c r="CL26" i="3"/>
  <c r="BR26" i="3"/>
  <c r="BB102" i="3"/>
  <c r="AL95" i="3"/>
  <c r="V95" i="3"/>
  <c r="AQ101" i="3"/>
  <c r="X92" i="3"/>
  <c r="CD87" i="3"/>
  <c r="BV87" i="3"/>
  <c r="BR86" i="3"/>
  <c r="DS78" i="3"/>
  <c r="BL77" i="3"/>
  <c r="DD74" i="3"/>
  <c r="CH72" i="3"/>
  <c r="CD29" i="3"/>
  <c r="EA24" i="3"/>
  <c r="AK102" i="3"/>
  <c r="CQ91" i="3"/>
  <c r="CP87" i="3"/>
  <c r="CB87" i="3"/>
  <c r="CP84" i="3"/>
  <c r="CB84" i="3"/>
  <c r="DD80" i="3"/>
  <c r="DD81" i="3" s="1"/>
  <c r="DC77" i="3"/>
  <c r="CM76" i="3"/>
  <c r="CY27" i="3"/>
  <c r="BC22" i="3"/>
  <c r="DY22" i="3" s="1"/>
  <c r="CM67" i="3"/>
  <c r="DN76" i="3"/>
  <c r="DP76" i="3"/>
  <c r="CY24" i="3"/>
  <c r="DA24" i="3"/>
  <c r="CE7" i="3"/>
  <c r="X97" i="3"/>
  <c r="X8" i="3"/>
  <c r="I81" i="3"/>
  <c r="I99" i="3" s="1"/>
  <c r="DG78" i="3"/>
  <c r="DI78" i="3"/>
  <c r="DM86" i="3"/>
  <c r="CM78" i="3"/>
  <c r="CP78" i="3"/>
  <c r="CM59" i="3"/>
  <c r="DN91" i="3"/>
  <c r="CH86" i="3"/>
  <c r="AG81" i="3"/>
  <c r="AG99" i="3" s="1"/>
  <c r="DA80" i="3"/>
  <c r="DA81" i="3" s="1"/>
  <c r="P81" i="3"/>
  <c r="P99" i="3" s="1"/>
  <c r="AQ92" i="3"/>
  <c r="DA84" i="3"/>
  <c r="CY84" i="3"/>
  <c r="DP80" i="3"/>
  <c r="DP81" i="3" s="1"/>
  <c r="CM53" i="3"/>
  <c r="CY32" i="3"/>
  <c r="DG21" i="3"/>
  <c r="CP91" i="3"/>
  <c r="CT91" i="3"/>
  <c r="CM84" i="3"/>
  <c r="BP86" i="3"/>
  <c r="AK95" i="3"/>
  <c r="DS64" i="3"/>
  <c r="DD93" i="3"/>
  <c r="CI82" i="3"/>
  <c r="W81" i="3"/>
  <c r="W99" i="3" s="1"/>
  <c r="AL102" i="3"/>
  <c r="EC95" i="3"/>
  <c r="CT40" i="3"/>
  <c r="AR102" i="3"/>
  <c r="DA60" i="3"/>
  <c r="BC87" i="3"/>
  <c r="DY87" i="3" s="1"/>
  <c r="DG73" i="3"/>
  <c r="BA101" i="3"/>
  <c r="BV25" i="3"/>
  <c r="AX102" i="3"/>
  <c r="AH95" i="3"/>
  <c r="BF102" i="3"/>
  <c r="AE95" i="3"/>
  <c r="N102" i="3"/>
  <c r="AR92" i="3"/>
  <c r="AJ92" i="3"/>
  <c r="CI69" i="3"/>
  <c r="DQ39" i="3"/>
  <c r="AX101" i="3"/>
  <c r="AX92" i="3"/>
  <c r="AU102" i="3"/>
  <c r="AU95" i="3"/>
  <c r="W95" i="3"/>
  <c r="CE93" i="3"/>
  <c r="CM90" i="3"/>
  <c r="CI66" i="3"/>
  <c r="CY61" i="3"/>
  <c r="DA61" i="3"/>
  <c r="DP58" i="3"/>
  <c r="BN58" i="3"/>
  <c r="CL52" i="3"/>
  <c r="CI52" i="3"/>
  <c r="DP45" i="3"/>
  <c r="DN45" i="3"/>
  <c r="DS44" i="3"/>
  <c r="DQ44" i="3"/>
  <c r="DM44" i="3"/>
  <c r="CT72" i="3"/>
  <c r="DN67" i="3"/>
  <c r="DP67" i="3"/>
  <c r="DF66" i="3"/>
  <c r="CT66" i="3"/>
  <c r="CH66" i="3"/>
  <c r="CD66" i="3"/>
  <c r="DA54" i="3"/>
  <c r="DD91" i="3"/>
  <c r="DU44" i="3"/>
  <c r="BT66" i="3"/>
  <c r="CH71" i="3"/>
  <c r="DD65" i="3"/>
  <c r="CP54" i="3"/>
  <c r="DN53" i="3"/>
  <c r="DP53" i="3"/>
  <c r="DU52" i="3"/>
  <c r="DP52" i="3"/>
  <c r="CT52" i="3"/>
  <c r="CD52" i="3"/>
  <c r="EA52" i="3"/>
  <c r="CY47" i="3"/>
  <c r="DM66" i="3"/>
  <c r="DF52" i="3"/>
  <c r="CL66" i="3"/>
  <c r="CP69" i="3"/>
  <c r="CM69" i="3"/>
  <c r="DS66" i="3"/>
  <c r="DQ66" i="3"/>
  <c r="CP61" i="3"/>
  <c r="CM61" i="3"/>
  <c r="DP44" i="3"/>
  <c r="N95" i="3"/>
  <c r="CD94" i="3"/>
  <c r="Q102" i="3"/>
  <c r="DD51" i="3"/>
  <c r="CI47" i="3"/>
  <c r="DX47" i="3"/>
  <c r="DN47" i="3"/>
  <c r="DJ47" i="3"/>
  <c r="CP47" i="3"/>
  <c r="CM47" i="3"/>
  <c r="CL44" i="3"/>
  <c r="EA66" i="3"/>
  <c r="BV94" i="3"/>
  <c r="DN90" i="3"/>
  <c r="DX90" i="3"/>
  <c r="DX72" i="3"/>
  <c r="CM72" i="3"/>
  <c r="DG72" i="3"/>
  <c r="DJ72" i="3"/>
  <c r="DQ72" i="3"/>
  <c r="CY72" i="3"/>
  <c r="DD61" i="3"/>
  <c r="DX61" i="3"/>
  <c r="DJ61" i="3"/>
  <c r="DN61" i="3"/>
  <c r="DS52" i="3"/>
  <c r="DJ44" i="3"/>
  <c r="CB52" i="3"/>
  <c r="CP90" i="3"/>
  <c r="BA92" i="3"/>
  <c r="W102" i="3"/>
  <c r="DD69" i="3"/>
  <c r="Q95" i="3"/>
  <c r="AZ101" i="3"/>
  <c r="AR101" i="3"/>
  <c r="AJ101" i="3"/>
  <c r="BI95" i="3"/>
  <c r="Y101" i="3"/>
  <c r="DD23" i="3"/>
  <c r="DI36" i="3"/>
  <c r="DX80" i="3"/>
  <c r="DX81" i="3" s="1"/>
  <c r="DX99" i="3" s="1"/>
  <c r="CE27" i="3"/>
  <c r="CE20" i="3"/>
  <c r="DJ39" i="3"/>
  <c r="DD39" i="3"/>
  <c r="CM28" i="3"/>
  <c r="K81" i="3"/>
  <c r="K99" i="3" s="1"/>
  <c r="BT78" i="3"/>
  <c r="DN94" i="3"/>
  <c r="CB89" i="3"/>
  <c r="CY78" i="3"/>
  <c r="CH33" i="3"/>
  <c r="CQ37" i="3"/>
  <c r="DX39" i="3"/>
  <c r="DN73" i="3"/>
  <c r="CH87" i="3"/>
  <c r="CE87" i="3"/>
  <c r="CM39" i="3"/>
  <c r="DN26" i="3"/>
  <c r="CE84" i="3"/>
  <c r="BL82" i="3"/>
  <c r="DS82" i="3"/>
  <c r="DF77" i="3"/>
  <c r="DU63" i="3"/>
  <c r="DC61" i="3"/>
  <c r="DU49" i="3"/>
  <c r="EA23" i="3"/>
  <c r="BV19" i="3"/>
  <c r="CE37" i="3"/>
  <c r="DQ20" i="3"/>
  <c r="I96" i="14"/>
  <c r="EA64" i="3"/>
  <c r="CH50" i="3"/>
  <c r="BX53" i="3"/>
  <c r="BZ19" i="3"/>
  <c r="DJ65" i="3"/>
  <c r="DU64" i="3"/>
  <c r="DC58" i="3"/>
  <c r="DC44" i="3"/>
  <c r="DU21" i="3"/>
  <c r="AE102" i="3"/>
  <c r="DU83" i="3"/>
  <c r="DU59" i="3"/>
  <c r="DU45" i="3"/>
  <c r="DN80" i="3"/>
  <c r="DN81" i="3" s="1"/>
  <c r="CI60" i="3"/>
  <c r="CL60" i="3"/>
  <c r="DS56" i="3"/>
  <c r="DF24" i="3"/>
  <c r="DD24" i="3"/>
  <c r="DN23" i="3"/>
  <c r="DP23" i="3"/>
  <c r="CD22" i="3"/>
  <c r="BN22" i="3"/>
  <c r="CB22" i="3"/>
  <c r="DF22" i="3"/>
  <c r="DP22" i="3"/>
  <c r="EA22" i="3"/>
  <c r="CP22" i="3"/>
  <c r="DC22" i="3"/>
  <c r="BV22" i="3"/>
  <c r="DU22" i="3"/>
  <c r="DI22" i="3"/>
  <c r="CI19" i="3"/>
  <c r="CE19" i="3"/>
  <c r="DG19" i="3"/>
  <c r="CY19" i="3"/>
  <c r="CM19" i="3"/>
  <c r="CP19" i="3"/>
  <c r="DU18" i="3"/>
  <c r="DJ64" i="3"/>
  <c r="DM64" i="3"/>
  <c r="BX61" i="3"/>
  <c r="BX46" i="3"/>
  <c r="EA46" i="3"/>
  <c r="DC46" i="3"/>
  <c r="CT46" i="3"/>
  <c r="DF46" i="3"/>
  <c r="DA46" i="3"/>
  <c r="BP46" i="3"/>
  <c r="BT46" i="3"/>
  <c r="DQ38" i="3"/>
  <c r="CL34" i="3"/>
  <c r="DG29" i="3"/>
  <c r="CL25" i="3"/>
  <c r="CX25" i="3"/>
  <c r="CB64" i="3"/>
  <c r="DQ60" i="3"/>
  <c r="CE53" i="3"/>
  <c r="CB50" i="3"/>
  <c r="CE49" i="3"/>
  <c r="CX40" i="3"/>
  <c r="CT39" i="3"/>
  <c r="CQ39" i="3"/>
  <c r="CL38" i="3"/>
  <c r="CI38" i="3"/>
  <c r="DF31" i="3"/>
  <c r="EA31" i="3"/>
  <c r="BN31" i="3"/>
  <c r="CT31" i="3"/>
  <c r="BP31" i="3"/>
  <c r="DP31" i="3"/>
  <c r="DC31" i="3"/>
  <c r="CD31" i="3"/>
  <c r="DD27" i="3"/>
  <c r="DF93" i="3"/>
  <c r="CH53" i="3"/>
  <c r="CI64" i="3"/>
  <c r="BP63" i="3"/>
  <c r="CE59" i="3"/>
  <c r="CH59" i="3"/>
  <c r="BX56" i="3"/>
  <c r="BP56" i="3"/>
  <c r="CP56" i="3"/>
  <c r="BN56" i="3"/>
  <c r="DI56" i="3"/>
  <c r="BZ56" i="3"/>
  <c r="BR56" i="3"/>
  <c r="BL56" i="3"/>
  <c r="DC52" i="3"/>
  <c r="CB42" i="3"/>
  <c r="BZ40" i="3"/>
  <c r="BX39" i="3"/>
  <c r="BN33" i="3"/>
  <c r="DQ56" i="3"/>
  <c r="CT93" i="3"/>
  <c r="CD93" i="3"/>
  <c r="CB93" i="3"/>
  <c r="CP93" i="3"/>
  <c r="BH102" i="3"/>
  <c r="DU93" i="3"/>
  <c r="BV93" i="3"/>
  <c r="BT60" i="3"/>
  <c r="CL56" i="3"/>
  <c r="CI56" i="3"/>
  <c r="DA50" i="3"/>
  <c r="DI50" i="3"/>
  <c r="CP50" i="3"/>
  <c r="DU50" i="3"/>
  <c r="BL50" i="3"/>
  <c r="EA50" i="3"/>
  <c r="DC50" i="3"/>
  <c r="BZ50" i="3"/>
  <c r="CT50" i="3"/>
  <c r="CL46" i="3"/>
  <c r="CI46" i="3"/>
  <c r="DM42" i="3"/>
  <c r="DJ42" i="3"/>
  <c r="DP36" i="3"/>
  <c r="DJ34" i="3"/>
  <c r="DM34" i="3"/>
  <c r="DS31" i="3"/>
  <c r="DQ31" i="3"/>
  <c r="CE28" i="3"/>
  <c r="BX26" i="3"/>
  <c r="BT25" i="3"/>
  <c r="DA56" i="3"/>
  <c r="AN102" i="3"/>
  <c r="CX62" i="3"/>
  <c r="CQ61" i="3"/>
  <c r="CT61" i="3"/>
  <c r="CB60" i="3"/>
  <c r="DM56" i="3"/>
  <c r="DJ56" i="3"/>
  <c r="CQ54" i="3"/>
  <c r="CT54" i="3"/>
  <c r="CI50" i="3"/>
  <c r="CL50" i="3"/>
  <c r="DC48" i="3"/>
  <c r="DS46" i="3"/>
  <c r="DQ46" i="3"/>
  <c r="DS42" i="3"/>
  <c r="DQ42" i="3"/>
  <c r="DU41" i="3"/>
  <c r="DM38" i="3"/>
  <c r="DF37" i="3"/>
  <c r="DD37" i="3"/>
  <c r="DJ31" i="3"/>
  <c r="DM31" i="3"/>
  <c r="CT26" i="3"/>
  <c r="CQ26" i="3"/>
  <c r="EA25" i="3"/>
  <c r="DI25" i="3"/>
  <c r="CH25" i="3"/>
  <c r="DP25" i="3"/>
  <c r="CP25" i="3"/>
  <c r="DA25" i="3"/>
  <c r="DU25" i="3"/>
  <c r="DC25" i="3"/>
  <c r="BZ25" i="3"/>
  <c r="DM50" i="3"/>
  <c r="CE45" i="3"/>
  <c r="CL42" i="3"/>
  <c r="CI42" i="3"/>
  <c r="CE41" i="3"/>
  <c r="CB38" i="3"/>
  <c r="BX34" i="3"/>
  <c r="CP34" i="3"/>
  <c r="CH34" i="3"/>
  <c r="DM25" i="3"/>
  <c r="DJ25" i="3"/>
  <c r="BX60" i="3"/>
  <c r="CP60" i="3"/>
  <c r="DC60" i="3"/>
  <c r="BV60" i="3"/>
  <c r="BL60" i="3"/>
  <c r="DF60" i="3"/>
  <c r="CB56" i="3"/>
  <c r="DS50" i="3"/>
  <c r="DQ50" i="3"/>
  <c r="CQ47" i="3"/>
  <c r="BL42" i="3"/>
  <c r="EA42" i="3"/>
  <c r="CP42" i="3"/>
  <c r="BX42" i="3"/>
  <c r="CH42" i="3"/>
  <c r="DA42" i="3"/>
  <c r="DU42" i="3"/>
  <c r="DF42" i="3"/>
  <c r="BP42" i="3"/>
  <c r="CT42" i="3"/>
  <c r="DI42" i="3"/>
  <c r="BV38" i="3"/>
  <c r="BR38" i="3"/>
  <c r="BL38" i="3"/>
  <c r="EA38" i="3"/>
  <c r="DC38" i="3"/>
  <c r="CP38" i="3"/>
  <c r="DP38" i="3"/>
  <c r="CT38" i="3"/>
  <c r="DA38" i="3"/>
  <c r="DF38" i="3"/>
  <c r="DQ34" i="3"/>
  <c r="DP32" i="3"/>
  <c r="DN32" i="3"/>
  <c r="DS25" i="3"/>
  <c r="CE18" i="3"/>
  <c r="CH18" i="3"/>
  <c r="BZ11" i="3"/>
  <c r="CP10" i="3"/>
  <c r="DS94" i="3"/>
  <c r="DM94" i="3"/>
  <c r="DP93" i="3"/>
  <c r="AQ95" i="3"/>
  <c r="DX91" i="3"/>
  <c r="CQ93" i="3"/>
  <c r="BR91" i="3"/>
  <c r="CY65" i="3"/>
  <c r="CB74" i="3"/>
  <c r="BV74" i="3"/>
  <c r="BA95" i="3"/>
  <c r="AZ102" i="3"/>
  <c r="BX91" i="3"/>
  <c r="ED102" i="3"/>
  <c r="DG65" i="3"/>
  <c r="DQ82" i="3"/>
  <c r="DP78" i="3"/>
  <c r="CQ77" i="3"/>
  <c r="DI66" i="3"/>
  <c r="EC102" i="3"/>
  <c r="ED95" i="3"/>
  <c r="DA55" i="3"/>
  <c r="DQ52" i="3"/>
  <c r="CQ12" i="3"/>
  <c r="DA11" i="3"/>
  <c r="DU94" i="3"/>
  <c r="BR94" i="3"/>
  <c r="AZ92" i="3"/>
  <c r="BP89" i="3"/>
  <c r="CQ84" i="3"/>
  <c r="BV72" i="3"/>
  <c r="DI71" i="3"/>
  <c r="DN68" i="3"/>
  <c r="DC14" i="3"/>
  <c r="BL16" i="3"/>
  <c r="DJ86" i="3"/>
  <c r="CI86" i="3"/>
  <c r="DM26" i="3"/>
  <c r="BT26" i="3"/>
  <c r="AD102" i="3"/>
  <c r="CH93" i="3"/>
  <c r="DC91" i="3"/>
  <c r="BX90" i="3"/>
  <c r="AO92" i="3"/>
  <c r="CP89" i="3"/>
  <c r="CL78" i="3"/>
  <c r="CI62" i="3"/>
  <c r="DU56" i="3"/>
  <c r="CH56" i="3"/>
  <c r="DU53" i="3"/>
  <c r="DP46" i="3"/>
  <c r="CD36" i="3"/>
  <c r="BZ34" i="3"/>
  <c r="DS34" i="3"/>
  <c r="CI34" i="3"/>
  <c r="CB34" i="3"/>
  <c r="BZ32" i="3"/>
  <c r="DA31" i="3"/>
  <c r="DA27" i="3"/>
  <c r="AZ95" i="3"/>
  <c r="DC69" i="3"/>
  <c r="DU66" i="3"/>
  <c r="BR57" i="3"/>
  <c r="CQ50" i="3"/>
  <c r="BX50" i="3"/>
  <c r="CB45" i="3"/>
  <c r="DC40" i="3"/>
  <c r="CP40" i="3"/>
  <c r="BV40" i="3"/>
  <c r="DD7" i="3"/>
  <c r="DX12" i="3"/>
  <c r="DX27" i="3"/>
  <c r="DQ90" i="3"/>
  <c r="CL90" i="3"/>
  <c r="DJ74" i="3"/>
  <c r="BT63" i="3"/>
  <c r="CE57" i="3"/>
  <c r="DF44" i="3"/>
  <c r="BN44" i="3"/>
  <c r="BZ42" i="3"/>
  <c r="DI40" i="3"/>
  <c r="CL24" i="3"/>
  <c r="DM10" i="3"/>
  <c r="AO97" i="3"/>
  <c r="BF101" i="3"/>
  <c r="CP64" i="3"/>
  <c r="CT60" i="3"/>
  <c r="CL55" i="3"/>
  <c r="BP41" i="3"/>
  <c r="DU27" i="3"/>
  <c r="CT25" i="3"/>
  <c r="BX25" i="3"/>
  <c r="DI10" i="3"/>
  <c r="O102" i="3"/>
  <c r="DP77" i="3"/>
  <c r="DU74" i="3"/>
  <c r="BZ71" i="3"/>
  <c r="CP18" i="3"/>
  <c r="DG17" i="3"/>
  <c r="BX16" i="3"/>
  <c r="BP10" i="3"/>
  <c r="BT33" i="3"/>
  <c r="CB25" i="3"/>
  <c r="BB95" i="3"/>
  <c r="BV26" i="3"/>
  <c r="DA19" i="3"/>
  <c r="DI18" i="3"/>
  <c r="DF71" i="3"/>
  <c r="BN71" i="3"/>
  <c r="CT68" i="3"/>
  <c r="DF68" i="3"/>
  <c r="DA68" i="3"/>
  <c r="DC68" i="3"/>
  <c r="DQ68" i="3"/>
  <c r="CI68" i="3"/>
  <c r="CB68" i="3"/>
  <c r="CH67" i="3"/>
  <c r="CE67" i="3"/>
  <c r="CH63" i="3"/>
  <c r="CE63" i="3"/>
  <c r="DI63" i="3"/>
  <c r="DG63" i="3"/>
  <c r="DJ51" i="3"/>
  <c r="DM51" i="3"/>
  <c r="DC94" i="3"/>
  <c r="AJ95" i="3"/>
  <c r="AC95" i="3"/>
  <c r="AT95" i="3"/>
  <c r="BF92" i="3"/>
  <c r="CL85" i="3"/>
  <c r="DF84" i="3"/>
  <c r="EA84" i="3"/>
  <c r="DI84" i="3"/>
  <c r="DS84" i="3"/>
  <c r="DQ84" i="3"/>
  <c r="CL84" i="3"/>
  <c r="CI84" i="3"/>
  <c r="DJ94" i="3"/>
  <c r="CE94" i="3"/>
  <c r="AA101" i="3"/>
  <c r="CX89" i="3"/>
  <c r="S101" i="3"/>
  <c r="S92" i="3"/>
  <c r="AP101" i="3"/>
  <c r="DX78" i="3"/>
  <c r="CI78" i="3"/>
  <c r="DM85" i="3"/>
  <c r="AY101" i="3"/>
  <c r="AY92" i="3"/>
  <c r="Z81" i="3"/>
  <c r="Z99" i="3" s="1"/>
  <c r="CL94" i="3"/>
  <c r="AJ102" i="3"/>
  <c r="DC93" i="3"/>
  <c r="AX95" i="3"/>
  <c r="DF83" i="3"/>
  <c r="BT83" i="3"/>
  <c r="DN69" i="3"/>
  <c r="CY69" i="3"/>
  <c r="DI59" i="3"/>
  <c r="DD85" i="3"/>
  <c r="CM77" i="3"/>
  <c r="DN77" i="3"/>
  <c r="BX89" i="3"/>
  <c r="CI72" i="3"/>
  <c r="DS86" i="3"/>
  <c r="DQ86" i="3"/>
  <c r="CH62" i="3"/>
  <c r="EA62" i="3"/>
  <c r="DI62" i="3"/>
  <c r="BZ62" i="3"/>
  <c r="DM62" i="3"/>
  <c r="DG45" i="3"/>
  <c r="DP49" i="3"/>
  <c r="BZ49" i="3"/>
  <c r="AC102" i="3"/>
  <c r="DU89" i="3"/>
  <c r="CB82" i="3"/>
  <c r="CT76" i="3"/>
  <c r="CQ76" i="3"/>
  <c r="DX41" i="3"/>
  <c r="DG41" i="3"/>
  <c r="CY68" i="3"/>
  <c r="CE65" i="3"/>
  <c r="DA62" i="3"/>
  <c r="DJ49" i="3"/>
  <c r="EA44" i="3"/>
  <c r="CP24" i="3"/>
  <c r="DU14" i="3"/>
  <c r="DG86" i="3"/>
  <c r="DI83" i="3"/>
  <c r="CP72" i="3"/>
  <c r="CY70" i="3"/>
  <c r="DD64" i="3"/>
  <c r="BR60" i="3"/>
  <c r="DJ50" i="3"/>
  <c r="CE72" i="3"/>
  <c r="DC57" i="3"/>
  <c r="BZ48" i="3"/>
  <c r="CD44" i="3"/>
  <c r="AW97" i="3"/>
  <c r="DI34" i="3"/>
  <c r="CY71" i="3"/>
  <c r="DQ70" i="3"/>
  <c r="DG69" i="3"/>
  <c r="DP66" i="3"/>
  <c r="CT47" i="3"/>
  <c r="BV46" i="3"/>
  <c r="CD21" i="3"/>
  <c r="DG7" i="3"/>
  <c r="AN97" i="3"/>
  <c r="BP34" i="3"/>
  <c r="BL83" i="3"/>
  <c r="CP80" i="3"/>
  <c r="CP81" i="3" s="1"/>
  <c r="DD77" i="3"/>
  <c r="CI71" i="3"/>
  <c r="BT71" i="3"/>
  <c r="DG70" i="3"/>
  <c r="BL63" i="3"/>
  <c r="BN54" i="3"/>
  <c r="CH45" i="3"/>
  <c r="DQ25" i="3"/>
  <c r="BX23" i="3"/>
  <c r="EB101" i="3"/>
  <c r="BZ84" i="3"/>
  <c r="CE78" i="3"/>
  <c r="BP78" i="3"/>
  <c r="DD76" i="3"/>
  <c r="DN74" i="3"/>
  <c r="DG71" i="3"/>
  <c r="DA64" i="3"/>
  <c r="DP60" i="3"/>
  <c r="DP59" i="3"/>
  <c r="CD58" i="3"/>
  <c r="DG55" i="3"/>
  <c r="DF50" i="3"/>
  <c r="BN50" i="3"/>
  <c r="CY48" i="3"/>
  <c r="DP24" i="3"/>
  <c r="EA39" i="3"/>
  <c r="CT83" i="3"/>
  <c r="DS58" i="3"/>
  <c r="DM58" i="3"/>
  <c r="CB53" i="3"/>
  <c r="DM52" i="3"/>
  <c r="DD46" i="3"/>
  <c r="CE17" i="3"/>
  <c r="CE14" i="3"/>
  <c r="DI14" i="3"/>
  <c r="CH13" i="3"/>
  <c r="R92" i="3"/>
  <c r="R101" i="3"/>
  <c r="DX94" i="3"/>
  <c r="CI94" i="3"/>
  <c r="V102" i="3"/>
  <c r="DP91" i="3"/>
  <c r="DQ91" i="3"/>
  <c r="EA86" i="3"/>
  <c r="DI58" i="3"/>
  <c r="DF58" i="3"/>
  <c r="DX29" i="3"/>
  <c r="DJ29" i="3"/>
  <c r="F8" i="3"/>
  <c r="BT91" i="3"/>
  <c r="DI94" i="3"/>
  <c r="BI102" i="3"/>
  <c r="DJ91" i="3"/>
  <c r="BB101" i="3"/>
  <c r="BT49" i="3"/>
  <c r="DG44" i="3"/>
  <c r="DD44" i="3"/>
  <c r="CI36" i="3"/>
  <c r="DN36" i="3"/>
  <c r="DU34" i="3"/>
  <c r="DA34" i="3"/>
  <c r="BV34" i="3"/>
  <c r="DQ19" i="3"/>
  <c r="DP15" i="3"/>
  <c r="DC15" i="3"/>
  <c r="CP15" i="3"/>
  <c r="DG14" i="3"/>
  <c r="DS19" i="3"/>
  <c r="DM49" i="3"/>
  <c r="CD70" i="3"/>
  <c r="CI28" i="3"/>
  <c r="CY83" i="3"/>
  <c r="CQ19" i="3"/>
  <c r="DF15" i="3"/>
  <c r="CB15" i="3"/>
  <c r="CY25" i="3"/>
  <c r="DN44" i="3"/>
  <c r="CQ59" i="3"/>
  <c r="DG83" i="3"/>
  <c r="CQ87" i="3"/>
  <c r="BH95" i="3"/>
  <c r="AT100" i="3"/>
  <c r="DQ78" i="3"/>
  <c r="CM25" i="3"/>
  <c r="DN29" i="3"/>
  <c r="DA71" i="3"/>
  <c r="DI86" i="3"/>
  <c r="DA70" i="3"/>
  <c r="DQ83" i="3"/>
  <c r="CT15" i="3"/>
  <c r="BL34" i="3"/>
  <c r="CQ25" i="3"/>
  <c r="DX44" i="3"/>
  <c r="CI55" i="3"/>
  <c r="CT58" i="3"/>
  <c r="DU58" i="3"/>
  <c r="CI90" i="3"/>
  <c r="EA91" i="3"/>
  <c r="CH83" i="3"/>
  <c r="CE83" i="3"/>
  <c r="AD95" i="3"/>
  <c r="J92" i="3"/>
  <c r="CI29" i="3"/>
  <c r="DP74" i="3"/>
  <c r="EA34" i="3"/>
  <c r="DN78" i="3"/>
  <c r="DQ29" i="3"/>
  <c r="DD29" i="3"/>
  <c r="DX19" i="3"/>
  <c r="CM93" i="3"/>
  <c r="DU15" i="3"/>
  <c r="CI25" i="3"/>
  <c r="DI49" i="3"/>
  <c r="DG48" i="3"/>
  <c r="EA58" i="3"/>
  <c r="CL58" i="3"/>
  <c r="BL91" i="3"/>
  <c r="EA80" i="3"/>
  <c r="EA81" i="3" s="1"/>
  <c r="EA99" i="3" s="1"/>
  <c r="BX76" i="3"/>
  <c r="CD76" i="3"/>
  <c r="CL76" i="3"/>
  <c r="CY73" i="3"/>
  <c r="CL91" i="3"/>
  <c r="CB49" i="3"/>
  <c r="BP49" i="3"/>
  <c r="DX83" i="3"/>
  <c r="DN48" i="3"/>
  <c r="DJ19" i="3"/>
  <c r="CT34" i="3"/>
  <c r="DX25" i="3"/>
  <c r="DA49" i="3"/>
  <c r="EA49" i="3"/>
  <c r="BV86" i="3"/>
  <c r="DG94" i="3"/>
  <c r="DF91" i="3"/>
  <c r="DX87" i="3"/>
  <c r="CM87" i="3"/>
  <c r="BP80" i="3"/>
  <c r="BP81" i="3" s="1"/>
  <c r="F81" i="3"/>
  <c r="F99" i="3" s="1"/>
  <c r="DJ69" i="3"/>
  <c r="CT69" i="3"/>
  <c r="CQ69" i="3"/>
  <c r="DI67" i="3"/>
  <c r="CI57" i="3"/>
  <c r="DD57" i="3"/>
  <c r="CT23" i="3"/>
  <c r="DC66" i="3"/>
  <c r="BR66" i="3"/>
  <c r="DM54" i="3"/>
  <c r="BV49" i="3"/>
  <c r="DU36" i="3"/>
  <c r="CP31" i="3"/>
  <c r="DS23" i="3"/>
  <c r="CP75" i="3"/>
  <c r="DI64" i="3"/>
  <c r="CD41" i="3"/>
  <c r="BV41" i="3"/>
  <c r="CM32" i="3"/>
  <c r="DN70" i="3"/>
  <c r="CH49" i="3"/>
  <c r="EA29" i="3"/>
  <c r="DX55" i="3"/>
  <c r="EA83" i="3"/>
  <c r="AP102" i="3"/>
  <c r="DD30" i="3"/>
  <c r="AT97" i="3"/>
  <c r="DS4" i="3"/>
  <c r="BX4" i="3"/>
  <c r="BX8" i="3" s="1"/>
  <c r="BN4" i="3"/>
  <c r="BH8" i="3"/>
  <c r="BV4" i="3"/>
  <c r="BT4" i="3"/>
  <c r="EA9" i="3"/>
  <c r="F27" i="14"/>
  <c r="F24" i="14"/>
  <c r="F19" i="14"/>
  <c r="F55" i="14"/>
  <c r="F10" i="14"/>
  <c r="F94" i="14"/>
  <c r="F12" i="14"/>
  <c r="F67" i="14"/>
  <c r="F59" i="14"/>
  <c r="F86" i="14"/>
  <c r="F49" i="14"/>
  <c r="F45" i="14"/>
  <c r="F39" i="14"/>
  <c r="F31" i="14"/>
  <c r="F48" i="14"/>
  <c r="F37" i="14"/>
  <c r="F70" i="14"/>
  <c r="F66" i="14"/>
  <c r="F57" i="14"/>
  <c r="BN17" i="3"/>
  <c r="G97" i="3"/>
  <c r="G8" i="3"/>
  <c r="BT11" i="3"/>
  <c r="I100" i="3"/>
  <c r="BV82" i="3"/>
  <c r="BV90" i="3"/>
  <c r="I92" i="3"/>
  <c r="I101" i="3"/>
  <c r="BL72" i="3"/>
  <c r="BL64" i="3"/>
  <c r="BN36" i="3"/>
  <c r="BT23" i="3"/>
  <c r="BV28" i="3"/>
  <c r="BL58" i="3"/>
  <c r="BR31" i="3"/>
  <c r="BN91" i="3"/>
  <c r="BP36" i="3"/>
  <c r="BN42" i="3"/>
  <c r="BN82" i="3"/>
  <c r="BP50" i="3"/>
  <c r="BX45" i="3"/>
  <c r="BL69" i="3"/>
  <c r="BP77" i="3"/>
  <c r="G102" i="3"/>
  <c r="G95" i="3"/>
  <c r="BR93" i="3"/>
  <c r="BT77" i="3"/>
  <c r="BV77" i="3"/>
  <c r="BL90" i="3"/>
  <c r="BN27" i="3"/>
  <c r="BN32" i="3"/>
  <c r="BN94" i="3"/>
  <c r="BP14" i="3"/>
  <c r="BR25" i="3"/>
  <c r="BL37" i="3"/>
  <c r="D97" i="3"/>
  <c r="D8" i="3"/>
  <c r="BN85" i="3"/>
  <c r="BR19" i="3"/>
  <c r="BX71" i="3"/>
  <c r="BX63" i="3"/>
  <c r="BZ83" i="3"/>
  <c r="BP93" i="3"/>
  <c r="F102" i="3"/>
  <c r="N92" i="3"/>
  <c r="BR21" i="3"/>
  <c r="BZ87" i="3"/>
  <c r="I8" i="3"/>
  <c r="BT37" i="3"/>
  <c r="CB86" i="3"/>
  <c r="BR10" i="3"/>
  <c r="BV64" i="3"/>
  <c r="L102" i="3"/>
  <c r="J97" i="3"/>
  <c r="BR46" i="3"/>
  <c r="BT90" i="3"/>
  <c r="H101" i="3"/>
  <c r="P88" i="3"/>
  <c r="BL33" i="3"/>
  <c r="BP39" i="3"/>
  <c r="BL59" i="3"/>
  <c r="BL47" i="3"/>
  <c r="BL29" i="3"/>
  <c r="BN13" i="3"/>
  <c r="BV36" i="3"/>
  <c r="BX48" i="3"/>
  <c r="K88" i="3"/>
  <c r="I79" i="3"/>
  <c r="BR78" i="3"/>
  <c r="BZ4" i="3"/>
  <c r="BR89" i="3"/>
  <c r="CY8" i="3" l="1"/>
  <c r="G62" i="14" s="1"/>
  <c r="BN95" i="3"/>
  <c r="L13" i="14" s="1"/>
  <c r="E45" i="14"/>
  <c r="E48" i="14"/>
  <c r="E83" i="14"/>
  <c r="E28" i="14"/>
  <c r="E44" i="14"/>
  <c r="E66" i="14"/>
  <c r="E34" i="14"/>
  <c r="E79" i="14"/>
  <c r="E37" i="14"/>
  <c r="E47" i="14"/>
  <c r="E90" i="14"/>
  <c r="E84" i="14"/>
  <c r="E31" i="14"/>
  <c r="E13" i="14"/>
  <c r="E25" i="14"/>
  <c r="E81" i="14"/>
  <c r="E86" i="14"/>
  <c r="E58" i="14"/>
  <c r="E21" i="14"/>
  <c r="E63" i="14"/>
  <c r="E9" i="14"/>
  <c r="E24" i="14"/>
  <c r="E88" i="14"/>
  <c r="E39" i="14"/>
  <c r="E42" i="14"/>
  <c r="E52" i="14"/>
  <c r="E55" i="14"/>
  <c r="E5" i="14"/>
  <c r="E89" i="14"/>
  <c r="E49" i="14"/>
  <c r="E59" i="14"/>
  <c r="E57" i="14"/>
  <c r="E62" i="14"/>
  <c r="E16" i="14"/>
  <c r="E93" i="14"/>
  <c r="E80" i="14"/>
  <c r="E69" i="14"/>
  <c r="E50" i="14"/>
  <c r="E53" i="14"/>
  <c r="E60" i="14"/>
  <c r="E71" i="14"/>
  <c r="E38" i="14"/>
  <c r="E92" i="14"/>
  <c r="E19" i="14"/>
  <c r="E94" i="14"/>
  <c r="E22" i="14"/>
  <c r="E54" i="14"/>
  <c r="E64" i="14"/>
  <c r="E70" i="14"/>
  <c r="E67" i="14"/>
  <c r="E30" i="14"/>
  <c r="EB99" i="3"/>
  <c r="J96" i="14"/>
  <c r="BR95" i="3"/>
  <c r="BR102" i="3" s="1"/>
  <c r="BT8" i="3"/>
  <c r="G19" i="14" s="1"/>
  <c r="DJ8" i="3"/>
  <c r="G83" i="14" s="1"/>
  <c r="DC99" i="3"/>
  <c r="J67" i="14"/>
  <c r="DU99" i="3"/>
  <c r="J77" i="14"/>
  <c r="DP99" i="3"/>
  <c r="J90" i="14"/>
  <c r="DM99" i="3"/>
  <c r="J86" i="14"/>
  <c r="DF99" i="3"/>
  <c r="J71" i="14"/>
  <c r="CT99" i="3"/>
  <c r="J55" i="14"/>
  <c r="CP99" i="3"/>
  <c r="J50" i="14"/>
  <c r="DA99" i="3"/>
  <c r="J64" i="14"/>
  <c r="CL99" i="3"/>
  <c r="J45" i="14"/>
  <c r="CS63" i="3"/>
  <c r="DV63" i="3"/>
  <c r="BN99" i="3"/>
  <c r="J13" i="14"/>
  <c r="CI99" i="3"/>
  <c r="J42" i="14"/>
  <c r="DJ99" i="3"/>
  <c r="J83" i="14"/>
  <c r="DQ99" i="3"/>
  <c r="J92" i="14"/>
  <c r="BX99" i="3"/>
  <c r="J25" i="14"/>
  <c r="BP99" i="3"/>
  <c r="J16" i="14"/>
  <c r="DN99" i="3"/>
  <c r="J88" i="14"/>
  <c r="DD99" i="3"/>
  <c r="J69" i="14"/>
  <c r="BL99" i="3"/>
  <c r="J10" i="14"/>
  <c r="BV99" i="3"/>
  <c r="J22" i="14"/>
  <c r="CB99" i="3"/>
  <c r="J31" i="14"/>
  <c r="CM99" i="3"/>
  <c r="J47" i="14"/>
  <c r="BM9" i="3"/>
  <c r="BY9" i="3"/>
  <c r="CN9" i="3"/>
  <c r="CA9" i="3"/>
  <c r="DK9" i="3"/>
  <c r="CC9" i="3"/>
  <c r="CR9" i="3"/>
  <c r="BK9" i="3"/>
  <c r="BO9" i="3"/>
  <c r="CF9" i="3"/>
  <c r="CV9" i="3"/>
  <c r="BQ9" i="3"/>
  <c r="BS9" i="3"/>
  <c r="CJ9" i="3"/>
  <c r="BW9" i="3"/>
  <c r="BG9" i="3"/>
  <c r="BU9" i="3"/>
  <c r="F96" i="14"/>
  <c r="F73" i="14"/>
  <c r="F74" i="14"/>
  <c r="F76" i="14"/>
  <c r="F77" i="14"/>
  <c r="E77" i="14"/>
  <c r="E96" i="14"/>
  <c r="E76" i="14"/>
  <c r="E73" i="14"/>
  <c r="E74" i="14"/>
  <c r="D96" i="14"/>
  <c r="D77" i="14"/>
  <c r="D76" i="14"/>
  <c r="D74" i="14"/>
  <c r="D73" i="14"/>
  <c r="C96" i="14"/>
  <c r="C74" i="14"/>
  <c r="C77" i="14"/>
  <c r="F5" i="14"/>
  <c r="E40" i="14"/>
  <c r="D40" i="14"/>
  <c r="D49" i="14"/>
  <c r="F43" i="14"/>
  <c r="C90" i="14"/>
  <c r="C31" i="14"/>
  <c r="C50" i="14"/>
  <c r="C22" i="14"/>
  <c r="C42" i="14"/>
  <c r="D58" i="14"/>
  <c r="F44" i="14"/>
  <c r="F42" i="14"/>
  <c r="E27" i="14"/>
  <c r="D10" i="14"/>
  <c r="D90" i="14"/>
  <c r="F92" i="14"/>
  <c r="D53" i="14"/>
  <c r="F81" i="14"/>
  <c r="D84" i="14"/>
  <c r="C92" i="14"/>
  <c r="C67" i="14"/>
  <c r="C64" i="14"/>
  <c r="AE1" i="14"/>
  <c r="F30" i="14"/>
  <c r="D88" i="14"/>
  <c r="C81" i="14"/>
  <c r="C25" i="14"/>
  <c r="F71" i="14"/>
  <c r="D71" i="14"/>
  <c r="C71" i="14"/>
  <c r="C47" i="14"/>
  <c r="C86" i="14"/>
  <c r="C45" i="14"/>
  <c r="C60" i="14"/>
  <c r="C52" i="14"/>
  <c r="C94" i="14"/>
  <c r="C88" i="14"/>
  <c r="C83" i="14"/>
  <c r="C28" i="14"/>
  <c r="C10" i="14"/>
  <c r="C13" i="14"/>
  <c r="C55" i="14"/>
  <c r="C5" i="14"/>
  <c r="C19" i="14"/>
  <c r="C34" i="14"/>
  <c r="C40" i="14"/>
  <c r="E43" i="14"/>
  <c r="C79" i="14"/>
  <c r="C16" i="14"/>
  <c r="C62" i="14"/>
  <c r="D24" i="14"/>
  <c r="F9" i="14"/>
  <c r="F40" i="14"/>
  <c r="D25" i="14"/>
  <c r="D19" i="14"/>
  <c r="D94" i="14"/>
  <c r="D44" i="14"/>
  <c r="F90" i="14"/>
  <c r="F28" i="14"/>
  <c r="D13" i="14"/>
  <c r="D5" i="14"/>
  <c r="D59" i="14"/>
  <c r="D12" i="14"/>
  <c r="F80" i="14"/>
  <c r="F16" i="14"/>
  <c r="D93" i="14"/>
  <c r="D89" i="14"/>
  <c r="D33" i="14"/>
  <c r="D37" i="14"/>
  <c r="F89" i="14"/>
  <c r="E12" i="14"/>
  <c r="D55" i="14"/>
  <c r="D52" i="14"/>
  <c r="D27" i="14"/>
  <c r="D9" i="14"/>
  <c r="C37" i="14"/>
  <c r="F58" i="14"/>
  <c r="F52" i="14"/>
  <c r="D22" i="14"/>
  <c r="D18" i="14"/>
  <c r="F83" i="14"/>
  <c r="F22" i="14"/>
  <c r="E33" i="14"/>
  <c r="F34" i="14"/>
  <c r="D64" i="14"/>
  <c r="F64" i="14"/>
  <c r="F63" i="14"/>
  <c r="F18" i="14"/>
  <c r="E85" i="14"/>
  <c r="D85" i="14"/>
  <c r="D83" i="14"/>
  <c r="D80" i="14"/>
  <c r="D79" i="14"/>
  <c r="D60" i="14"/>
  <c r="D92" i="14"/>
  <c r="D21" i="14"/>
  <c r="D67" i="14"/>
  <c r="F93" i="14"/>
  <c r="F54" i="14"/>
  <c r="F53" i="14"/>
  <c r="F88" i="14"/>
  <c r="E18" i="14"/>
  <c r="D69" i="14"/>
  <c r="D66" i="14"/>
  <c r="D63" i="14"/>
  <c r="D62" i="14"/>
  <c r="D50" i="14"/>
  <c r="D57" i="14"/>
  <c r="D81" i="14"/>
  <c r="D39" i="14"/>
  <c r="F38" i="14"/>
  <c r="F84" i="14"/>
  <c r="F85" i="14"/>
  <c r="F33" i="14"/>
  <c r="F79" i="14"/>
  <c r="F60" i="14"/>
  <c r="E10" i="14"/>
  <c r="D48" i="14"/>
  <c r="D45" i="14"/>
  <c r="D43" i="14"/>
  <c r="D42" i="14"/>
  <c r="D28" i="14"/>
  <c r="D86" i="14"/>
  <c r="D15" i="14"/>
  <c r="F47" i="14"/>
  <c r="F15" i="14"/>
  <c r="F69" i="14"/>
  <c r="F21" i="14"/>
  <c r="F62" i="14"/>
  <c r="F50" i="14"/>
  <c r="D38" i="14"/>
  <c r="D34" i="14"/>
  <c r="D31" i="14"/>
  <c r="D30" i="14"/>
  <c r="D16" i="14"/>
  <c r="D54" i="14"/>
  <c r="D70" i="14"/>
  <c r="F25" i="14"/>
  <c r="F13" i="14"/>
  <c r="DX60" i="3"/>
  <c r="EA69" i="3"/>
  <c r="DX40" i="3"/>
  <c r="DX56" i="3"/>
  <c r="G25" i="14"/>
  <c r="CP92" i="3"/>
  <c r="K50" i="14" s="1"/>
  <c r="CI8" i="3"/>
  <c r="G42" i="14" s="1"/>
  <c r="AI97" i="3"/>
  <c r="AY8" i="3"/>
  <c r="AZ8" i="3"/>
  <c r="BA97" i="3"/>
  <c r="BB97" i="3"/>
  <c r="BF8" i="3"/>
  <c r="AH97" i="3"/>
  <c r="AP97" i="3"/>
  <c r="DS87" i="3"/>
  <c r="DG30" i="3"/>
  <c r="DQ75" i="3"/>
  <c r="DN56" i="3"/>
  <c r="DM45" i="3"/>
  <c r="DG38" i="3"/>
  <c r="DJ11" i="3"/>
  <c r="DS59" i="3"/>
  <c r="DG23" i="3"/>
  <c r="DQ93" i="3"/>
  <c r="DQ95" i="3" s="1"/>
  <c r="L92" i="14" s="1"/>
  <c r="BF97" i="3"/>
  <c r="DI16" i="3"/>
  <c r="AR98" i="3"/>
  <c r="AW79" i="3"/>
  <c r="AX79" i="3"/>
  <c r="AZ79" i="3"/>
  <c r="BA79" i="3"/>
  <c r="BB98" i="3"/>
  <c r="BF79" i="3"/>
  <c r="CY85" i="3"/>
  <c r="CM75" i="3"/>
  <c r="DG33" i="3"/>
  <c r="CM22" i="3"/>
  <c r="CE11" i="3"/>
  <c r="DX22" i="3"/>
  <c r="EA95" i="3"/>
  <c r="EA102" i="3" s="1"/>
  <c r="DF51" i="3"/>
  <c r="CP13" i="3"/>
  <c r="DX8" i="3"/>
  <c r="DX97" i="3" s="1"/>
  <c r="BN92" i="3"/>
  <c r="CB73" i="3"/>
  <c r="CH65" i="3"/>
  <c r="DD78" i="3"/>
  <c r="DD48" i="3"/>
  <c r="CB28" i="3"/>
  <c r="X102" i="3"/>
  <c r="CH73" i="3"/>
  <c r="DX85" i="3"/>
  <c r="DX88" i="3" s="1"/>
  <c r="DX100" i="3" s="1"/>
  <c r="DU85" i="3"/>
  <c r="DI82" i="3"/>
  <c r="CQ57" i="3"/>
  <c r="AV102" i="3"/>
  <c r="DM93" i="3"/>
  <c r="DM95" i="3" s="1"/>
  <c r="L86" i="14" s="1"/>
  <c r="DG22" i="3"/>
  <c r="BF88" i="3"/>
  <c r="DJ85" i="3"/>
  <c r="DJ89" i="3"/>
  <c r="CH20" i="3"/>
  <c r="CM89" i="3"/>
  <c r="CM92" i="3" s="1"/>
  <c r="K47" i="14" s="1"/>
  <c r="AS92" i="3"/>
  <c r="DN54" i="3"/>
  <c r="AK101" i="3"/>
  <c r="DM37" i="3"/>
  <c r="DP35" i="3"/>
  <c r="DM75" i="3"/>
  <c r="AV100" i="3"/>
  <c r="DS37" i="3"/>
  <c r="DS57" i="3"/>
  <c r="BX73" i="3"/>
  <c r="DG68" i="3"/>
  <c r="DJ67" i="3"/>
  <c r="DQ67" i="3"/>
  <c r="DM59" i="3"/>
  <c r="EA35" i="3"/>
  <c r="CL13" i="3"/>
  <c r="CL51" i="3"/>
  <c r="DN89" i="3"/>
  <c r="DN92" i="3" s="1"/>
  <c r="K88" i="14" s="1"/>
  <c r="DM13" i="3"/>
  <c r="DC35" i="3"/>
  <c r="DF70" i="3"/>
  <c r="DS35" i="3"/>
  <c r="DD40" i="3"/>
  <c r="DQ11" i="3"/>
  <c r="DD58" i="3"/>
  <c r="EB102" i="3"/>
  <c r="AW102" i="3"/>
  <c r="CY44" i="3"/>
  <c r="DD10" i="3"/>
  <c r="BL57" i="3"/>
  <c r="BL13" i="3"/>
  <c r="BN65" i="3"/>
  <c r="BP28" i="3"/>
  <c r="BV13" i="3"/>
  <c r="CD20" i="3"/>
  <c r="BT35" i="3"/>
  <c r="CL8" i="3"/>
  <c r="G45" i="14" s="1"/>
  <c r="BB88" i="3"/>
  <c r="CP86" i="3"/>
  <c r="DX48" i="3"/>
  <c r="CU59" i="3"/>
  <c r="CD57" i="3"/>
  <c r="CL28" i="3"/>
  <c r="CE75" i="3"/>
  <c r="CY86" i="3"/>
  <c r="BV85" i="3"/>
  <c r="BV88" i="3" s="1"/>
  <c r="I22" i="14" s="1"/>
  <c r="DC85" i="3"/>
  <c r="DF28" i="3"/>
  <c r="DS93" i="3"/>
  <c r="DS95" i="3" s="1"/>
  <c r="L94" i="14" s="1"/>
  <c r="BI79" i="3"/>
  <c r="DQ22" i="3"/>
  <c r="AZ97" i="3"/>
  <c r="DX16" i="3"/>
  <c r="DQ85" i="3"/>
  <c r="DQ88" i="3" s="1"/>
  <c r="I92" i="14" s="1"/>
  <c r="CQ85" i="3"/>
  <c r="CM54" i="3"/>
  <c r="CY54" i="3"/>
  <c r="AK92" i="3"/>
  <c r="Y102" i="3"/>
  <c r="CE33" i="3"/>
  <c r="DF73" i="3"/>
  <c r="BR65" i="3"/>
  <c r="CH51" i="3"/>
  <c r="CB51" i="3"/>
  <c r="BI100" i="3"/>
  <c r="DC43" i="3"/>
  <c r="CY33" i="3"/>
  <c r="DI35" i="3"/>
  <c r="DA13" i="3"/>
  <c r="DC20" i="3"/>
  <c r="CQ13" i="3"/>
  <c r="EA20" i="3"/>
  <c r="DP8" i="3"/>
  <c r="G90" i="14" s="1"/>
  <c r="DF55" i="3"/>
  <c r="DI51" i="3"/>
  <c r="BL43" i="3"/>
  <c r="BL20" i="3"/>
  <c r="BN28" i="3"/>
  <c r="BP51" i="3"/>
  <c r="BR28" i="3"/>
  <c r="BT43" i="3"/>
  <c r="BV35" i="3"/>
  <c r="BX28" i="3"/>
  <c r="BZ73" i="3"/>
  <c r="EB98" i="3"/>
  <c r="BH79" i="3"/>
  <c r="DD25" i="3"/>
  <c r="C69" i="14" s="1"/>
  <c r="AY97" i="3"/>
  <c r="DN22" i="3"/>
  <c r="AZ100" i="3"/>
  <c r="DX36" i="3"/>
  <c r="DF85" i="3"/>
  <c r="DF88" i="3" s="1"/>
  <c r="I71" i="14" s="1"/>
  <c r="CD85" i="3"/>
  <c r="X98" i="3"/>
  <c r="CM52" i="3"/>
  <c r="DG75" i="3"/>
  <c r="DU35" i="3"/>
  <c r="DA29" i="3"/>
  <c r="DP50" i="3"/>
  <c r="BI98" i="3"/>
  <c r="DM22" i="3"/>
  <c r="BF98" i="3"/>
  <c r="DA28" i="3"/>
  <c r="CQ75" i="3"/>
  <c r="CI85" i="3"/>
  <c r="DA52" i="3"/>
  <c r="CI93" i="3"/>
  <c r="CI95" i="3" s="1"/>
  <c r="L42" i="14" s="1"/>
  <c r="AW88" i="3"/>
  <c r="DU28" i="3"/>
  <c r="DF43" i="3"/>
  <c r="DS65" i="3"/>
  <c r="DC65" i="3"/>
  <c r="BH100" i="3"/>
  <c r="CE22" i="3"/>
  <c r="DM53" i="3"/>
  <c r="DA36" i="3"/>
  <c r="CP20" i="3"/>
  <c r="DF32" i="3"/>
  <c r="DG11" i="3"/>
  <c r="DF17" i="3"/>
  <c r="CY66" i="3"/>
  <c r="DN27" i="3"/>
  <c r="DS53" i="3"/>
  <c r="DX58" i="3"/>
  <c r="DM73" i="3"/>
  <c r="CL57" i="3"/>
  <c r="BN43" i="3"/>
  <c r="BP35" i="3"/>
  <c r="BR35" i="3"/>
  <c r="BR13" i="3"/>
  <c r="BT65" i="3"/>
  <c r="BT13" i="3"/>
  <c r="BV51" i="3"/>
  <c r="BV20" i="3"/>
  <c r="CB13" i="3"/>
  <c r="CD43" i="3"/>
  <c r="CQ58" i="3"/>
  <c r="CI58" i="3"/>
  <c r="BX65" i="3"/>
  <c r="DI60" i="3"/>
  <c r="AV88" i="3"/>
  <c r="CM85" i="3"/>
  <c r="DG90" i="3"/>
  <c r="DU13" i="3"/>
  <c r="BX35" i="3"/>
  <c r="CP73" i="3"/>
  <c r="DI13" i="3"/>
  <c r="EA73" i="3"/>
  <c r="CX44" i="3"/>
  <c r="DJ93" i="3"/>
  <c r="DJ95" i="3" s="1"/>
  <c r="L83" i="14" s="1"/>
  <c r="BI92" i="3"/>
  <c r="BI101" i="3"/>
  <c r="DF65" i="3"/>
  <c r="X95" i="3"/>
  <c r="CL37" i="3"/>
  <c r="DU57" i="3"/>
  <c r="CL65" i="3"/>
  <c r="DU65" i="3"/>
  <c r="EA65" i="3"/>
  <c r="DJ15" i="3"/>
  <c r="DS73" i="3"/>
  <c r="DM65" i="3"/>
  <c r="DF89" i="3"/>
  <c r="DF92" i="3" s="1"/>
  <c r="K71" i="14" s="1"/>
  <c r="DM20" i="3"/>
  <c r="EB97" i="3"/>
  <c r="DQ45" i="3"/>
  <c r="CL43" i="3"/>
  <c r="DG46" i="3"/>
  <c r="DG89" i="3"/>
  <c r="EA68" i="3"/>
  <c r="DI20" i="3"/>
  <c r="DP64" i="3"/>
  <c r="CB35" i="3"/>
  <c r="CB20" i="3"/>
  <c r="EA28" i="3"/>
  <c r="DC28" i="3"/>
  <c r="DS51" i="3"/>
  <c r="AT81" i="3"/>
  <c r="AT99" i="3" s="1"/>
  <c r="CL73" i="3"/>
  <c r="BN73" i="3"/>
  <c r="BP57" i="3"/>
  <c r="BV73" i="3"/>
  <c r="BX51" i="3"/>
  <c r="BX57" i="3"/>
  <c r="BR73" i="3"/>
  <c r="BH98" i="3"/>
  <c r="DA73" i="3"/>
  <c r="CY94" i="3"/>
  <c r="CP52" i="3"/>
  <c r="DD75" i="3"/>
  <c r="CL15" i="3"/>
  <c r="DS85" i="3"/>
  <c r="AV98" i="3"/>
  <c r="AX88" i="3"/>
  <c r="CP51" i="3"/>
  <c r="EA51" i="3"/>
  <c r="CT35" i="3"/>
  <c r="DP12" i="3"/>
  <c r="BA98" i="3"/>
  <c r="DP42" i="3"/>
  <c r="CM94" i="3"/>
  <c r="CM95" i="3" s="1"/>
  <c r="L47" i="14" s="1"/>
  <c r="DN75" i="3"/>
  <c r="CP44" i="3"/>
  <c r="DP65" i="3"/>
  <c r="DF57" i="3"/>
  <c r="DI73" i="3"/>
  <c r="EA57" i="3"/>
  <c r="DU73" i="3"/>
  <c r="DI65" i="3"/>
  <c r="DU43" i="3"/>
  <c r="EB8" i="3"/>
  <c r="G96" i="14" s="1"/>
  <c r="EA13" i="3"/>
  <c r="CI11" i="3"/>
  <c r="DM43" i="3"/>
  <c r="DQ89" i="3"/>
  <c r="DQ92" i="3" s="1"/>
  <c r="K92" i="14" s="1"/>
  <c r="DM35" i="3"/>
  <c r="CQ33" i="3"/>
  <c r="DD22" i="3"/>
  <c r="DN34" i="3"/>
  <c r="DM28" i="3"/>
  <c r="EB95" i="3"/>
  <c r="L96" i="14" s="1"/>
  <c r="DQ33" i="3"/>
  <c r="BL51" i="3"/>
  <c r="BN51" i="3"/>
  <c r="BR43" i="3"/>
  <c r="BT51" i="3"/>
  <c r="CD28" i="3"/>
  <c r="CD13" i="3"/>
  <c r="BX13" i="3"/>
  <c r="BN20" i="3"/>
  <c r="BL73" i="3"/>
  <c r="BT57" i="3"/>
  <c r="BL28" i="3"/>
  <c r="H96" i="14"/>
  <c r="DI76" i="3"/>
  <c r="DQ15" i="3"/>
  <c r="CX18" i="3"/>
  <c r="BR51" i="3"/>
  <c r="DC13" i="3"/>
  <c r="BX85" i="3"/>
  <c r="BX88" i="3" s="1"/>
  <c r="I25" i="14" s="1"/>
  <c r="CB85" i="3"/>
  <c r="CB88" i="3" s="1"/>
  <c r="I31" i="14" s="1"/>
  <c r="DF35" i="3"/>
  <c r="DJ54" i="3"/>
  <c r="CH28" i="3"/>
  <c r="CY89" i="3"/>
  <c r="DA58" i="3"/>
  <c r="DP51" i="3"/>
  <c r="CD73" i="3"/>
  <c r="DJ58" i="3"/>
  <c r="CB57" i="3"/>
  <c r="CP65" i="3"/>
  <c r="BP13" i="3"/>
  <c r="AY88" i="3"/>
  <c r="EA70" i="3"/>
  <c r="EA43" i="3"/>
  <c r="DS20" i="3"/>
  <c r="DI43" i="3"/>
  <c r="DN72" i="3"/>
  <c r="CI33" i="3"/>
  <c r="EA8" i="3"/>
  <c r="EA97" i="3" s="1"/>
  <c r="DI28" i="3"/>
  <c r="DX33" i="3"/>
  <c r="CM58" i="3"/>
  <c r="BP65" i="3"/>
  <c r="BR20" i="3"/>
  <c r="BT20" i="3"/>
  <c r="CD51" i="3"/>
  <c r="BA102" i="3"/>
  <c r="BA88" i="3"/>
  <c r="BX20" i="3"/>
  <c r="DA85" i="3"/>
  <c r="DA88" i="3" s="1"/>
  <c r="I64" i="14" s="1"/>
  <c r="EA85" i="3"/>
  <c r="EA88" i="3" s="1"/>
  <c r="EA100" i="3" s="1"/>
  <c r="DC51" i="3"/>
  <c r="DD54" i="3"/>
  <c r="DP20" i="3"/>
  <c r="DU51" i="3"/>
  <c r="CP28" i="3"/>
  <c r="CT73" i="3"/>
  <c r="DP19" i="3"/>
  <c r="BH88" i="3"/>
  <c r="CM11" i="3"/>
  <c r="CL20" i="3"/>
  <c r="CB43" i="3"/>
  <c r="DA20" i="3"/>
  <c r="DF20" i="3"/>
  <c r="CP35" i="3"/>
  <c r="CI59" i="3"/>
  <c r="DN11" i="3"/>
  <c r="DN8" i="3"/>
  <c r="G88" i="14" s="1"/>
  <c r="BP73" i="3"/>
  <c r="BP43" i="3"/>
  <c r="BV43" i="3"/>
  <c r="DD33" i="3"/>
  <c r="DG54" i="3"/>
  <c r="DP73" i="3"/>
  <c r="DP57" i="3"/>
  <c r="DP28" i="3"/>
  <c r="AX97" i="3"/>
  <c r="AW92" i="3"/>
  <c r="Z88" i="3"/>
  <c r="CX73" i="3"/>
  <c r="CX57" i="3"/>
  <c r="CU35" i="3"/>
  <c r="CX13" i="3"/>
  <c r="CU85" i="3"/>
  <c r="CU72" i="3"/>
  <c r="BD64" i="3"/>
  <c r="DB64" i="3" s="1"/>
  <c r="CU56" i="3"/>
  <c r="CU50" i="3"/>
  <c r="CU19" i="3"/>
  <c r="CU12" i="3"/>
  <c r="BD83" i="3"/>
  <c r="CG83" i="3" s="1"/>
  <c r="BD55" i="3"/>
  <c r="AE101" i="3"/>
  <c r="AH100" i="3"/>
  <c r="AL98" i="3"/>
  <c r="AO88" i="3"/>
  <c r="AP95" i="3"/>
  <c r="AR8" i="3"/>
  <c r="AR100" i="3"/>
  <c r="AS8" i="3"/>
  <c r="AS100" i="3"/>
  <c r="AU98" i="3"/>
  <c r="AU101" i="3"/>
  <c r="AV79" i="3"/>
  <c r="BV92" i="3"/>
  <c r="K22" i="14" s="1"/>
  <c r="BP88" i="3"/>
  <c r="BY50" i="3"/>
  <c r="BU50" i="3"/>
  <c r="BQ19" i="3"/>
  <c r="DY19" i="3"/>
  <c r="BW19" i="3"/>
  <c r="CF19" i="3"/>
  <c r="CN19" i="3"/>
  <c r="CK63" i="3"/>
  <c r="E79" i="3"/>
  <c r="DF33" i="3"/>
  <c r="CH39" i="3"/>
  <c r="DI80" i="3"/>
  <c r="DI81" i="3" s="1"/>
  <c r="DD11" i="3"/>
  <c r="CQ14" i="3"/>
  <c r="CT14" i="3"/>
  <c r="CT94" i="3"/>
  <c r="CT95" i="3" s="1"/>
  <c r="L55" i="14" s="1"/>
  <c r="CQ94" i="3"/>
  <c r="CQ95" i="3" s="1"/>
  <c r="L52" i="14" s="1"/>
  <c r="AB97" i="3"/>
  <c r="AB8" i="3"/>
  <c r="CX84" i="3"/>
  <c r="BD84" i="3"/>
  <c r="AD98" i="3"/>
  <c r="AF92" i="3"/>
  <c r="AF101" i="3"/>
  <c r="CY59" i="3"/>
  <c r="DA59" i="3"/>
  <c r="DA22" i="3"/>
  <c r="CY22" i="3"/>
  <c r="DA93" i="3"/>
  <c r="DA95" i="3" s="1"/>
  <c r="L64" i="14" s="1"/>
  <c r="CY93" i="3"/>
  <c r="AI79" i="3"/>
  <c r="AI88" i="3"/>
  <c r="AI100" i="3"/>
  <c r="AJ98" i="3"/>
  <c r="DD63" i="3"/>
  <c r="DF63" i="3"/>
  <c r="DF49" i="3"/>
  <c r="DD49" i="3"/>
  <c r="DF41" i="3"/>
  <c r="DD41" i="3"/>
  <c r="DF18" i="3"/>
  <c r="DD18" i="3"/>
  <c r="AL101" i="3"/>
  <c r="AL92" i="3"/>
  <c r="DG61" i="3"/>
  <c r="DI61" i="3"/>
  <c r="DG47" i="3"/>
  <c r="DI47" i="3"/>
  <c r="DG39" i="3"/>
  <c r="DI39" i="3"/>
  <c r="DG31" i="3"/>
  <c r="DI31" i="3"/>
  <c r="DG24" i="3"/>
  <c r="DI24" i="3"/>
  <c r="DG91" i="3"/>
  <c r="AM101" i="3"/>
  <c r="DM60" i="3"/>
  <c r="DJ60" i="3"/>
  <c r="DM16" i="3"/>
  <c r="AN79" i="3"/>
  <c r="DM90" i="3"/>
  <c r="DM92" i="3" s="1"/>
  <c r="K86" i="14" s="1"/>
  <c r="AN92" i="3"/>
  <c r="AO95" i="3"/>
  <c r="AO102" i="3"/>
  <c r="AP79" i="3"/>
  <c r="AP98" i="3"/>
  <c r="AP100" i="3"/>
  <c r="AP88" i="3"/>
  <c r="DN43" i="3"/>
  <c r="DP43" i="3"/>
  <c r="DP13" i="3"/>
  <c r="AQ79" i="3"/>
  <c r="DN13" i="3"/>
  <c r="AQ100" i="3"/>
  <c r="DP85" i="3"/>
  <c r="DN85" i="3"/>
  <c r="P92" i="3"/>
  <c r="CB91" i="3"/>
  <c r="CB92" i="3" s="1"/>
  <c r="K31" i="14" s="1"/>
  <c r="R102" i="3"/>
  <c r="R95" i="3"/>
  <c r="S98" i="3"/>
  <c r="BC84" i="3"/>
  <c r="BM84" i="3" s="1"/>
  <c r="CH61" i="3"/>
  <c r="CE61" i="3"/>
  <c r="CX61" i="3"/>
  <c r="CE54" i="3"/>
  <c r="CH54" i="3"/>
  <c r="CE31" i="3"/>
  <c r="CH31" i="3"/>
  <c r="CH24" i="3"/>
  <c r="CE24" i="3"/>
  <c r="V81" i="3"/>
  <c r="V99" i="3" s="1"/>
  <c r="CE80" i="3"/>
  <c r="CE81" i="3" s="1"/>
  <c r="CH80" i="3"/>
  <c r="CH81" i="3" s="1"/>
  <c r="CH91" i="3"/>
  <c r="V92" i="3"/>
  <c r="CI75" i="3"/>
  <c r="CL75" i="3"/>
  <c r="CL67" i="3"/>
  <c r="CI67" i="3"/>
  <c r="CI53" i="3"/>
  <c r="CL53" i="3"/>
  <c r="CL45" i="3"/>
  <c r="CI45" i="3"/>
  <c r="CU22" i="3"/>
  <c r="CL22" i="3"/>
  <c r="CI87" i="3"/>
  <c r="CL87" i="3"/>
  <c r="CL88" i="3" s="1"/>
  <c r="CM74" i="3"/>
  <c r="CP74" i="3"/>
  <c r="CM66" i="3"/>
  <c r="BD66" i="3"/>
  <c r="BD52" i="3"/>
  <c r="CW52" i="3" s="1"/>
  <c r="CM36" i="3"/>
  <c r="CP36" i="3"/>
  <c r="CP29" i="3"/>
  <c r="CM29" i="3"/>
  <c r="CM21" i="3"/>
  <c r="CX21" i="3"/>
  <c r="CU21" i="3"/>
  <c r="CX14" i="3"/>
  <c r="CU65" i="3"/>
  <c r="CT65" i="3"/>
  <c r="CX65" i="3"/>
  <c r="CQ65" i="3"/>
  <c r="CX43" i="3"/>
  <c r="CT43" i="3"/>
  <c r="BD35" i="3"/>
  <c r="CX35" i="3"/>
  <c r="CT28" i="3"/>
  <c r="CQ28" i="3"/>
  <c r="CU28" i="3"/>
  <c r="CX28" i="3"/>
  <c r="BD28" i="3"/>
  <c r="CK28" i="3" s="1"/>
  <c r="CT21" i="3"/>
  <c r="BN35" i="3"/>
  <c r="BC35" i="3"/>
  <c r="CV35" i="3" s="1"/>
  <c r="CV19" i="3"/>
  <c r="G100" i="3"/>
  <c r="BD27" i="3"/>
  <c r="CH69" i="3"/>
  <c r="DS92" i="3"/>
  <c r="K94" i="14" s="1"/>
  <c r="CT86" i="3"/>
  <c r="CT88" i="3" s="1"/>
  <c r="I55" i="14" s="1"/>
  <c r="F79" i="3"/>
  <c r="BP16" i="3"/>
  <c r="DK87" i="3"/>
  <c r="J88" i="3"/>
  <c r="G88" i="3"/>
  <c r="AM92" i="3"/>
  <c r="CE77" i="3"/>
  <c r="CY15" i="3"/>
  <c r="CX19" i="3"/>
  <c r="P101" i="3"/>
  <c r="BR90" i="3"/>
  <c r="BR92" i="3" s="1"/>
  <c r="BR101" i="3" s="1"/>
  <c r="BC59" i="3"/>
  <c r="DY59" i="3" s="1"/>
  <c r="BC93" i="3"/>
  <c r="CJ93" i="3" s="1"/>
  <c r="CC22" i="3"/>
  <c r="BT93" i="3"/>
  <c r="BT95" i="3" s="1"/>
  <c r="L19" i="14" s="1"/>
  <c r="H98" i="3"/>
  <c r="CQ86" i="3"/>
  <c r="DQ76" i="3"/>
  <c r="AU92" i="3"/>
  <c r="CP57" i="3"/>
  <c r="CP85" i="3"/>
  <c r="AU88" i="3"/>
  <c r="EA92" i="3"/>
  <c r="EA101" i="3" s="1"/>
  <c r="DX92" i="3"/>
  <c r="DX101" i="3" s="1"/>
  <c r="DA65" i="3"/>
  <c r="DA35" i="3"/>
  <c r="AM95" i="3"/>
  <c r="DN33" i="3"/>
  <c r="AT88" i="3"/>
  <c r="AT101" i="3"/>
  <c r="CU36" i="3"/>
  <c r="DG58" i="3"/>
  <c r="DS13" i="3"/>
  <c r="DG8" i="3"/>
  <c r="G79" i="14" s="1"/>
  <c r="DS60" i="3"/>
  <c r="AT98" i="3"/>
  <c r="BC82" i="3"/>
  <c r="CF82" i="3" s="1"/>
  <c r="CQ89" i="3"/>
  <c r="CY11" i="3"/>
  <c r="AP92" i="3"/>
  <c r="DX93" i="3"/>
  <c r="DX95" i="3" s="1"/>
  <c r="DX102" i="3" s="1"/>
  <c r="CY97" i="3"/>
  <c r="DJ97" i="3"/>
  <c r="BR88" i="3"/>
  <c r="BR100" i="3" s="1"/>
  <c r="T101" i="3"/>
  <c r="ED100" i="3"/>
  <c r="AS88" i="3"/>
  <c r="CT8" i="3"/>
  <c r="G55" i="14" s="1"/>
  <c r="BX92" i="3"/>
  <c r="K25" i="14" s="1"/>
  <c r="DN95" i="3"/>
  <c r="L88" i="14" s="1"/>
  <c r="BL8" i="3"/>
  <c r="BZ76" i="3"/>
  <c r="BZ68" i="3"/>
  <c r="BZ60" i="3"/>
  <c r="BZ46" i="3"/>
  <c r="BZ38" i="3"/>
  <c r="BZ30" i="3"/>
  <c r="BZ23" i="3"/>
  <c r="BZ16" i="3"/>
  <c r="BZ82" i="3"/>
  <c r="BZ90" i="3"/>
  <c r="BZ59" i="3"/>
  <c r="BZ53" i="3"/>
  <c r="BZ45" i="3"/>
  <c r="BZ37" i="3"/>
  <c r="BZ93" i="3"/>
  <c r="T95" i="3"/>
  <c r="ED97" i="3"/>
  <c r="DN58" i="3"/>
  <c r="AR88" i="3"/>
  <c r="T102" i="3"/>
  <c r="BD69" i="3"/>
  <c r="BD78" i="3"/>
  <c r="CU70" i="3"/>
  <c r="CU62" i="3"/>
  <c r="CU25" i="3"/>
  <c r="C57" i="14" s="1"/>
  <c r="AB101" i="3"/>
  <c r="AC8" i="3"/>
  <c r="AC100" i="3"/>
  <c r="BD42" i="3"/>
  <c r="DV42" i="3" s="1"/>
  <c r="BD19" i="3"/>
  <c r="BD7" i="3"/>
  <c r="BD65" i="3"/>
  <c r="BD57" i="3"/>
  <c r="BD43" i="3"/>
  <c r="AF102" i="3"/>
  <c r="P97" i="3"/>
  <c r="CL95" i="3"/>
  <c r="L45" i="14" s="1"/>
  <c r="DF95" i="3"/>
  <c r="L71" i="14" s="1"/>
  <c r="EC101" i="3"/>
  <c r="BZ69" i="3"/>
  <c r="BZ39" i="3"/>
  <c r="BZ31" i="3"/>
  <c r="BZ91" i="3"/>
  <c r="DP92" i="3"/>
  <c r="D79" i="3"/>
  <c r="BC77" i="3"/>
  <c r="BK77" i="3" s="1"/>
  <c r="BC61" i="3"/>
  <c r="CA61" i="3" s="1"/>
  <c r="BC54" i="3"/>
  <c r="BC47" i="3"/>
  <c r="CV47" i="3" s="1"/>
  <c r="BC39" i="3"/>
  <c r="BC31" i="3"/>
  <c r="BK31" i="3" s="1"/>
  <c r="BC24" i="3"/>
  <c r="CC24" i="3" s="1"/>
  <c r="BC91" i="3"/>
  <c r="BC55" i="3"/>
  <c r="BS55" i="3" s="1"/>
  <c r="BC48" i="3"/>
  <c r="BC32" i="3"/>
  <c r="BS32" i="3" s="1"/>
  <c r="BC17" i="3"/>
  <c r="CA17" i="3" s="1"/>
  <c r="BC10" i="3"/>
  <c r="BC89" i="3"/>
  <c r="BQ89" i="3" s="1"/>
  <c r="BC71" i="3"/>
  <c r="BK71" i="3" s="1"/>
  <c r="BC26" i="3"/>
  <c r="BC18" i="3"/>
  <c r="BC11" i="3"/>
  <c r="CF11" i="3" s="1"/>
  <c r="BC73" i="3"/>
  <c r="BQ73" i="3" s="1"/>
  <c r="BC65" i="3"/>
  <c r="BK65" i="3" s="1"/>
  <c r="BC51" i="3"/>
  <c r="BC28" i="3"/>
  <c r="CV28" i="3" s="1"/>
  <c r="BC20" i="3"/>
  <c r="V88" i="3"/>
  <c r="CE46" i="3"/>
  <c r="P8" i="3"/>
  <c r="DM8" i="3"/>
  <c r="G86" i="14" s="1"/>
  <c r="I97" i="3"/>
  <c r="K8" i="3"/>
  <c r="BZ65" i="3"/>
  <c r="BZ57" i="3"/>
  <c r="BZ51" i="3"/>
  <c r="BZ43" i="3"/>
  <c r="BZ35" i="3"/>
  <c r="BZ28" i="3"/>
  <c r="BZ85" i="3"/>
  <c r="BZ74" i="3"/>
  <c r="BZ44" i="3"/>
  <c r="BZ36" i="3"/>
  <c r="BZ29" i="3"/>
  <c r="L88" i="3"/>
  <c r="N100" i="3"/>
  <c r="T8" i="3"/>
  <c r="AI8" i="3"/>
  <c r="BV8" i="3"/>
  <c r="G22" i="14" s="1"/>
  <c r="CD95" i="3"/>
  <c r="L34" i="14" s="1"/>
  <c r="CU84" i="3"/>
  <c r="AE92" i="3"/>
  <c r="CE95" i="3"/>
  <c r="L37" i="14" s="1"/>
  <c r="I95" i="3"/>
  <c r="AR79" i="3"/>
  <c r="AS98" i="3"/>
  <c r="AT79" i="3"/>
  <c r="AU79" i="3"/>
  <c r="AW98" i="3"/>
  <c r="AX98" i="3"/>
  <c r="AY98" i="3"/>
  <c r="AZ98" i="3"/>
  <c r="BB92" i="3"/>
  <c r="CC87" i="3"/>
  <c r="BK87" i="3"/>
  <c r="BO87" i="3"/>
  <c r="BW87" i="3"/>
  <c r="BU87" i="3"/>
  <c r="BU19" i="3"/>
  <c r="BY87" i="3"/>
  <c r="BT97" i="3"/>
  <c r="CR87" i="3"/>
  <c r="BS19" i="3"/>
  <c r="BR8" i="3"/>
  <c r="BR97" i="3" s="1"/>
  <c r="O95" i="3"/>
  <c r="V101" i="3"/>
  <c r="AM88" i="3"/>
  <c r="AO79" i="3"/>
  <c r="AO101" i="3"/>
  <c r="AQ8" i="3"/>
  <c r="DY9" i="3"/>
  <c r="CF50" i="3"/>
  <c r="CG63" i="3"/>
  <c r="CZ63" i="3"/>
  <c r="DE63" i="3"/>
  <c r="DH63" i="3"/>
  <c r="DR63" i="3"/>
  <c r="DL63" i="3"/>
  <c r="DT63" i="3"/>
  <c r="BX11" i="3"/>
  <c r="J98" i="3"/>
  <c r="BZ13" i="3"/>
  <c r="K79" i="3"/>
  <c r="L95" i="3"/>
  <c r="BZ94" i="3"/>
  <c r="M98" i="3"/>
  <c r="M95" i="3"/>
  <c r="M102" i="3"/>
  <c r="O79" i="3"/>
  <c r="BK50" i="3"/>
  <c r="BM87" i="3"/>
  <c r="BM19" i="3"/>
  <c r="F98" i="3"/>
  <c r="BL44" i="3"/>
  <c r="AI98" i="3"/>
  <c r="R79" i="3"/>
  <c r="DD95" i="3"/>
  <c r="L69" i="14" s="1"/>
  <c r="DA30" i="3"/>
  <c r="CY30" i="3"/>
  <c r="CY23" i="3"/>
  <c r="DA23" i="3"/>
  <c r="AG79" i="3"/>
  <c r="DA16" i="3"/>
  <c r="CY16" i="3"/>
  <c r="AG88" i="3"/>
  <c r="CY82" i="3"/>
  <c r="DA90" i="3"/>
  <c r="DA92" i="3" s="1"/>
  <c r="K64" i="14" s="1"/>
  <c r="AG92" i="3"/>
  <c r="AG101" i="3"/>
  <c r="CY90" i="3"/>
  <c r="AH92" i="3"/>
  <c r="AH101" i="3"/>
  <c r="AI101" i="3"/>
  <c r="AI92" i="3"/>
  <c r="AJ97" i="3"/>
  <c r="AJ8" i="3"/>
  <c r="DC41" i="3"/>
  <c r="DC26" i="3"/>
  <c r="AJ79" i="3"/>
  <c r="AJ100" i="3"/>
  <c r="AJ88" i="3"/>
  <c r="DC83" i="3"/>
  <c r="AK8" i="3"/>
  <c r="DF8" i="3"/>
  <c r="G71" i="14" s="1"/>
  <c r="DD4" i="3"/>
  <c r="DD8" i="3" s="1"/>
  <c r="G69" i="14" s="1"/>
  <c r="AK97" i="3"/>
  <c r="DD72" i="3"/>
  <c r="DF72" i="3"/>
  <c r="DF64" i="3"/>
  <c r="DD56" i="3"/>
  <c r="DF56" i="3"/>
  <c r="DD34" i="3"/>
  <c r="DF34" i="3"/>
  <c r="DF19" i="3"/>
  <c r="DD19" i="3"/>
  <c r="AK79" i="3"/>
  <c r="DD12" i="3"/>
  <c r="DF12" i="3"/>
  <c r="AK98" i="3"/>
  <c r="AK88" i="3"/>
  <c r="AK100" i="3"/>
  <c r="AL97" i="3"/>
  <c r="AL8" i="3"/>
  <c r="AL79" i="3"/>
  <c r="AL100" i="3"/>
  <c r="AL88" i="3"/>
  <c r="AM8" i="3"/>
  <c r="AM97" i="3"/>
  <c r="DG74" i="3"/>
  <c r="DI74" i="3"/>
  <c r="DG66" i="3"/>
  <c r="DG52" i="3"/>
  <c r="DI52" i="3"/>
  <c r="DI44" i="3"/>
  <c r="DI29" i="3"/>
  <c r="DG15" i="3"/>
  <c r="AM98" i="3"/>
  <c r="DI15" i="3"/>
  <c r="AM79" i="3"/>
  <c r="CQ16" i="3"/>
  <c r="CT16" i="3"/>
  <c r="Z98" i="3"/>
  <c r="CQ82" i="3"/>
  <c r="Z100" i="3"/>
  <c r="CQ90" i="3"/>
  <c r="CT90" i="3"/>
  <c r="CT92" i="3" s="1"/>
  <c r="Z101" i="3"/>
  <c r="Z92" i="3"/>
  <c r="BD80" i="3"/>
  <c r="AA92" i="3"/>
  <c r="CX91" i="3"/>
  <c r="CX48" i="3"/>
  <c r="CU48" i="3"/>
  <c r="BD40" i="3"/>
  <c r="CU40" i="3"/>
  <c r="CU32" i="3"/>
  <c r="CX32" i="3"/>
  <c r="BD32" i="3"/>
  <c r="AC98" i="3"/>
  <c r="AC79" i="3"/>
  <c r="AD97" i="3"/>
  <c r="AD8" i="3"/>
  <c r="AD88" i="3"/>
  <c r="AD100" i="3"/>
  <c r="AE79" i="3"/>
  <c r="AE98" i="3"/>
  <c r="BD13" i="3"/>
  <c r="AF98" i="3"/>
  <c r="AF79" i="3"/>
  <c r="BD75" i="3"/>
  <c r="DA75" i="3"/>
  <c r="CY75" i="3"/>
  <c r="CY67" i="3"/>
  <c r="DA67" i="3"/>
  <c r="CY53" i="3"/>
  <c r="DA53" i="3"/>
  <c r="DA37" i="3"/>
  <c r="CY37" i="3"/>
  <c r="CJ50" i="3"/>
  <c r="F88" i="3"/>
  <c r="F100" i="3"/>
  <c r="I98" i="3"/>
  <c r="G98" i="3"/>
  <c r="DZ63" i="3"/>
  <c r="BD91" i="3"/>
  <c r="DV91" i="3" s="1"/>
  <c r="D95" i="3"/>
  <c r="BL93" i="3"/>
  <c r="BL95" i="3" s="1"/>
  <c r="L10" i="14" s="1"/>
  <c r="D102" i="3"/>
  <c r="BP61" i="3"/>
  <c r="CQ44" i="3"/>
  <c r="CT44" i="3"/>
  <c r="CQ36" i="3"/>
  <c r="CQ29" i="3"/>
  <c r="CT22" i="3"/>
  <c r="CQ22" i="3"/>
  <c r="T98" i="3"/>
  <c r="T88" i="3"/>
  <c r="T100" i="3"/>
  <c r="U81" i="3"/>
  <c r="U99" i="3" s="1"/>
  <c r="EC97" i="3"/>
  <c r="EC8" i="3"/>
  <c r="EC100" i="3"/>
  <c r="BC83" i="3"/>
  <c r="ED8" i="3"/>
  <c r="BC13" i="3"/>
  <c r="BU13" i="3" s="1"/>
  <c r="V97" i="3"/>
  <c r="V8" i="3"/>
  <c r="BD74" i="3"/>
  <c r="CU74" i="3"/>
  <c r="CE66" i="3"/>
  <c r="CU66" i="3"/>
  <c r="CX66" i="3"/>
  <c r="BD58" i="3"/>
  <c r="CE58" i="3"/>
  <c r="CU58" i="3"/>
  <c r="CH58" i="3"/>
  <c r="CX58" i="3"/>
  <c r="CE52" i="3"/>
  <c r="CU52" i="3"/>
  <c r="CE44" i="3"/>
  <c r="BD44" i="3"/>
  <c r="CH44" i="3"/>
  <c r="CU44" i="3"/>
  <c r="CE36" i="3"/>
  <c r="CX36" i="3"/>
  <c r="BD36" i="3"/>
  <c r="CH36" i="3"/>
  <c r="CH29" i="3"/>
  <c r="CU29" i="3"/>
  <c r="BD29" i="3"/>
  <c r="CX29" i="3"/>
  <c r="CE29" i="3"/>
  <c r="CH21" i="3"/>
  <c r="CE21" i="3"/>
  <c r="V79" i="3"/>
  <c r="CE76" i="3"/>
  <c r="CU76" i="3"/>
  <c r="CH68" i="3"/>
  <c r="BD68" i="3"/>
  <c r="CU68" i="3"/>
  <c r="CX68" i="3"/>
  <c r="CX60" i="3"/>
  <c r="CH60" i="3"/>
  <c r="CU60" i="3"/>
  <c r="CE38" i="3"/>
  <c r="CH38" i="3"/>
  <c r="CH30" i="3"/>
  <c r="CE30" i="3"/>
  <c r="CU30" i="3"/>
  <c r="CH23" i="3"/>
  <c r="CE23" i="3"/>
  <c r="CU23" i="3"/>
  <c r="CX16" i="3"/>
  <c r="W79" i="3"/>
  <c r="CU16" i="3"/>
  <c r="W98" i="3"/>
  <c r="CH16" i="3"/>
  <c r="W100" i="3"/>
  <c r="CE82" i="3"/>
  <c r="CE88" i="3" s="1"/>
  <c r="I37" i="14" s="1"/>
  <c r="CH82" i="3"/>
  <c r="BD82" i="3"/>
  <c r="DV82" i="3" s="1"/>
  <c r="BD90" i="3"/>
  <c r="CH90" i="3"/>
  <c r="CE90" i="3"/>
  <c r="CE92" i="3" s="1"/>
  <c r="W92" i="3"/>
  <c r="W101" i="3"/>
  <c r="CL77" i="3"/>
  <c r="CI77" i="3"/>
  <c r="CU77" i="3"/>
  <c r="CX69" i="3"/>
  <c r="CL69" i="3"/>
  <c r="CU69" i="3"/>
  <c r="CL61" i="3"/>
  <c r="CU61" i="3"/>
  <c r="CI61" i="3"/>
  <c r="CI54" i="3"/>
  <c r="CX54" i="3"/>
  <c r="CL54" i="3"/>
  <c r="CU54" i="3"/>
  <c r="CL47" i="3"/>
  <c r="CX47" i="3"/>
  <c r="BD47" i="3"/>
  <c r="CU47" i="3"/>
  <c r="CL39" i="3"/>
  <c r="BD39" i="3"/>
  <c r="CU39" i="3"/>
  <c r="CI39" i="3"/>
  <c r="CX39" i="3"/>
  <c r="CL31" i="3"/>
  <c r="CI31" i="3"/>
  <c r="CX31" i="3"/>
  <c r="CU31" i="3"/>
  <c r="CI17" i="3"/>
  <c r="CL17" i="3"/>
  <c r="CU17" i="3"/>
  <c r="CX17" i="3"/>
  <c r="X79" i="3"/>
  <c r="CL10" i="3"/>
  <c r="CX10" i="3"/>
  <c r="CU89" i="3"/>
  <c r="X101" i="3"/>
  <c r="CI89" i="3"/>
  <c r="CI92" i="3" s="1"/>
  <c r="K42" i="14" s="1"/>
  <c r="Y8" i="3"/>
  <c r="Y97" i="3"/>
  <c r="CP71" i="3"/>
  <c r="CM71" i="3"/>
  <c r="CU71" i="3"/>
  <c r="CU63" i="3"/>
  <c r="CP63" i="3"/>
  <c r="CO63" i="3"/>
  <c r="CX63" i="3"/>
  <c r="CM49" i="3"/>
  <c r="CP49" i="3"/>
  <c r="CM41" i="3"/>
  <c r="CP41" i="3"/>
  <c r="BD41" i="3"/>
  <c r="CU41" i="3"/>
  <c r="CU33" i="3"/>
  <c r="CM33" i="3"/>
  <c r="CX33" i="3"/>
  <c r="CX26" i="3"/>
  <c r="CM26" i="3"/>
  <c r="CU26" i="3"/>
  <c r="CP26" i="3"/>
  <c r="BD26" i="3"/>
  <c r="CP11" i="3"/>
  <c r="BD11" i="3"/>
  <c r="Y88" i="3"/>
  <c r="Y100" i="3"/>
  <c r="CP83" i="3"/>
  <c r="CM83" i="3"/>
  <c r="CX83" i="3"/>
  <c r="BD4" i="3"/>
  <c r="CQ4" i="3"/>
  <c r="CQ8" i="3" s="1"/>
  <c r="G52" i="14" s="1"/>
  <c r="CU4" i="3"/>
  <c r="CQ72" i="3"/>
  <c r="CX72" i="3"/>
  <c r="BD72" i="3"/>
  <c r="DV72" i="3" s="1"/>
  <c r="CT64" i="3"/>
  <c r="CU64" i="3"/>
  <c r="CX64" i="3"/>
  <c r="CQ64" i="3"/>
  <c r="CQ56" i="3"/>
  <c r="CT56" i="3"/>
  <c r="CX56" i="3"/>
  <c r="BD56" i="3"/>
  <c r="CQ51" i="3"/>
  <c r="CU51" i="3"/>
  <c r="CX51" i="3"/>
  <c r="CT51" i="3"/>
  <c r="DO63" i="3"/>
  <c r="T79" i="3"/>
  <c r="CD8" i="3"/>
  <c r="G34" i="14" s="1"/>
  <c r="Q97" i="3"/>
  <c r="CD84" i="3"/>
  <c r="Q100" i="3"/>
  <c r="Q88" i="3"/>
  <c r="R100" i="3"/>
  <c r="R88" i="3"/>
  <c r="S88" i="3"/>
  <c r="S100" i="3"/>
  <c r="S102" i="3"/>
  <c r="S95" i="3"/>
  <c r="BT80" i="3"/>
  <c r="BT81" i="3" s="1"/>
  <c r="DM68" i="3"/>
  <c r="DJ90" i="3"/>
  <c r="AS95" i="3"/>
  <c r="AS79" i="3"/>
  <c r="DU95" i="3"/>
  <c r="DI93" i="3"/>
  <c r="DI95" i="3" s="1"/>
  <c r="L81" i="14" s="1"/>
  <c r="AY79" i="3"/>
  <c r="AM102" i="3"/>
  <c r="DQ61" i="3"/>
  <c r="DQ54" i="3"/>
  <c r="DU16" i="3"/>
  <c r="DN41" i="3"/>
  <c r="AV81" i="3"/>
  <c r="AV99" i="3" s="1"/>
  <c r="DC8" i="3"/>
  <c r="G67" i="14" s="1"/>
  <c r="DU8" i="3"/>
  <c r="AW101" i="3"/>
  <c r="DP84" i="3"/>
  <c r="AN98" i="3"/>
  <c r="K101" i="3"/>
  <c r="AR97" i="3"/>
  <c r="AQ97" i="3"/>
  <c r="DS80" i="3"/>
  <c r="DS81" i="3" s="1"/>
  <c r="DM76" i="3"/>
  <c r="AQ88" i="3"/>
  <c r="DU90" i="3"/>
  <c r="DU92" i="3" s="1"/>
  <c r="DU82" i="3"/>
  <c r="DG93" i="3"/>
  <c r="DG95" i="3" s="1"/>
  <c r="L79" i="14" s="1"/>
  <c r="BC25" i="3"/>
  <c r="BM25" i="3" s="1"/>
  <c r="C12" i="14" s="1"/>
  <c r="BC41" i="3"/>
  <c r="CC41" i="3" s="1"/>
  <c r="BC33" i="3"/>
  <c r="BC72" i="3"/>
  <c r="CX77" i="3"/>
  <c r="CH47" i="3"/>
  <c r="AV101" i="3"/>
  <c r="CP8" i="3"/>
  <c r="G50" i="14" s="1"/>
  <c r="DQ69" i="3"/>
  <c r="AA79" i="3"/>
  <c r="AT92" i="3"/>
  <c r="AM100" i="3"/>
  <c r="AV92" i="3"/>
  <c r="DM23" i="3"/>
  <c r="DQ77" i="3"/>
  <c r="AN101" i="3"/>
  <c r="DS47" i="3"/>
  <c r="AO98" i="3"/>
  <c r="AQ98" i="3"/>
  <c r="AN88" i="3"/>
  <c r="BC44" i="3"/>
  <c r="CJ44" i="3" s="1"/>
  <c r="AN100" i="3"/>
  <c r="DM82" i="3"/>
  <c r="DM88" i="3" s="1"/>
  <c r="I86" i="14" s="1"/>
  <c r="DM30" i="3"/>
  <c r="J8" i="3"/>
  <c r="Q92" i="3"/>
  <c r="R98" i="3"/>
  <c r="BC37" i="3"/>
  <c r="CE71" i="3"/>
  <c r="BD49" i="3"/>
  <c r="CH41" i="3"/>
  <c r="V98" i="3"/>
  <c r="CE73" i="3"/>
  <c r="CX20" i="3"/>
  <c r="CE13" i="3"/>
  <c r="CH85" i="3"/>
  <c r="BA8" i="3"/>
  <c r="BB8" i="3"/>
  <c r="BN8" i="3"/>
  <c r="G13" i="14" s="1"/>
  <c r="DG87" i="3"/>
  <c r="CH95" i="3"/>
  <c r="L40" i="14" s="1"/>
  <c r="DM46" i="3"/>
  <c r="DI87" i="3"/>
  <c r="AT8" i="3"/>
  <c r="AU8" i="3"/>
  <c r="CE50" i="3"/>
  <c r="CE12" i="3"/>
  <c r="AV8" i="3"/>
  <c r="EC98" i="3"/>
  <c r="CX50" i="3"/>
  <c r="CU13" i="3"/>
  <c r="CX85" i="3"/>
  <c r="AC97" i="3"/>
  <c r="AC88" i="3"/>
  <c r="CA22" i="3"/>
  <c r="BS87" i="3"/>
  <c r="CN87" i="3"/>
  <c r="CV87" i="3"/>
  <c r="CF87" i="3"/>
  <c r="CJ87" i="3"/>
  <c r="CA87" i="3"/>
  <c r="BQ87" i="3"/>
  <c r="BO22" i="3"/>
  <c r="CF22" i="3"/>
  <c r="DK22" i="3"/>
  <c r="BM22" i="3"/>
  <c r="CJ22" i="3"/>
  <c r="BQ50" i="3"/>
  <c r="CC50" i="3"/>
  <c r="BK22" i="3"/>
  <c r="BY22" i="3"/>
  <c r="CR22" i="3"/>
  <c r="CV22" i="3"/>
  <c r="BQ22" i="3"/>
  <c r="BW22" i="3"/>
  <c r="CN22" i="3"/>
  <c r="BS22" i="3"/>
  <c r="BU22" i="3"/>
  <c r="CC19" i="3"/>
  <c r="BL65" i="3"/>
  <c r="BP23" i="3"/>
  <c r="F92" i="3"/>
  <c r="BP90" i="3"/>
  <c r="BP92" i="3" s="1"/>
  <c r="K16" i="14" s="1"/>
  <c r="D101" i="3"/>
  <c r="BL89" i="3"/>
  <c r="BL92" i="3" s="1"/>
  <c r="K10" i="14" s="1"/>
  <c r="BN83" i="3"/>
  <c r="BN88" i="3" s="1"/>
  <c r="I13" i="14" s="1"/>
  <c r="BP4" i="3"/>
  <c r="BP8" i="3" s="1"/>
  <c r="G16" i="14" s="1"/>
  <c r="F97" i="3"/>
  <c r="BT39" i="3"/>
  <c r="BL53" i="3"/>
  <c r="BC53" i="3"/>
  <c r="DY53" i="3" s="1"/>
  <c r="J102" i="3"/>
  <c r="BV95" i="3"/>
  <c r="L22" i="14" s="1"/>
  <c r="BC69" i="3"/>
  <c r="CD91" i="3"/>
  <c r="CW63" i="3"/>
  <c r="DB63" i="3"/>
  <c r="K100" i="3"/>
  <c r="K92" i="3"/>
  <c r="BC12" i="3"/>
  <c r="CD80" i="3"/>
  <c r="CD81" i="3" s="1"/>
  <c r="S79" i="3"/>
  <c r="CU57" i="3"/>
  <c r="CU43" i="3"/>
  <c r="BL88" i="3"/>
  <c r="I10" i="14" s="1"/>
  <c r="BC75" i="3"/>
  <c r="CB94" i="3"/>
  <c r="CB95" i="3" s="1"/>
  <c r="L31" i="14" s="1"/>
  <c r="P102" i="3"/>
  <c r="BD21" i="3"/>
  <c r="CP21" i="3"/>
  <c r="CP14" i="3"/>
  <c r="Y98" i="3"/>
  <c r="CM14" i="3"/>
  <c r="Y95" i="3"/>
  <c r="BD94" i="3"/>
  <c r="CT59" i="3"/>
  <c r="CX59" i="3"/>
  <c r="CQ46" i="3"/>
  <c r="CU46" i="3"/>
  <c r="CT17" i="3"/>
  <c r="CQ17" i="3"/>
  <c r="AA8" i="3"/>
  <c r="AA97" i="3"/>
  <c r="BC14" i="3"/>
  <c r="CR14" i="3" s="1"/>
  <c r="DD92" i="3"/>
  <c r="K69" i="14" s="1"/>
  <c r="BN72" i="3"/>
  <c r="E8" i="3"/>
  <c r="CX74" i="3"/>
  <c r="V100" i="3"/>
  <c r="W88" i="3"/>
  <c r="DG32" i="3"/>
  <c r="CX11" i="3"/>
  <c r="CU11" i="3"/>
  <c r="CU83" i="3"/>
  <c r="CU7" i="3"/>
  <c r="H100" i="3"/>
  <c r="BZ24" i="3"/>
  <c r="DQ28" i="3"/>
  <c r="DS28" i="3"/>
  <c r="DF53" i="3"/>
  <c r="DD53" i="3"/>
  <c r="DS8" i="3"/>
  <c r="G94" i="14" s="1"/>
  <c r="DP95" i="3"/>
  <c r="L90" i="14" s="1"/>
  <c r="CX41" i="3"/>
  <c r="BC34" i="3"/>
  <c r="BD85" i="3"/>
  <c r="DV85" i="3" s="1"/>
  <c r="CM43" i="3"/>
  <c r="CP43" i="3"/>
  <c r="CU75" i="3"/>
  <c r="X88" i="3"/>
  <c r="CM8" i="3"/>
  <c r="G47" i="14" s="1"/>
  <c r="M8" i="3"/>
  <c r="Y92" i="3"/>
  <c r="BD70" i="3"/>
  <c r="CU55" i="3"/>
  <c r="CU14" i="3"/>
  <c r="CX86" i="3"/>
  <c r="BD67" i="3"/>
  <c r="BD59" i="3"/>
  <c r="CU53" i="3"/>
  <c r="CX45" i="3"/>
  <c r="CU37" i="3"/>
  <c r="BD22" i="3"/>
  <c r="AA98" i="3"/>
  <c r="CX87" i="3"/>
  <c r="AA95" i="3"/>
  <c r="CX76" i="3"/>
  <c r="BD60" i="3"/>
  <c r="BD30" i="3"/>
  <c r="CX23" i="3"/>
  <c r="BD16" i="3"/>
  <c r="AB88" i="3"/>
  <c r="CU90" i="3"/>
  <c r="BD77" i="3"/>
  <c r="BD61" i="3"/>
  <c r="BD54" i="3"/>
  <c r="BD31" i="3"/>
  <c r="AC92" i="3"/>
  <c r="AD79" i="3"/>
  <c r="BD48" i="3"/>
  <c r="BD25" i="3"/>
  <c r="BD17" i="3"/>
  <c r="BD10" i="3"/>
  <c r="AD101" i="3"/>
  <c r="AE8" i="3"/>
  <c r="BD71" i="3"/>
  <c r="BD33" i="3"/>
  <c r="BD18" i="3"/>
  <c r="AE100" i="3"/>
  <c r="BD50" i="3"/>
  <c r="BD12" i="3"/>
  <c r="AF88" i="3"/>
  <c r="BD73" i="3"/>
  <c r="AG95" i="3"/>
  <c r="AH79" i="3"/>
  <c r="AH88" i="3"/>
  <c r="AH102" i="3"/>
  <c r="G92" i="3"/>
  <c r="BZ78" i="3"/>
  <c r="BZ70" i="3"/>
  <c r="W8" i="3"/>
  <c r="CE26" i="3"/>
  <c r="D92" i="3"/>
  <c r="I102" i="3"/>
  <c r="BZ77" i="3"/>
  <c r="BZ61" i="3"/>
  <c r="BZ55" i="3"/>
  <c r="BZ89" i="3"/>
  <c r="BZ63" i="3"/>
  <c r="BC7" i="3"/>
  <c r="BZ15" i="3"/>
  <c r="N101" i="3"/>
  <c r="BC23" i="3"/>
  <c r="BO23" i="3" s="1"/>
  <c r="CH8" i="3"/>
  <c r="G40" i="14" s="1"/>
  <c r="CU73" i="3"/>
  <c r="CE51" i="3"/>
  <c r="CH43" i="3"/>
  <c r="DJ77" i="3"/>
  <c r="BZ52" i="3"/>
  <c r="BZ21" i="3"/>
  <c r="BZ86" i="3"/>
  <c r="BZ75" i="3"/>
  <c r="BC45" i="3"/>
  <c r="BC68" i="3"/>
  <c r="BC49" i="3"/>
  <c r="BW49" i="3" s="1"/>
  <c r="CE4" i="3"/>
  <c r="CE8" i="3" s="1"/>
  <c r="G37" i="14" s="1"/>
  <c r="CE56" i="3"/>
  <c r="BN102" i="3"/>
  <c r="DI97" i="3"/>
  <c r="DC95" i="3"/>
  <c r="L67" i="14" s="1"/>
  <c r="CQ49" i="3"/>
  <c r="CT49" i="3"/>
  <c r="AF97" i="3"/>
  <c r="AF8" i="3"/>
  <c r="DA14" i="3"/>
  <c r="CY14" i="3"/>
  <c r="CU78" i="3"/>
  <c r="CU34" i="3"/>
  <c r="AH98" i="3"/>
  <c r="CU42" i="3"/>
  <c r="AF100" i="3"/>
  <c r="CU93" i="3"/>
  <c r="Y79" i="3"/>
  <c r="Q98" i="3"/>
  <c r="CX15" i="3"/>
  <c r="CX42" i="3"/>
  <c r="CU45" i="3"/>
  <c r="BD62" i="3"/>
  <c r="DV62" i="3" s="1"/>
  <c r="CX46" i="3"/>
  <c r="CX22" i="3"/>
  <c r="BD24" i="3"/>
  <c r="DV24" i="3" s="1"/>
  <c r="CX24" i="3"/>
  <c r="AB92" i="3"/>
  <c r="BC70" i="3"/>
  <c r="CU80" i="3"/>
  <c r="CU81" i="3" s="1"/>
  <c r="BD87" i="3"/>
  <c r="DV87" i="3" s="1"/>
  <c r="CT62" i="3"/>
  <c r="DA43" i="3"/>
  <c r="CT20" i="3"/>
  <c r="AE97" i="3"/>
  <c r="CQ27" i="3"/>
  <c r="CQ55" i="3"/>
  <c r="P66" i="41"/>
  <c r="P36" i="41"/>
  <c r="P28" i="41"/>
  <c r="P19" i="41"/>
  <c r="P11" i="41"/>
  <c r="P6" i="41"/>
  <c r="P7" i="41" s="1"/>
  <c r="K102" i="3"/>
  <c r="L100" i="3"/>
  <c r="DG80" i="3"/>
  <c r="DG81" i="3" s="1"/>
  <c r="CY80" i="3"/>
  <c r="CY81" i="3" s="1"/>
  <c r="CQ80" i="3"/>
  <c r="CQ81" i="3" s="1"/>
  <c r="CI74" i="3"/>
  <c r="CY74" i="3"/>
  <c r="DQ74" i="3"/>
  <c r="CX53" i="3"/>
  <c r="AA100" i="3"/>
  <c r="CQ78" i="3"/>
  <c r="BD86" i="3"/>
  <c r="BD51" i="3"/>
  <c r="DV51" i="3" s="1"/>
  <c r="P98" i="3"/>
  <c r="AB79" i="3"/>
  <c r="AB98" i="3"/>
  <c r="AG98" i="3"/>
  <c r="BD45" i="3"/>
  <c r="CP95" i="3"/>
  <c r="L50" i="14" s="1"/>
  <c r="BD53" i="3"/>
  <c r="DV53" i="3" s="1"/>
  <c r="BD34" i="3"/>
  <c r="DV34" i="3" s="1"/>
  <c r="BD37" i="3"/>
  <c r="Z95" i="3"/>
  <c r="BZ80" i="3"/>
  <c r="BZ81" i="3" s="1"/>
  <c r="CX70" i="3"/>
  <c r="L92" i="3"/>
  <c r="BD93" i="3"/>
  <c r="DV93" i="3" s="1"/>
  <c r="CU24" i="3"/>
  <c r="CT55" i="3"/>
  <c r="BC56" i="3"/>
  <c r="CU27" i="3"/>
  <c r="AA88" i="3"/>
  <c r="CU15" i="3"/>
  <c r="CB8" i="3"/>
  <c r="G31" i="14" s="1"/>
  <c r="DA21" i="3"/>
  <c r="AD92" i="3"/>
  <c r="DA51" i="3"/>
  <c r="P76" i="41"/>
  <c r="P41" i="41"/>
  <c r="P33" i="41"/>
  <c r="P25" i="41"/>
  <c r="P16" i="41"/>
  <c r="BC27" i="3"/>
  <c r="CE68" i="3"/>
  <c r="DQ62" i="3"/>
  <c r="DD62" i="3"/>
  <c r="DG62" i="3"/>
  <c r="DX62" i="3"/>
  <c r="DN62" i="3"/>
  <c r="BD76" i="3"/>
  <c r="DV76" i="3" s="1"/>
  <c r="CU86" i="3"/>
  <c r="CX80" i="3"/>
  <c r="CX81" i="3" s="1"/>
  <c r="CU67" i="3"/>
  <c r="DC92" i="3"/>
  <c r="K67" i="14" s="1"/>
  <c r="BD15" i="3"/>
  <c r="DV15" i="3" s="1"/>
  <c r="Q79" i="3"/>
  <c r="CX55" i="3"/>
  <c r="BD46" i="3"/>
  <c r="DV46" i="3" s="1"/>
  <c r="CX49" i="3"/>
  <c r="CU38" i="3"/>
  <c r="CX34" i="3"/>
  <c r="CX27" i="3"/>
  <c r="CX93" i="3"/>
  <c r="L101" i="3"/>
  <c r="CX94" i="3"/>
  <c r="CU91" i="3"/>
  <c r="AB100" i="3"/>
  <c r="CX82" i="3"/>
  <c r="AE88" i="3"/>
  <c r="Y81" i="3"/>
  <c r="Y99" i="3" s="1"/>
  <c r="CX37" i="3"/>
  <c r="AG100" i="3"/>
  <c r="AG97" i="3"/>
  <c r="CY35" i="3"/>
  <c r="DA8" i="3"/>
  <c r="G64" i="14" s="1"/>
  <c r="CQ70" i="3"/>
  <c r="J95" i="3"/>
  <c r="BX93" i="3"/>
  <c r="BX95" i="3" s="1"/>
  <c r="L25" i="14" s="1"/>
  <c r="M100" i="3"/>
  <c r="CQ11" i="3"/>
  <c r="CT11" i="3"/>
  <c r="CT70" i="3"/>
  <c r="BD38" i="3"/>
  <c r="DV23" i="3"/>
  <c r="AC101" i="3"/>
  <c r="BC63" i="3"/>
  <c r="P35" i="41"/>
  <c r="P27" i="41"/>
  <c r="P18" i="41"/>
  <c r="P10" i="41"/>
  <c r="F96" i="41"/>
  <c r="BZ54" i="3"/>
  <c r="Z8" i="3"/>
  <c r="Z97" i="3"/>
  <c r="DN87" i="3"/>
  <c r="DJ87" i="3"/>
  <c r="CY87" i="3"/>
  <c r="BD89" i="3"/>
  <c r="AG102" i="3"/>
  <c r="P95" i="41"/>
  <c r="P55" i="41"/>
  <c r="P50" i="41"/>
  <c r="CU20" i="3"/>
  <c r="CU87" i="3"/>
  <c r="CU10" i="3"/>
  <c r="CI10" i="3"/>
  <c r="BI97" i="3"/>
  <c r="BI8" i="3"/>
  <c r="CU94" i="3"/>
  <c r="Z79" i="3"/>
  <c r="CP46" i="3"/>
  <c r="CX38" i="3"/>
  <c r="CU49" i="3"/>
  <c r="BD20" i="3"/>
  <c r="Z102" i="3"/>
  <c r="CX90" i="3"/>
  <c r="AG8" i="3"/>
  <c r="J7" i="41"/>
  <c r="J96" i="41" s="1"/>
  <c r="N97" i="3"/>
  <c r="N8" i="3"/>
  <c r="P77" i="41"/>
  <c r="P34" i="41"/>
  <c r="P26" i="41"/>
  <c r="P17" i="41"/>
  <c r="BI88" i="3"/>
  <c r="DG85" i="3"/>
  <c r="CQ30" i="3"/>
  <c r="H102" i="3"/>
  <c r="K97" i="3"/>
  <c r="BZ58" i="3"/>
  <c r="BZ20" i="3"/>
  <c r="M92" i="3"/>
  <c r="N88" i="3"/>
  <c r="O98" i="3"/>
  <c r="T92" i="3"/>
  <c r="BC74" i="3"/>
  <c r="BC66" i="3"/>
  <c r="BC58" i="3"/>
  <c r="BC36" i="3"/>
  <c r="BU36" i="3" s="1"/>
  <c r="BC29" i="3"/>
  <c r="BC21" i="3"/>
  <c r="BC86" i="3"/>
  <c r="BC94" i="3"/>
  <c r="ED88" i="3"/>
  <c r="F101" i="3"/>
  <c r="J101" i="3"/>
  <c r="O92" i="3"/>
  <c r="D100" i="3"/>
  <c r="BZ22" i="3"/>
  <c r="Q8" i="3"/>
  <c r="BC38" i="3"/>
  <c r="BC30" i="3"/>
  <c r="BO30" i="3" s="1"/>
  <c r="BC78" i="3"/>
  <c r="BC62" i="3"/>
  <c r="BC40" i="3"/>
  <c r="CE74" i="3"/>
  <c r="CY77" i="3"/>
  <c r="O8" i="3"/>
  <c r="BC57" i="3"/>
  <c r="CX71" i="3"/>
  <c r="DI92" i="3"/>
  <c r="K81" i="14" s="1"/>
  <c r="H88" i="3"/>
  <c r="BZ67" i="3"/>
  <c r="BZ47" i="3"/>
  <c r="O97" i="3"/>
  <c r="BC43" i="3"/>
  <c r="BC64" i="3"/>
  <c r="BO50" i="3"/>
  <c r="BW50" i="3"/>
  <c r="CA50" i="3"/>
  <c r="CN50" i="3"/>
  <c r="DK50" i="3"/>
  <c r="DY50" i="3"/>
  <c r="CR50" i="3"/>
  <c r="BM50" i="3"/>
  <c r="CV50" i="3"/>
  <c r="BS50" i="3"/>
  <c r="BO19" i="3"/>
  <c r="BY19" i="3"/>
  <c r="BK19" i="3"/>
  <c r="CJ19" i="3"/>
  <c r="CR19" i="3"/>
  <c r="DK19" i="3"/>
  <c r="CA19" i="3"/>
  <c r="G81" i="3"/>
  <c r="G99" i="3" s="1"/>
  <c r="BR80" i="3"/>
  <c r="BR81" i="3" s="1"/>
  <c r="BR99" i="3" s="1"/>
  <c r="J100" i="3"/>
  <c r="DD88" i="3"/>
  <c r="I69" i="14" s="1"/>
  <c r="BC15" i="3"/>
  <c r="BP15" i="3"/>
  <c r="L98" i="3"/>
  <c r="Q101" i="3"/>
  <c r="CD89" i="3"/>
  <c r="R97" i="3"/>
  <c r="R8" i="3"/>
  <c r="BC76" i="3"/>
  <c r="BC60" i="3"/>
  <c r="BC46" i="3"/>
  <c r="H79" i="3"/>
  <c r="M79" i="3"/>
  <c r="CB10" i="3"/>
  <c r="P79" i="3"/>
  <c r="BD14" i="3"/>
  <c r="DV14" i="3" s="1"/>
  <c r="CH14" i="3"/>
  <c r="CL92" i="3"/>
  <c r="K45" i="14" s="1"/>
  <c r="DQ8" i="3"/>
  <c r="G92" i="14" s="1"/>
  <c r="BC67" i="3"/>
  <c r="BN67" i="3"/>
  <c r="BT89" i="3"/>
  <c r="BT92" i="3" s="1"/>
  <c r="K19" i="14" s="1"/>
  <c r="H92" i="3"/>
  <c r="BZ14" i="3"/>
  <c r="BC52" i="3"/>
  <c r="CE35" i="3"/>
  <c r="CH35" i="3"/>
  <c r="D98" i="3"/>
  <c r="F95" i="3"/>
  <c r="BP94" i="3"/>
  <c r="BP95" i="3" s="1"/>
  <c r="L16" i="14" s="1"/>
  <c r="BT88" i="3"/>
  <c r="I19" i="14" s="1"/>
  <c r="L97" i="3"/>
  <c r="O100" i="3"/>
  <c r="O88" i="3"/>
  <c r="P100" i="3"/>
  <c r="CE64" i="3"/>
  <c r="CH64" i="3"/>
  <c r="BZ8" i="3"/>
  <c r="G28" i="14" s="1"/>
  <c r="L8" i="3"/>
  <c r="M101" i="3"/>
  <c r="CX78" i="3"/>
  <c r="CH78" i="3"/>
  <c r="H97" i="3"/>
  <c r="H8" i="3"/>
  <c r="ED98" i="3"/>
  <c r="BZ10" i="3"/>
  <c r="K98" i="3"/>
  <c r="BC42" i="3"/>
  <c r="N98" i="3"/>
  <c r="S8" i="3"/>
  <c r="S97" i="3"/>
  <c r="J79" i="3"/>
  <c r="AU103" i="3" l="1"/>
  <c r="AU107" i="3" s="1"/>
  <c r="AZ103" i="3"/>
  <c r="AZ107" i="3" s="1"/>
  <c r="DR83" i="3"/>
  <c r="BS59" i="3"/>
  <c r="BO73" i="3"/>
  <c r="CF73" i="3"/>
  <c r="BW73" i="3"/>
  <c r="CN73" i="3"/>
  <c r="BY73" i="3"/>
  <c r="CA73" i="3"/>
  <c r="DK73" i="3"/>
  <c r="CI88" i="3"/>
  <c r="I42" i="14" s="1"/>
  <c r="CC59" i="3"/>
  <c r="BU73" i="3"/>
  <c r="DN97" i="3"/>
  <c r="CS4" i="3"/>
  <c r="DV4" i="3"/>
  <c r="DC88" i="3"/>
  <c r="I67" i="14" s="1"/>
  <c r="BU59" i="3"/>
  <c r="DN88" i="3"/>
  <c r="I88" i="14" s="1"/>
  <c r="CV41" i="3"/>
  <c r="DS99" i="3"/>
  <c r="J94" i="14"/>
  <c r="DU102" i="3"/>
  <c r="L77" i="14"/>
  <c r="DU101" i="3"/>
  <c r="K77" i="14"/>
  <c r="DP101" i="3"/>
  <c r="K90" i="14"/>
  <c r="DI99" i="3"/>
  <c r="J81" i="14"/>
  <c r="AS103" i="3"/>
  <c r="AS107" i="3" s="1"/>
  <c r="CS94" i="3"/>
  <c r="DV94" i="3"/>
  <c r="DV95" i="3" s="1"/>
  <c r="CT101" i="3"/>
  <c r="K55" i="14"/>
  <c r="DL89" i="3"/>
  <c r="DV89" i="3"/>
  <c r="CG90" i="3"/>
  <c r="DV90" i="3"/>
  <c r="CL100" i="3"/>
  <c r="I45" i="14"/>
  <c r="DB86" i="3"/>
  <c r="DV86" i="3"/>
  <c r="CS84" i="3"/>
  <c r="DV84" i="3"/>
  <c r="DH83" i="3"/>
  <c r="DV83" i="3"/>
  <c r="CX99" i="3"/>
  <c r="J60" i="14"/>
  <c r="CW80" i="3"/>
  <c r="CW81" i="3" s="1"/>
  <c r="DV80" i="3"/>
  <c r="DV81" i="3" s="1"/>
  <c r="CH99" i="3"/>
  <c r="J40" i="14"/>
  <c r="DL12" i="3"/>
  <c r="DV12" i="3"/>
  <c r="DH10" i="3"/>
  <c r="DV10" i="3"/>
  <c r="CZ61" i="3"/>
  <c r="DV61" i="3"/>
  <c r="DH29" i="3"/>
  <c r="DV29" i="3"/>
  <c r="DE57" i="3"/>
  <c r="DV57" i="3"/>
  <c r="DZ52" i="3"/>
  <c r="DV52" i="3"/>
  <c r="CW37" i="3"/>
  <c r="DV37" i="3"/>
  <c r="DB50" i="3"/>
  <c r="DV50" i="3"/>
  <c r="DE17" i="3"/>
  <c r="DV17" i="3"/>
  <c r="DO77" i="3"/>
  <c r="DV77" i="3"/>
  <c r="DZ59" i="3"/>
  <c r="DV59" i="3"/>
  <c r="CG56" i="3"/>
  <c r="DV56" i="3"/>
  <c r="CK47" i="3"/>
  <c r="DV47" i="3"/>
  <c r="DH44" i="3"/>
  <c r="DV44" i="3"/>
  <c r="DO58" i="3"/>
  <c r="DV58" i="3"/>
  <c r="CO65" i="3"/>
  <c r="DV65" i="3"/>
  <c r="DH35" i="3"/>
  <c r="DV35" i="3"/>
  <c r="CS66" i="3"/>
  <c r="DV66" i="3"/>
  <c r="CO41" i="3"/>
  <c r="DV41" i="3"/>
  <c r="DH25" i="3"/>
  <c r="C80" i="14" s="1"/>
  <c r="DV25" i="3"/>
  <c r="C73" i="14" s="1"/>
  <c r="DZ67" i="3"/>
  <c r="DV67" i="3"/>
  <c r="DB75" i="3"/>
  <c r="DV75" i="3"/>
  <c r="CZ40" i="3"/>
  <c r="DV40" i="3"/>
  <c r="CW68" i="3"/>
  <c r="DV68" i="3"/>
  <c r="CW20" i="3"/>
  <c r="DV20" i="3"/>
  <c r="CW38" i="3"/>
  <c r="DV38" i="3"/>
  <c r="CO18" i="3"/>
  <c r="DV18" i="3"/>
  <c r="CO48" i="3"/>
  <c r="DV48" i="3"/>
  <c r="DL19" i="3"/>
  <c r="DV19" i="3"/>
  <c r="CW78" i="3"/>
  <c r="DV78" i="3"/>
  <c r="CO28" i="3"/>
  <c r="DV28" i="3"/>
  <c r="DZ64" i="3"/>
  <c r="DV64" i="3"/>
  <c r="CO60" i="3"/>
  <c r="DV60" i="3"/>
  <c r="DO33" i="3"/>
  <c r="DV33" i="3"/>
  <c r="DO16" i="3"/>
  <c r="DV16" i="3"/>
  <c r="BE22" i="3"/>
  <c r="BG22" i="3" s="1"/>
  <c r="DV22" i="3"/>
  <c r="CZ11" i="3"/>
  <c r="DV11" i="3"/>
  <c r="CG36" i="3"/>
  <c r="DV36" i="3"/>
  <c r="CG54" i="3"/>
  <c r="DV54" i="3"/>
  <c r="DR43" i="3"/>
  <c r="DV43" i="3"/>
  <c r="DL71" i="3"/>
  <c r="DV71" i="3"/>
  <c r="CW21" i="3"/>
  <c r="DV21" i="3"/>
  <c r="CO13" i="3"/>
  <c r="DV13" i="3"/>
  <c r="CS69" i="3"/>
  <c r="DV69" i="3"/>
  <c r="CW27" i="3"/>
  <c r="DV27" i="3"/>
  <c r="CW55" i="3"/>
  <c r="DV55" i="3"/>
  <c r="DT45" i="3"/>
  <c r="DV45" i="3"/>
  <c r="DB73" i="3"/>
  <c r="DV73" i="3"/>
  <c r="DH31" i="3"/>
  <c r="DV31" i="3"/>
  <c r="CG30" i="3"/>
  <c r="DV30" i="3"/>
  <c r="DE70" i="3"/>
  <c r="DV70" i="3"/>
  <c r="DO49" i="3"/>
  <c r="DV49" i="3"/>
  <c r="CO26" i="3"/>
  <c r="DV26" i="3"/>
  <c r="CK39" i="3"/>
  <c r="DV39" i="3"/>
  <c r="DH74" i="3"/>
  <c r="DV74" i="3"/>
  <c r="DO32" i="3"/>
  <c r="DV32" i="3"/>
  <c r="BN101" i="3"/>
  <c r="K13" i="14"/>
  <c r="CE101" i="3"/>
  <c r="K37" i="14"/>
  <c r="BP100" i="3"/>
  <c r="I16" i="14"/>
  <c r="CY99" i="3"/>
  <c r="J62" i="14"/>
  <c r="BZ99" i="3"/>
  <c r="J28" i="14"/>
  <c r="DG99" i="3"/>
  <c r="J79" i="14"/>
  <c r="CU99" i="3"/>
  <c r="J57" i="14"/>
  <c r="CD99" i="3"/>
  <c r="J34" i="14"/>
  <c r="BT99" i="3"/>
  <c r="J19" i="14"/>
  <c r="CE99" i="3"/>
  <c r="J37" i="14"/>
  <c r="CQ99" i="3"/>
  <c r="J52" i="14"/>
  <c r="BQ17" i="3"/>
  <c r="CR17" i="3"/>
  <c r="CV17" i="3"/>
  <c r="CF17" i="3"/>
  <c r="CJ17" i="3"/>
  <c r="CN17" i="3"/>
  <c r="BK17" i="3"/>
  <c r="BM17" i="3"/>
  <c r="BF103" i="3"/>
  <c r="BF107" i="3" s="1"/>
  <c r="DU97" i="3"/>
  <c r="G77" i="14"/>
  <c r="CG7" i="3"/>
  <c r="DV7" i="3"/>
  <c r="BS73" i="3"/>
  <c r="DK25" i="3"/>
  <c r="C84" i="14" s="1"/>
  <c r="BC80" i="3"/>
  <c r="BE80" i="3" s="1"/>
  <c r="BG80" i="3" s="1"/>
  <c r="DZ69" i="3"/>
  <c r="BK73" i="3"/>
  <c r="DB52" i="3"/>
  <c r="AR103" i="3"/>
  <c r="AR107" i="3" s="1"/>
  <c r="CS83" i="3"/>
  <c r="BU61" i="3"/>
  <c r="DY73" i="3"/>
  <c r="CJ73" i="3"/>
  <c r="BM73" i="3"/>
  <c r="DH28" i="3"/>
  <c r="DE52" i="3"/>
  <c r="ED103" i="3"/>
  <c r="ED107" i="3" s="1"/>
  <c r="CS52" i="3"/>
  <c r="CV73" i="3"/>
  <c r="CM88" i="3"/>
  <c r="I47" i="14" s="1"/>
  <c r="DJ92" i="3"/>
  <c r="K83" i="14" s="1"/>
  <c r="DP88" i="3"/>
  <c r="I90" i="14" s="1"/>
  <c r="DS88" i="3"/>
  <c r="I94" i="14" s="1"/>
  <c r="DU88" i="3"/>
  <c r="CP101" i="3"/>
  <c r="AO103" i="3"/>
  <c r="AO107" i="3" s="1"/>
  <c r="BZ95" i="3"/>
  <c r="L28" i="14" s="1"/>
  <c r="BK41" i="3"/>
  <c r="AQ103" i="3"/>
  <c r="AQ107" i="3" s="1"/>
  <c r="AP103" i="3"/>
  <c r="AP107" i="3" s="1"/>
  <c r="CD88" i="3"/>
  <c r="I34" i="14" s="1"/>
  <c r="BZ88" i="3"/>
  <c r="CP88" i="3"/>
  <c r="I50" i="14" s="1"/>
  <c r="BH103" i="3"/>
  <c r="CY88" i="3"/>
  <c r="DJ88" i="3"/>
  <c r="I83" i="14" s="1"/>
  <c r="BI103" i="3"/>
  <c r="CL97" i="3"/>
  <c r="CH92" i="3"/>
  <c r="DS101" i="3"/>
  <c r="DI88" i="3"/>
  <c r="I81" i="14" s="1"/>
  <c r="BT79" i="3"/>
  <c r="H19" i="14" s="1"/>
  <c r="BX79" i="3"/>
  <c r="H25" i="14" s="1"/>
  <c r="BX97" i="3"/>
  <c r="DC97" i="3"/>
  <c r="DF97" i="3"/>
  <c r="BB103" i="3"/>
  <c r="BB107" i="3" s="1"/>
  <c r="CO83" i="3"/>
  <c r="DL64" i="3"/>
  <c r="BA103" i="3"/>
  <c r="BA107" i="3" s="1"/>
  <c r="DO83" i="3"/>
  <c r="AY103" i="3"/>
  <c r="AY107" i="3" s="1"/>
  <c r="AW103" i="3"/>
  <c r="AW107" i="3" s="1"/>
  <c r="DQ102" i="3"/>
  <c r="CZ64" i="3"/>
  <c r="DH64" i="3"/>
  <c r="CO64" i="3"/>
  <c r="DE43" i="3"/>
  <c r="CS64" i="3"/>
  <c r="DL52" i="3"/>
  <c r="CZ52" i="3"/>
  <c r="DR64" i="3"/>
  <c r="CK7" i="3"/>
  <c r="CS7" i="3"/>
  <c r="DZ7" i="3"/>
  <c r="CE102" i="3"/>
  <c r="CW83" i="3"/>
  <c r="CZ83" i="3"/>
  <c r="DO64" i="3"/>
  <c r="CZ65" i="3"/>
  <c r="CW29" i="3"/>
  <c r="DB58" i="3"/>
  <c r="DE58" i="3"/>
  <c r="DR47" i="3"/>
  <c r="CW47" i="3"/>
  <c r="DR7" i="3"/>
  <c r="DM97" i="3"/>
  <c r="DG88" i="3"/>
  <c r="DL80" i="3"/>
  <c r="DL81" i="3" s="1"/>
  <c r="DR80" i="3"/>
  <c r="DR81" i="3" s="1"/>
  <c r="CW64" i="3"/>
  <c r="DB66" i="3"/>
  <c r="CG64" i="3"/>
  <c r="CZ35" i="3"/>
  <c r="DB29" i="3"/>
  <c r="DH69" i="3"/>
  <c r="DO29" i="3"/>
  <c r="DT47" i="3"/>
  <c r="DO28" i="3"/>
  <c r="DE64" i="3"/>
  <c r="DT70" i="3"/>
  <c r="DT64" i="3"/>
  <c r="CK64" i="3"/>
  <c r="AD103" i="3"/>
  <c r="AD107" i="3" s="1"/>
  <c r="DT49" i="3"/>
  <c r="CG66" i="3"/>
  <c r="CW35" i="3"/>
  <c r="DE35" i="3"/>
  <c r="CO66" i="3"/>
  <c r="DT66" i="3"/>
  <c r="CS70" i="3"/>
  <c r="CW66" i="3"/>
  <c r="DH66" i="3"/>
  <c r="DT65" i="3"/>
  <c r="DO66" i="3"/>
  <c r="DT35" i="3"/>
  <c r="CW65" i="3"/>
  <c r="CO49" i="3"/>
  <c r="DZ29" i="3"/>
  <c r="CK66" i="3"/>
  <c r="CW49" i="3"/>
  <c r="CG49" i="3"/>
  <c r="DL35" i="3"/>
  <c r="CS35" i="3"/>
  <c r="DZ84" i="3"/>
  <c r="DL83" i="3"/>
  <c r="DO84" i="3"/>
  <c r="DH84" i="3"/>
  <c r="DR84" i="3"/>
  <c r="CK83" i="3"/>
  <c r="DT84" i="3"/>
  <c r="DT80" i="3"/>
  <c r="DT81" i="3" s="1"/>
  <c r="CZ48" i="3"/>
  <c r="DZ38" i="3"/>
  <c r="CO55" i="3"/>
  <c r="CS39" i="3"/>
  <c r="CZ55" i="3"/>
  <c r="CO54" i="3"/>
  <c r="DL68" i="3"/>
  <c r="DR68" i="3"/>
  <c r="CG27" i="3"/>
  <c r="DZ54" i="3"/>
  <c r="DR27" i="3"/>
  <c r="DH47" i="3"/>
  <c r="CZ27" i="3"/>
  <c r="CS55" i="3"/>
  <c r="DR13" i="3"/>
  <c r="CZ7" i="3"/>
  <c r="DB7" i="3"/>
  <c r="DH7" i="3"/>
  <c r="CO7" i="3"/>
  <c r="DT7" i="3"/>
  <c r="DL84" i="3"/>
  <c r="CZ84" i="3"/>
  <c r="DB84" i="3"/>
  <c r="CK84" i="3"/>
  <c r="CO84" i="3"/>
  <c r="DE84" i="3"/>
  <c r="CI102" i="3"/>
  <c r="CO80" i="3"/>
  <c r="CO81" i="3" s="1"/>
  <c r="DB80" i="3"/>
  <c r="DB81" i="3" s="1"/>
  <c r="CW59" i="3"/>
  <c r="DL65" i="3"/>
  <c r="DT31" i="3"/>
  <c r="DB31" i="3"/>
  <c r="CK30" i="3"/>
  <c r="CW31" i="3"/>
  <c r="CZ30" i="3"/>
  <c r="CS65" i="3"/>
  <c r="DE60" i="3"/>
  <c r="CG65" i="3"/>
  <c r="DZ9" i="3"/>
  <c r="CI97" i="3"/>
  <c r="DH30" i="3"/>
  <c r="DZ30" i="3"/>
  <c r="DB57" i="3"/>
  <c r="DZ4" i="3"/>
  <c r="BO55" i="3"/>
  <c r="BY47" i="3"/>
  <c r="BQ47" i="3"/>
  <c r="CR32" i="3"/>
  <c r="CN11" i="3"/>
  <c r="BW11" i="3"/>
  <c r="CJ11" i="3"/>
  <c r="DL4" i="3"/>
  <c r="DR78" i="3"/>
  <c r="DL48" i="3"/>
  <c r="DB36" i="3"/>
  <c r="AA103" i="3"/>
  <c r="AA107" i="3" s="1"/>
  <c r="DZ33" i="3"/>
  <c r="AV103" i="3"/>
  <c r="AV107" i="3" s="1"/>
  <c r="EC103" i="3"/>
  <c r="EC107" i="3" s="1"/>
  <c r="DO55" i="3"/>
  <c r="CZ19" i="3"/>
  <c r="CG78" i="3"/>
  <c r="DT48" i="3"/>
  <c r="DR55" i="3"/>
  <c r="CG71" i="3"/>
  <c r="CX8" i="3"/>
  <c r="G60" i="14" s="1"/>
  <c r="DH55" i="3"/>
  <c r="CG55" i="3"/>
  <c r="DB78" i="3"/>
  <c r="CG94" i="3"/>
  <c r="DE48" i="3"/>
  <c r="DZ55" i="3"/>
  <c r="DB55" i="3"/>
  <c r="BU93" i="3"/>
  <c r="AT103" i="3"/>
  <c r="AT107" i="3" s="1"/>
  <c r="DT94" i="3"/>
  <c r="CZ12" i="3"/>
  <c r="CG48" i="3"/>
  <c r="DL55" i="3"/>
  <c r="X103" i="3"/>
  <c r="X107" i="3" s="1"/>
  <c r="DT55" i="3"/>
  <c r="DR19" i="3"/>
  <c r="CO78" i="3"/>
  <c r="AL103" i="3"/>
  <c r="AL107" i="3" s="1"/>
  <c r="DC79" i="3"/>
  <c r="H67" i="14" s="1"/>
  <c r="BR79" i="3"/>
  <c r="BR98" i="3" s="1"/>
  <c r="DE55" i="3"/>
  <c r="DB48" i="3"/>
  <c r="CG12" i="3"/>
  <c r="DO19" i="3"/>
  <c r="DZ19" i="3"/>
  <c r="DT78" i="3"/>
  <c r="CK48" i="3"/>
  <c r="BE19" i="3"/>
  <c r="BG19" i="3" s="1"/>
  <c r="CT97" i="3"/>
  <c r="CS50" i="3"/>
  <c r="CW19" i="3"/>
  <c r="DO78" i="3"/>
  <c r="DE19" i="3"/>
  <c r="DH78" i="3"/>
  <c r="DF102" i="3"/>
  <c r="DH33" i="3"/>
  <c r="DS79" i="3"/>
  <c r="H94" i="14" s="1"/>
  <c r="CK55" i="3"/>
  <c r="CO19" i="3"/>
  <c r="DZ78" i="3"/>
  <c r="DP97" i="3"/>
  <c r="DL17" i="3"/>
  <c r="BE59" i="3"/>
  <c r="BG59" i="3" s="1"/>
  <c r="CA59" i="3"/>
  <c r="DH4" i="3"/>
  <c r="AH103" i="3"/>
  <c r="AH107" i="3" s="1"/>
  <c r="DO12" i="3"/>
  <c r="CZ10" i="3"/>
  <c r="DR54" i="3"/>
  <c r="DL59" i="3"/>
  <c r="I103" i="3"/>
  <c r="I107" i="3" s="1"/>
  <c r="DB28" i="3"/>
  <c r="CO4" i="3"/>
  <c r="W103" i="3"/>
  <c r="W107" i="3" s="1"/>
  <c r="CS28" i="3"/>
  <c r="AX103" i="3"/>
  <c r="AX107" i="3" s="1"/>
  <c r="DB83" i="3"/>
  <c r="G103" i="3"/>
  <c r="G107" i="3" s="1"/>
  <c r="CW17" i="3"/>
  <c r="CJ59" i="3"/>
  <c r="CN59" i="3"/>
  <c r="AG103" i="3"/>
  <c r="AG107" i="3" s="1"/>
  <c r="CZ4" i="3"/>
  <c r="AE103" i="3"/>
  <c r="AE107" i="3" s="1"/>
  <c r="DO4" i="3"/>
  <c r="CS12" i="3"/>
  <c r="DR17" i="3"/>
  <c r="CK16" i="3"/>
  <c r="CO59" i="3"/>
  <c r="DL28" i="3"/>
  <c r="CG4" i="3"/>
  <c r="CQ88" i="3"/>
  <c r="CG28" i="3"/>
  <c r="CY95" i="3"/>
  <c r="DZ83" i="3"/>
  <c r="BW59" i="3"/>
  <c r="BK59" i="3"/>
  <c r="CK17" i="3"/>
  <c r="DJ79" i="3"/>
  <c r="H83" i="14" s="1"/>
  <c r="DB4" i="3"/>
  <c r="DR28" i="3"/>
  <c r="CR59" i="3"/>
  <c r="DA100" i="3"/>
  <c r="DT83" i="3"/>
  <c r="BY59" i="3"/>
  <c r="DT4" i="3"/>
  <c r="CL102" i="3"/>
  <c r="DT28" i="3"/>
  <c r="CQ92" i="3"/>
  <c r="K52" i="14" s="1"/>
  <c r="DE83" i="3"/>
  <c r="DK59" i="3"/>
  <c r="DR4" i="3"/>
  <c r="BD97" i="3"/>
  <c r="BZ92" i="3"/>
  <c r="K28" i="14" s="1"/>
  <c r="BM59" i="3"/>
  <c r="CW28" i="3"/>
  <c r="AI103" i="3"/>
  <c r="AI107" i="3" s="1"/>
  <c r="DM102" i="3"/>
  <c r="EA79" i="3"/>
  <c r="EA98" i="3" s="1"/>
  <c r="BO59" i="3"/>
  <c r="CV59" i="3"/>
  <c r="DE4" i="3"/>
  <c r="CZ28" i="3"/>
  <c r="CY92" i="3"/>
  <c r="K62" i="14" s="1"/>
  <c r="DP79" i="3"/>
  <c r="H90" i="14" s="1"/>
  <c r="CD79" i="3"/>
  <c r="H34" i="14" s="1"/>
  <c r="BV79" i="3"/>
  <c r="H22" i="14" s="1"/>
  <c r="CF59" i="3"/>
  <c r="BQ59" i="3"/>
  <c r="DX79" i="3"/>
  <c r="DX98" i="3" s="1"/>
  <c r="EB103" i="3"/>
  <c r="DN101" i="3"/>
  <c r="CB100" i="3"/>
  <c r="F103" i="3"/>
  <c r="F107" i="3" s="1"/>
  <c r="CX88" i="3"/>
  <c r="I60" i="14" s="1"/>
  <c r="DU79" i="3"/>
  <c r="CS57" i="3"/>
  <c r="H103" i="3"/>
  <c r="H107" i="3" s="1"/>
  <c r="DO89" i="3"/>
  <c r="DN79" i="3"/>
  <c r="H88" i="14" s="1"/>
  <c r="DL75" i="3"/>
  <c r="DT12" i="3"/>
  <c r="CZ17" i="3"/>
  <c r="DZ17" i="3"/>
  <c r="DO54" i="3"/>
  <c r="CW56" i="3"/>
  <c r="CG86" i="3"/>
  <c r="DG79" i="3"/>
  <c r="H79" i="14" s="1"/>
  <c r="DZ20" i="3"/>
  <c r="AC103" i="3"/>
  <c r="AC107" i="3" s="1"/>
  <c r="Y103" i="3"/>
  <c r="Y107" i="3" s="1"/>
  <c r="CX95" i="3"/>
  <c r="L60" i="14" s="1"/>
  <c r="DD79" i="3"/>
  <c r="H69" i="14" s="1"/>
  <c r="DT17" i="3"/>
  <c r="CZ54" i="3"/>
  <c r="DB59" i="3"/>
  <c r="BQ93" i="3"/>
  <c r="DG92" i="3"/>
  <c r="K79" i="14" s="1"/>
  <c r="CB79" i="3"/>
  <c r="H31" i="14" s="1"/>
  <c r="BP79" i="3"/>
  <c r="H16" i="14" s="1"/>
  <c r="DN102" i="3"/>
  <c r="CW54" i="3"/>
  <c r="DZ31" i="3"/>
  <c r="CW12" i="3"/>
  <c r="DH17" i="3"/>
  <c r="DL61" i="3"/>
  <c r="DR60" i="3"/>
  <c r="DR70" i="3"/>
  <c r="DZ80" i="3"/>
  <c r="DZ81" i="3" s="1"/>
  <c r="DZ99" i="3" s="1"/>
  <c r="CK4" i="3"/>
  <c r="BK93" i="3"/>
  <c r="DO7" i="3"/>
  <c r="DB19" i="3"/>
  <c r="CZ78" i="3"/>
  <c r="AJ103" i="3"/>
  <c r="AJ107" i="3" s="1"/>
  <c r="DZ66" i="3"/>
  <c r="DR35" i="3"/>
  <c r="BS93" i="3"/>
  <c r="DE12" i="3"/>
  <c r="CS17" i="3"/>
  <c r="DE31" i="3"/>
  <c r="DT77" i="3"/>
  <c r="CG60" i="3"/>
  <c r="CO35" i="3"/>
  <c r="DE66" i="3"/>
  <c r="CG35" i="3"/>
  <c r="CO17" i="3"/>
  <c r="DL31" i="3"/>
  <c r="DB12" i="3"/>
  <c r="DO17" i="3"/>
  <c r="CK31" i="3"/>
  <c r="DH60" i="3"/>
  <c r="CW4" i="3"/>
  <c r="DL78" i="3"/>
  <c r="DL66" i="3"/>
  <c r="CZ66" i="3"/>
  <c r="DR66" i="3"/>
  <c r="CK69" i="3"/>
  <c r="DB39" i="3"/>
  <c r="DZ35" i="3"/>
  <c r="CW69" i="3"/>
  <c r="DR69" i="3"/>
  <c r="BY93" i="3"/>
  <c r="CO69" i="3"/>
  <c r="BW93" i="3"/>
  <c r="DE69" i="3"/>
  <c r="BM93" i="3"/>
  <c r="DY89" i="3"/>
  <c r="BO89" i="3"/>
  <c r="BW89" i="3"/>
  <c r="BK89" i="3"/>
  <c r="CV89" i="3"/>
  <c r="CN89" i="3"/>
  <c r="CR89" i="3"/>
  <c r="BK47" i="3"/>
  <c r="BK32" i="3"/>
  <c r="BQ32" i="3"/>
  <c r="R103" i="3"/>
  <c r="R107" i="3" s="1"/>
  <c r="Q103" i="3"/>
  <c r="Q107" i="3" s="1"/>
  <c r="DK47" i="3"/>
  <c r="CC32" i="3"/>
  <c r="BO47" i="3"/>
  <c r="CN32" i="3"/>
  <c r="CN47" i="3"/>
  <c r="BM47" i="3"/>
  <c r="CV11" i="3"/>
  <c r="BU32" i="3"/>
  <c r="CR47" i="3"/>
  <c r="CA32" i="3"/>
  <c r="CA11" i="3"/>
  <c r="CA47" i="3"/>
  <c r="BM32" i="3"/>
  <c r="DY32" i="3"/>
  <c r="BQ35" i="3"/>
  <c r="BY84" i="3"/>
  <c r="CV84" i="3"/>
  <c r="DK84" i="3"/>
  <c r="BO84" i="3"/>
  <c r="BS84" i="3"/>
  <c r="CC84" i="3"/>
  <c r="CJ82" i="3"/>
  <c r="DY47" i="3"/>
  <c r="CV32" i="3"/>
  <c r="BM35" i="3"/>
  <c r="CF35" i="3"/>
  <c r="BK25" i="3"/>
  <c r="C9" i="14" s="1"/>
  <c r="BU84" i="3"/>
  <c r="CJ84" i="3"/>
  <c r="DY84" i="3"/>
  <c r="CF84" i="3"/>
  <c r="CA84" i="3"/>
  <c r="BQ84" i="3"/>
  <c r="BW84" i="3"/>
  <c r="BE84" i="3"/>
  <c r="BG84" i="3" s="1"/>
  <c r="CR84" i="3"/>
  <c r="BV101" i="3"/>
  <c r="BX101" i="3"/>
  <c r="BU53" i="3"/>
  <c r="DY28" i="3"/>
  <c r="BV97" i="3"/>
  <c r="CF89" i="3"/>
  <c r="CC89" i="3"/>
  <c r="CA89" i="3"/>
  <c r="BS89" i="3"/>
  <c r="DK89" i="3"/>
  <c r="DK28" i="3"/>
  <c r="BO32" i="3"/>
  <c r="CJ28" i="3"/>
  <c r="BW32" i="3"/>
  <c r="BQ28" i="3"/>
  <c r="CA28" i="3"/>
  <c r="DK32" i="3"/>
  <c r="BM28" i="3"/>
  <c r="BU28" i="3"/>
  <c r="DY77" i="3"/>
  <c r="CR28" i="3"/>
  <c r="BK28" i="3"/>
  <c r="BE28" i="3"/>
  <c r="BG28" i="3" s="1"/>
  <c r="CC77" i="3"/>
  <c r="CF28" i="3"/>
  <c r="BW28" i="3"/>
  <c r="CN28" i="3"/>
  <c r="CC28" i="3"/>
  <c r="BW24" i="3"/>
  <c r="CR24" i="3"/>
  <c r="BU24" i="3"/>
  <c r="DY93" i="3"/>
  <c r="BS61" i="3"/>
  <c r="CN93" i="3"/>
  <c r="CR82" i="3"/>
  <c r="CN82" i="3"/>
  <c r="CF77" i="3"/>
  <c r="BW61" i="3"/>
  <c r="CN77" i="3"/>
  <c r="BW77" i="3"/>
  <c r="BQ77" i="3"/>
  <c r="BO77" i="3"/>
  <c r="DK77" i="3"/>
  <c r="CV77" i="3"/>
  <c r="BE77" i="3"/>
  <c r="BG77" i="3" s="1"/>
  <c r="BS77" i="3"/>
  <c r="CA77" i="3"/>
  <c r="CR77" i="3"/>
  <c r="BU77" i="3"/>
  <c r="BY77" i="3"/>
  <c r="BM77" i="3"/>
  <c r="CA35" i="3"/>
  <c r="BE41" i="3"/>
  <c r="BG41" i="3" s="1"/>
  <c r="CF41" i="3"/>
  <c r="DY35" i="3"/>
  <c r="BK35" i="3"/>
  <c r="BU35" i="3"/>
  <c r="BU41" i="3"/>
  <c r="CV13" i="3"/>
  <c r="BO35" i="3"/>
  <c r="CC35" i="3"/>
  <c r="BM41" i="3"/>
  <c r="CR41" i="3"/>
  <c r="BY35" i="3"/>
  <c r="BO31" i="3"/>
  <c r="CN35" i="3"/>
  <c r="DY41" i="3"/>
  <c r="BS35" i="3"/>
  <c r="CC31" i="3"/>
  <c r="CR35" i="3"/>
  <c r="CA41" i="3"/>
  <c r="BQ41" i="3"/>
  <c r="DK41" i="3"/>
  <c r="CJ35" i="3"/>
  <c r="DK31" i="3"/>
  <c r="BS31" i="3"/>
  <c r="BW35" i="3"/>
  <c r="CJ41" i="3"/>
  <c r="BU31" i="3"/>
  <c r="BM89" i="3"/>
  <c r="CJ89" i="3"/>
  <c r="BU89" i="3"/>
  <c r="BY89" i="3"/>
  <c r="BE82" i="3"/>
  <c r="BG82" i="3" s="1"/>
  <c r="BU82" i="3"/>
  <c r="BY82" i="3"/>
  <c r="DY82" i="3"/>
  <c r="DK82" i="3"/>
  <c r="BW82" i="3"/>
  <c r="BS82" i="3"/>
  <c r="BM82" i="3"/>
  <c r="BQ82" i="3"/>
  <c r="CV82" i="3"/>
  <c r="BO82" i="3"/>
  <c r="CA82" i="3"/>
  <c r="BK82" i="3"/>
  <c r="CC82" i="3"/>
  <c r="BO17" i="3"/>
  <c r="BW17" i="3"/>
  <c r="DK17" i="3"/>
  <c r="CF44" i="3"/>
  <c r="BU17" i="3"/>
  <c r="CN31" i="3"/>
  <c r="DB18" i="3"/>
  <c r="DR10" i="3"/>
  <c r="DO31" i="3"/>
  <c r="CO30" i="3"/>
  <c r="CW10" i="3"/>
  <c r="CW41" i="3"/>
  <c r="CA31" i="3"/>
  <c r="DO69" i="3"/>
  <c r="DG97" i="3"/>
  <c r="CR93" i="3"/>
  <c r="BO93" i="3"/>
  <c r="CC93" i="3"/>
  <c r="CV93" i="3"/>
  <c r="CF93" i="3"/>
  <c r="CA93" i="3"/>
  <c r="DK93" i="3"/>
  <c r="BE35" i="3"/>
  <c r="BG35" i="3" s="1"/>
  <c r="DK35" i="3"/>
  <c r="BK84" i="3"/>
  <c r="CN84" i="3"/>
  <c r="CW84" i="3"/>
  <c r="CG84" i="3"/>
  <c r="J103" i="3"/>
  <c r="J107" i="3" s="1"/>
  <c r="M103" i="3"/>
  <c r="M107" i="3" s="1"/>
  <c r="CW30" i="3"/>
  <c r="DT50" i="3"/>
  <c r="CK10" i="3"/>
  <c r="CZ31" i="3"/>
  <c r="DL16" i="3"/>
  <c r="DR30" i="3"/>
  <c r="CZ60" i="3"/>
  <c r="CT100" i="3"/>
  <c r="CV31" i="3"/>
  <c r="CJ31" i="3"/>
  <c r="DL69" i="3"/>
  <c r="CS27" i="3"/>
  <c r="DE27" i="3"/>
  <c r="DL27" i="3"/>
  <c r="CK27" i="3"/>
  <c r="CO27" i="3"/>
  <c r="DO27" i="3"/>
  <c r="DT27" i="3"/>
  <c r="DH27" i="3"/>
  <c r="DZ27" i="3"/>
  <c r="DB27" i="3"/>
  <c r="P103" i="3"/>
  <c r="P107" i="3" s="1"/>
  <c r="DL50" i="3"/>
  <c r="DT10" i="3"/>
  <c r="CG31" i="3"/>
  <c r="DO30" i="3"/>
  <c r="CE97" i="3"/>
  <c r="DT69" i="3"/>
  <c r="BL97" i="3"/>
  <c r="CO52" i="3"/>
  <c r="DH52" i="3"/>
  <c r="CK52" i="3"/>
  <c r="DT52" i="3"/>
  <c r="DO52" i="3"/>
  <c r="CG52" i="3"/>
  <c r="DR52" i="3"/>
  <c r="CA30" i="3"/>
  <c r="DO50" i="3"/>
  <c r="CG10" i="3"/>
  <c r="CS31" i="3"/>
  <c r="DL30" i="3"/>
  <c r="CS30" i="3"/>
  <c r="DT68" i="3"/>
  <c r="CJ77" i="3"/>
  <c r="DB69" i="3"/>
  <c r="CZ69" i="3"/>
  <c r="CD102" i="3"/>
  <c r="DB35" i="3"/>
  <c r="CK35" i="3"/>
  <c r="DO35" i="3"/>
  <c r="CG50" i="3"/>
  <c r="DB10" i="3"/>
  <c r="BT102" i="3"/>
  <c r="BE50" i="3"/>
  <c r="BG50" i="3" s="1"/>
  <c r="CZ50" i="3"/>
  <c r="CS25" i="3"/>
  <c r="C54" i="14" s="1"/>
  <c r="DO61" i="3"/>
  <c r="DE30" i="3"/>
  <c r="CG69" i="3"/>
  <c r="DZ28" i="3"/>
  <c r="DE28" i="3"/>
  <c r="CB101" i="3"/>
  <c r="BX100" i="3"/>
  <c r="CT102" i="3"/>
  <c r="DM79" i="3"/>
  <c r="H86" i="14" s="1"/>
  <c r="AM103" i="3"/>
  <c r="AM107" i="3" s="1"/>
  <c r="DR65" i="3"/>
  <c r="CK65" i="3"/>
  <c r="DE65" i="3"/>
  <c r="DH65" i="3"/>
  <c r="DZ65" i="3"/>
  <c r="DB65" i="3"/>
  <c r="DO65" i="3"/>
  <c r="DL7" i="3"/>
  <c r="DE7" i="3"/>
  <c r="CW7" i="3"/>
  <c r="BY28" i="3"/>
  <c r="BS28" i="3"/>
  <c r="BO28" i="3"/>
  <c r="CG19" i="3"/>
  <c r="DT19" i="3"/>
  <c r="CS19" i="3"/>
  <c r="DH19" i="3"/>
  <c r="CK19" i="3"/>
  <c r="CS78" i="3"/>
  <c r="DE78" i="3"/>
  <c r="CK78" i="3"/>
  <c r="CL79" i="3"/>
  <c r="H45" i="14" s="1"/>
  <c r="DE42" i="3"/>
  <c r="DH42" i="3"/>
  <c r="CK42" i="3"/>
  <c r="DT42" i="3"/>
  <c r="CS42" i="3"/>
  <c r="CZ42" i="3"/>
  <c r="CW42" i="3"/>
  <c r="DZ42" i="3"/>
  <c r="DL42" i="3"/>
  <c r="CG42" i="3"/>
  <c r="DB42" i="3"/>
  <c r="DO42" i="3"/>
  <c r="DR42" i="3"/>
  <c r="CO42" i="3"/>
  <c r="BV100" i="3"/>
  <c r="BQ31" i="3"/>
  <c r="BM31" i="3"/>
  <c r="BY31" i="3"/>
  <c r="CF31" i="3"/>
  <c r="DY31" i="3"/>
  <c r="BW31" i="3"/>
  <c r="CR31" i="3"/>
  <c r="CU88" i="3"/>
  <c r="I57" i="14" s="1"/>
  <c r="DZ73" i="3"/>
  <c r="CG18" i="3"/>
  <c r="CW48" i="3"/>
  <c r="CC73" i="3"/>
  <c r="CR73" i="3"/>
  <c r="BY17" i="3"/>
  <c r="DY17" i="3"/>
  <c r="BS17" i="3"/>
  <c r="CC17" i="3"/>
  <c r="V103" i="3"/>
  <c r="V107" i="3" s="1"/>
  <c r="CS29" i="3"/>
  <c r="BU11" i="3"/>
  <c r="BQ11" i="3"/>
  <c r="BK11" i="3"/>
  <c r="DY11" i="3"/>
  <c r="BS11" i="3"/>
  <c r="BO11" i="3"/>
  <c r="BY11" i="3"/>
  <c r="CC11" i="3"/>
  <c r="CR11" i="3"/>
  <c r="BM11" i="3"/>
  <c r="DK11" i="3"/>
  <c r="CJ32" i="3"/>
  <c r="CF32" i="3"/>
  <c r="BY32" i="3"/>
  <c r="CC47" i="3"/>
  <c r="BW47" i="3"/>
  <c r="BS47" i="3"/>
  <c r="CF47" i="3"/>
  <c r="BU47" i="3"/>
  <c r="CJ47" i="3"/>
  <c r="CG43" i="3"/>
  <c r="CZ43" i="3"/>
  <c r="DZ43" i="3"/>
  <c r="DT43" i="3"/>
  <c r="CS43" i="3"/>
  <c r="DB43" i="3"/>
  <c r="CK43" i="3"/>
  <c r="DO43" i="3"/>
  <c r="CW43" i="3"/>
  <c r="DL43" i="3"/>
  <c r="CO43" i="3"/>
  <c r="DH43" i="3"/>
  <c r="DI79" i="3"/>
  <c r="H81" i="14" s="1"/>
  <c r="BL79" i="3"/>
  <c r="H10" i="14" s="1"/>
  <c r="DL57" i="3"/>
  <c r="CW57" i="3"/>
  <c r="DO57" i="3"/>
  <c r="CK57" i="3"/>
  <c r="CZ57" i="3"/>
  <c r="DT57" i="3"/>
  <c r="CO57" i="3"/>
  <c r="DZ57" i="3"/>
  <c r="DR57" i="3"/>
  <c r="DH57" i="3"/>
  <c r="CG57" i="3"/>
  <c r="CK11" i="3"/>
  <c r="CS11" i="3"/>
  <c r="BE11" i="3"/>
  <c r="BG11" i="3" s="1"/>
  <c r="DL45" i="3"/>
  <c r="CA25" i="3"/>
  <c r="C30" i="14" s="1"/>
  <c r="CX92" i="3"/>
  <c r="K60" i="14" s="1"/>
  <c r="CI79" i="3"/>
  <c r="H42" i="14" s="1"/>
  <c r="CO73" i="3"/>
  <c r="CW71" i="3"/>
  <c r="DZ48" i="3"/>
  <c r="DR16" i="3"/>
  <c r="CV24" i="3"/>
  <c r="CC49" i="3"/>
  <c r="CO11" i="3"/>
  <c r="DD97" i="3"/>
  <c r="BE44" i="3"/>
  <c r="BG44" i="3" s="1"/>
  <c r="BU44" i="3"/>
  <c r="BS44" i="3"/>
  <c r="CV44" i="3"/>
  <c r="BY44" i="3"/>
  <c r="CA44" i="3"/>
  <c r="CR44" i="3"/>
  <c r="BQ44" i="3"/>
  <c r="CC44" i="3"/>
  <c r="CN44" i="3"/>
  <c r="BO44" i="3"/>
  <c r="BM44" i="3"/>
  <c r="BW44" i="3"/>
  <c r="DY44" i="3"/>
  <c r="DK44" i="3"/>
  <c r="DQ100" i="3"/>
  <c r="CD97" i="3"/>
  <c r="CS82" i="3"/>
  <c r="DR82" i="3"/>
  <c r="DZ82" i="3"/>
  <c r="DL82" i="3"/>
  <c r="CG82" i="3"/>
  <c r="DO82" i="3"/>
  <c r="DT82" i="3"/>
  <c r="DH82" i="3"/>
  <c r="DB82" i="3"/>
  <c r="CZ82" i="3"/>
  <c r="CO82" i="3"/>
  <c r="CW82" i="3"/>
  <c r="DE82" i="3"/>
  <c r="CK82" i="3"/>
  <c r="CW36" i="3"/>
  <c r="DR36" i="3"/>
  <c r="DO36" i="3"/>
  <c r="CZ36" i="3"/>
  <c r="CK36" i="3"/>
  <c r="DL36" i="3"/>
  <c r="DH36" i="3"/>
  <c r="DT36" i="3"/>
  <c r="DZ36" i="3"/>
  <c r="DE36" i="3"/>
  <c r="CO36" i="3"/>
  <c r="CS36" i="3"/>
  <c r="BL102" i="3"/>
  <c r="DA101" i="3"/>
  <c r="BK44" i="3"/>
  <c r="CJ25" i="3"/>
  <c r="C43" i="14" s="1"/>
  <c r="DY25" i="3"/>
  <c r="CV25" i="3"/>
  <c r="C58" i="14" s="1"/>
  <c r="BW25" i="3"/>
  <c r="C24" i="14" s="1"/>
  <c r="BU25" i="3"/>
  <c r="C21" i="14" s="1"/>
  <c r="DO45" i="3"/>
  <c r="CR25" i="3"/>
  <c r="C53" i="14" s="1"/>
  <c r="CC25" i="3"/>
  <c r="C33" i="14" s="1"/>
  <c r="DQ79" i="3"/>
  <c r="H92" i="14" s="1"/>
  <c r="CZ73" i="3"/>
  <c r="DT71" i="3"/>
  <c r="CG17" i="3"/>
  <c r="DR48" i="3"/>
  <c r="CS48" i="3"/>
  <c r="CZ77" i="3"/>
  <c r="CW22" i="3"/>
  <c r="DR59" i="3"/>
  <c r="DK24" i="3"/>
  <c r="BE49" i="3"/>
  <c r="BG49" i="3" s="1"/>
  <c r="DE11" i="3"/>
  <c r="DL11" i="3"/>
  <c r="CC61" i="3"/>
  <c r="CR61" i="3"/>
  <c r="DK61" i="3"/>
  <c r="BK61" i="3"/>
  <c r="BY61" i="3"/>
  <c r="BQ61" i="3"/>
  <c r="DY61" i="3"/>
  <c r="BM61" i="3"/>
  <c r="CJ61" i="3"/>
  <c r="CN61" i="3"/>
  <c r="CV61" i="3"/>
  <c r="CF61" i="3"/>
  <c r="DG102" i="3"/>
  <c r="DO56" i="3"/>
  <c r="DZ56" i="3"/>
  <c r="DH56" i="3"/>
  <c r="DT56" i="3"/>
  <c r="CO56" i="3"/>
  <c r="CK56" i="3"/>
  <c r="DL56" i="3"/>
  <c r="DB56" i="3"/>
  <c r="CS56" i="3"/>
  <c r="CZ56" i="3"/>
  <c r="DR56" i="3"/>
  <c r="CW11" i="3"/>
  <c r="CW39" i="3"/>
  <c r="CH88" i="3"/>
  <c r="I40" i="14" s="1"/>
  <c r="CG29" i="3"/>
  <c r="CC13" i="3"/>
  <c r="BM13" i="3"/>
  <c r="BO13" i="3"/>
  <c r="CR13" i="3"/>
  <c r="CF13" i="3"/>
  <c r="BW13" i="3"/>
  <c r="CA13" i="3"/>
  <c r="BY13" i="3"/>
  <c r="BS13" i="3"/>
  <c r="BE13" i="3"/>
  <c r="BG13" i="3" s="1"/>
  <c r="DK13" i="3"/>
  <c r="DY13" i="3"/>
  <c r="CJ13" i="3"/>
  <c r="CN13" i="3"/>
  <c r="BK13" i="3"/>
  <c r="BQ13" i="3"/>
  <c r="T103" i="3"/>
  <c r="T107" i="3" s="1"/>
  <c r="AK103" i="3"/>
  <c r="AK107" i="3" s="1"/>
  <c r="CH102" i="3"/>
  <c r="CK32" i="3"/>
  <c r="DH32" i="3"/>
  <c r="DR32" i="3"/>
  <c r="DZ32" i="3"/>
  <c r="DE32" i="3"/>
  <c r="DL32" i="3"/>
  <c r="CO32" i="3"/>
  <c r="DT32" i="3"/>
  <c r="CG32" i="3"/>
  <c r="CS32" i="3"/>
  <c r="DB32" i="3"/>
  <c r="DH73" i="3"/>
  <c r="CX79" i="3"/>
  <c r="H60" i="14" s="1"/>
  <c r="BK30" i="3"/>
  <c r="CN25" i="3"/>
  <c r="C48" i="14" s="1"/>
  <c r="BQ25" i="3"/>
  <c r="DA79" i="3"/>
  <c r="H64" i="14" s="1"/>
  <c r="BO14" i="3"/>
  <c r="DT73" i="3"/>
  <c r="DR73" i="3"/>
  <c r="DR71" i="3"/>
  <c r="DB17" i="3"/>
  <c r="DO48" i="3"/>
  <c r="CS77" i="3"/>
  <c r="DH22" i="3"/>
  <c r="BY49" i="3"/>
  <c r="BE48" i="3"/>
  <c r="BG48" i="3" s="1"/>
  <c r="DH11" i="3"/>
  <c r="DA102" i="3"/>
  <c r="DT90" i="3"/>
  <c r="CW26" i="3"/>
  <c r="CG26" i="3"/>
  <c r="DE26" i="3"/>
  <c r="CK26" i="3"/>
  <c r="DZ26" i="3"/>
  <c r="CS26" i="3"/>
  <c r="DT26" i="3"/>
  <c r="CZ26" i="3"/>
  <c r="DL26" i="3"/>
  <c r="DR26" i="3"/>
  <c r="DO26" i="3"/>
  <c r="DH26" i="3"/>
  <c r="CS47" i="3"/>
  <c r="CG47" i="3"/>
  <c r="DO47" i="3"/>
  <c r="CO47" i="3"/>
  <c r="DB47" i="3"/>
  <c r="CZ47" i="3"/>
  <c r="DZ47" i="3"/>
  <c r="DE47" i="3"/>
  <c r="BE47" i="3"/>
  <c r="BG47" i="3" s="1"/>
  <c r="DL47" i="3"/>
  <c r="CS68" i="3"/>
  <c r="CO68" i="3"/>
  <c r="CZ68" i="3"/>
  <c r="DZ68" i="3"/>
  <c r="CK68" i="3"/>
  <c r="DE68" i="3"/>
  <c r="DO68" i="3"/>
  <c r="CG68" i="3"/>
  <c r="DB68" i="3"/>
  <c r="DH68" i="3"/>
  <c r="CG74" i="3"/>
  <c r="CS44" i="3"/>
  <c r="DR75" i="3"/>
  <c r="CK75" i="3"/>
  <c r="DE75" i="3"/>
  <c r="DT75" i="3"/>
  <c r="CG75" i="3"/>
  <c r="CS75" i="3"/>
  <c r="CW75" i="3"/>
  <c r="CO75" i="3"/>
  <c r="DZ75" i="3"/>
  <c r="CZ75" i="3"/>
  <c r="DO75" i="3"/>
  <c r="DH75" i="3"/>
  <c r="CZ80" i="3"/>
  <c r="CZ81" i="3" s="1"/>
  <c r="CK80" i="3"/>
  <c r="CK81" i="3" s="1"/>
  <c r="CG80" i="3"/>
  <c r="CG81" i="3" s="1"/>
  <c r="BD81" i="3"/>
  <c r="BD99" i="3" s="1"/>
  <c r="DO80" i="3"/>
  <c r="DO81" i="3" s="1"/>
  <c r="CS80" i="3"/>
  <c r="CS81" i="3" s="1"/>
  <c r="DH80" i="3"/>
  <c r="DH81" i="3" s="1"/>
  <c r="DE80" i="3"/>
  <c r="DE81" i="3" s="1"/>
  <c r="DE56" i="3"/>
  <c r="DB26" i="3"/>
  <c r="DO73" i="3"/>
  <c r="CF25" i="3"/>
  <c r="C38" i="14" s="1"/>
  <c r="DL73" i="3"/>
  <c r="CG73" i="3"/>
  <c r="CO71" i="3"/>
  <c r="DO71" i="3"/>
  <c r="DO22" i="3"/>
  <c r="BO49" i="3"/>
  <c r="DZ11" i="3"/>
  <c r="BE32" i="3"/>
  <c r="BG32" i="3" s="1"/>
  <c r="BN97" i="3"/>
  <c r="CP97" i="3"/>
  <c r="DO72" i="3"/>
  <c r="CG72" i="3"/>
  <c r="DT72" i="3"/>
  <c r="DB72" i="3"/>
  <c r="DL72" i="3"/>
  <c r="CO72" i="3"/>
  <c r="CK72" i="3"/>
  <c r="DH72" i="3"/>
  <c r="CS72" i="3"/>
  <c r="DE72" i="3"/>
  <c r="DZ72" i="3"/>
  <c r="DR72" i="3"/>
  <c r="CZ72" i="3"/>
  <c r="CI101" i="3"/>
  <c r="CR48" i="3"/>
  <c r="CF48" i="3"/>
  <c r="CV48" i="3"/>
  <c r="CN48" i="3"/>
  <c r="BU48" i="3"/>
  <c r="BM48" i="3"/>
  <c r="DK48" i="3"/>
  <c r="BQ48" i="3"/>
  <c r="BY48" i="3"/>
  <c r="BW48" i="3"/>
  <c r="BK48" i="3"/>
  <c r="BS48" i="3"/>
  <c r="CC48" i="3"/>
  <c r="CA48" i="3"/>
  <c r="CJ48" i="3"/>
  <c r="DY48" i="3"/>
  <c r="DB91" i="3"/>
  <c r="CZ91" i="3"/>
  <c r="CS91" i="3"/>
  <c r="DO91" i="3"/>
  <c r="DE91" i="3"/>
  <c r="DH91" i="3"/>
  <c r="CK91" i="3"/>
  <c r="DZ91" i="3"/>
  <c r="CO91" i="3"/>
  <c r="DR91" i="3"/>
  <c r="CW91" i="3"/>
  <c r="CG91" i="3"/>
  <c r="DL91" i="3"/>
  <c r="DT91" i="3"/>
  <c r="BO48" i="3"/>
  <c r="DB40" i="3"/>
  <c r="DO40" i="3"/>
  <c r="DL40" i="3"/>
  <c r="DE40" i="3"/>
  <c r="DZ40" i="3"/>
  <c r="DH40" i="3"/>
  <c r="CO40" i="3"/>
  <c r="DT40" i="3"/>
  <c r="CW40" i="3"/>
  <c r="CK40" i="3"/>
  <c r="CS40" i="3"/>
  <c r="CG40" i="3"/>
  <c r="DR40" i="3"/>
  <c r="DB41" i="3"/>
  <c r="CN49" i="3"/>
  <c r="CO90" i="3"/>
  <c r="DO90" i="3"/>
  <c r="DH90" i="3"/>
  <c r="DB90" i="3"/>
  <c r="CK90" i="3"/>
  <c r="CS90" i="3"/>
  <c r="DR90" i="3"/>
  <c r="DE90" i="3"/>
  <c r="DZ90" i="3"/>
  <c r="DL90" i="3"/>
  <c r="BS25" i="3"/>
  <c r="C18" i="14" s="1"/>
  <c r="BE24" i="3"/>
  <c r="BG24" i="3" s="1"/>
  <c r="CW73" i="3"/>
  <c r="CS73" i="3"/>
  <c r="DH71" i="3"/>
  <c r="CZ71" i="3"/>
  <c r="DH48" i="3"/>
  <c r="DH16" i="3"/>
  <c r="DZ22" i="3"/>
  <c r="CV49" i="3"/>
  <c r="CU92" i="3"/>
  <c r="K57" i="14" s="1"/>
  <c r="DF79" i="3"/>
  <c r="H71" i="14" s="1"/>
  <c r="CU8" i="3"/>
  <c r="G57" i="14" s="1"/>
  <c r="CG11" i="3"/>
  <c r="CS49" i="3"/>
  <c r="DR49" i="3"/>
  <c r="DE49" i="3"/>
  <c r="DH49" i="3"/>
  <c r="CK49" i="3"/>
  <c r="DL49" i="3"/>
  <c r="DZ49" i="3"/>
  <c r="DB49" i="3"/>
  <c r="CZ49" i="3"/>
  <c r="AN103" i="3"/>
  <c r="AN107" i="3" s="1"/>
  <c r="CW72" i="3"/>
  <c r="DE29" i="3"/>
  <c r="DR29" i="3"/>
  <c r="DT29" i="3"/>
  <c r="DL29" i="3"/>
  <c r="CZ29" i="3"/>
  <c r="CO29" i="3"/>
  <c r="CK29" i="3"/>
  <c r="CK74" i="3"/>
  <c r="CZ74" i="3"/>
  <c r="DZ74" i="3"/>
  <c r="DO74" i="3"/>
  <c r="CO74" i="3"/>
  <c r="DR74" i="3"/>
  <c r="DL74" i="3"/>
  <c r="DT74" i="3"/>
  <c r="DE74" i="3"/>
  <c r="CS74" i="3"/>
  <c r="DB74" i="3"/>
  <c r="CW74" i="3"/>
  <c r="BW55" i="3"/>
  <c r="BU55" i="3"/>
  <c r="DK55" i="3"/>
  <c r="CF55" i="3"/>
  <c r="DY55" i="3"/>
  <c r="BK55" i="3"/>
  <c r="CC55" i="3"/>
  <c r="CN55" i="3"/>
  <c r="CJ55" i="3"/>
  <c r="CR55" i="3"/>
  <c r="BY55" i="3"/>
  <c r="BE55" i="3"/>
  <c r="BG55" i="3" s="1"/>
  <c r="BQ55" i="3"/>
  <c r="CV55" i="3"/>
  <c r="CA55" i="3"/>
  <c r="BM55" i="3"/>
  <c r="DD102" i="3"/>
  <c r="CW90" i="3"/>
  <c r="S103" i="3"/>
  <c r="S107" i="3" s="1"/>
  <c r="CW32" i="3"/>
  <c r="BO25" i="3"/>
  <c r="C15" i="14" s="1"/>
  <c r="BE73" i="3"/>
  <c r="BG73" i="3" s="1"/>
  <c r="DE73" i="3"/>
  <c r="CK71" i="3"/>
  <c r="CS71" i="3"/>
  <c r="CO22" i="3"/>
  <c r="BQ49" i="3"/>
  <c r="DB11" i="3"/>
  <c r="DT41" i="3"/>
  <c r="DZ41" i="3"/>
  <c r="CS41" i="3"/>
  <c r="DR41" i="3"/>
  <c r="DL41" i="3"/>
  <c r="CK41" i="3"/>
  <c r="DH41" i="3"/>
  <c r="DE41" i="3"/>
  <c r="DO41" i="3"/>
  <c r="CZ41" i="3"/>
  <c r="CG41" i="3"/>
  <c r="DB44" i="3"/>
  <c r="DE44" i="3"/>
  <c r="DR44" i="3"/>
  <c r="DL44" i="3"/>
  <c r="DT44" i="3"/>
  <c r="CZ44" i="3"/>
  <c r="DZ44" i="3"/>
  <c r="DO44" i="3"/>
  <c r="CK44" i="3"/>
  <c r="CW44" i="3"/>
  <c r="CG44" i="3"/>
  <c r="CO44" i="3"/>
  <c r="DT58" i="3"/>
  <c r="CG58" i="3"/>
  <c r="DL58" i="3"/>
  <c r="CZ58" i="3"/>
  <c r="DH58" i="3"/>
  <c r="DR58" i="3"/>
  <c r="CW58" i="3"/>
  <c r="CK58" i="3"/>
  <c r="DZ58" i="3"/>
  <c r="CO58" i="3"/>
  <c r="CS58" i="3"/>
  <c r="BD8" i="3"/>
  <c r="BO61" i="3"/>
  <c r="DH13" i="3"/>
  <c r="CK13" i="3"/>
  <c r="CZ13" i="3"/>
  <c r="DL13" i="3"/>
  <c r="DB13" i="3"/>
  <c r="CG13" i="3"/>
  <c r="DO13" i="3"/>
  <c r="DZ13" i="3"/>
  <c r="CS13" i="3"/>
  <c r="DE13" i="3"/>
  <c r="CW13" i="3"/>
  <c r="DT13" i="3"/>
  <c r="CZ90" i="3"/>
  <c r="D103" i="3"/>
  <c r="CD92" i="3"/>
  <c r="K34" i="14" s="1"/>
  <c r="CZ32" i="3"/>
  <c r="BY25" i="3"/>
  <c r="C27" i="14" s="1"/>
  <c r="CK73" i="3"/>
  <c r="DZ71" i="3"/>
  <c r="BK49" i="3"/>
  <c r="DO11" i="3"/>
  <c r="DR11" i="3"/>
  <c r="DT11" i="3"/>
  <c r="DM100" i="3"/>
  <c r="BW41" i="3"/>
  <c r="BO41" i="3"/>
  <c r="CN41" i="3"/>
  <c r="BS41" i="3"/>
  <c r="BY41" i="3"/>
  <c r="CG39" i="3"/>
  <c r="CZ39" i="3"/>
  <c r="DL39" i="3"/>
  <c r="CO39" i="3"/>
  <c r="DH39" i="3"/>
  <c r="DO39" i="3"/>
  <c r="DE39" i="3"/>
  <c r="DR39" i="3"/>
  <c r="DZ39" i="3"/>
  <c r="DT39" i="3"/>
  <c r="BL101" i="3"/>
  <c r="BX102" i="3"/>
  <c r="CB102" i="3"/>
  <c r="CW89" i="3"/>
  <c r="CS20" i="3"/>
  <c r="CM79" i="3"/>
  <c r="H47" i="14" s="1"/>
  <c r="DH12" i="3"/>
  <c r="DH50" i="3"/>
  <c r="DR50" i="3"/>
  <c r="DE10" i="3"/>
  <c r="DE25" i="3"/>
  <c r="C70" i="14" s="1"/>
  <c r="DL54" i="3"/>
  <c r="DE54" i="3"/>
  <c r="CK60" i="3"/>
  <c r="BM49" i="3"/>
  <c r="CF49" i="3"/>
  <c r="DL33" i="3"/>
  <c r="CK33" i="3"/>
  <c r="DT33" i="3"/>
  <c r="CW33" i="3"/>
  <c r="DR33" i="3"/>
  <c r="CO33" i="3"/>
  <c r="CG33" i="3"/>
  <c r="DB33" i="3"/>
  <c r="CS33" i="3"/>
  <c r="CZ33" i="3"/>
  <c r="DE33" i="3"/>
  <c r="CM101" i="3"/>
  <c r="DY12" i="3"/>
  <c r="CF12" i="3"/>
  <c r="BO12" i="3"/>
  <c r="BM12" i="3"/>
  <c r="CN12" i="3"/>
  <c r="BY12" i="3"/>
  <c r="CC12" i="3"/>
  <c r="BK12" i="3"/>
  <c r="BS12" i="3"/>
  <c r="CA12" i="3"/>
  <c r="CV12" i="3"/>
  <c r="CR12" i="3"/>
  <c r="DK12" i="3"/>
  <c r="BQ12" i="3"/>
  <c r="CJ12" i="3"/>
  <c r="BE12" i="3"/>
  <c r="BG12" i="3" s="1"/>
  <c r="BU12" i="3"/>
  <c r="BW12" i="3"/>
  <c r="CS18" i="3"/>
  <c r="DH18" i="3"/>
  <c r="DT18" i="3"/>
  <c r="BO34" i="3"/>
  <c r="BM34" i="3"/>
  <c r="BS34" i="3"/>
  <c r="BY34" i="3"/>
  <c r="DY34" i="3"/>
  <c r="CF34" i="3"/>
  <c r="CV34" i="3"/>
  <c r="BW34" i="3"/>
  <c r="CR34" i="3"/>
  <c r="CA34" i="3"/>
  <c r="BK34" i="3"/>
  <c r="BU34" i="3"/>
  <c r="CJ34" i="3"/>
  <c r="BQ34" i="3"/>
  <c r="DK34" i="3"/>
  <c r="CC34" i="3"/>
  <c r="CN34" i="3"/>
  <c r="CR39" i="3"/>
  <c r="BM39" i="3"/>
  <c r="BE39" i="3"/>
  <c r="BG39" i="3" s="1"/>
  <c r="DY39" i="3"/>
  <c r="CF39" i="3"/>
  <c r="BO39" i="3"/>
  <c r="CN39" i="3"/>
  <c r="BU39" i="3"/>
  <c r="CJ39" i="3"/>
  <c r="CC39" i="3"/>
  <c r="DK39" i="3"/>
  <c r="BK39" i="3"/>
  <c r="BW39" i="3"/>
  <c r="CA39" i="3"/>
  <c r="CV39" i="3"/>
  <c r="BY39" i="3"/>
  <c r="BQ39" i="3"/>
  <c r="DE20" i="3"/>
  <c r="CT79" i="3"/>
  <c r="H55" i="14" s="1"/>
  <c r="CK12" i="3"/>
  <c r="CW50" i="3"/>
  <c r="CO50" i="3"/>
  <c r="DE18" i="3"/>
  <c r="DZ10" i="3"/>
  <c r="CO25" i="3"/>
  <c r="C49" i="14" s="1"/>
  <c r="DZ25" i="3"/>
  <c r="CS54" i="3"/>
  <c r="DH54" i="3"/>
  <c r="DL60" i="3"/>
  <c r="BU49" i="3"/>
  <c r="BM7" i="3"/>
  <c r="CC7" i="3"/>
  <c r="BK7" i="3"/>
  <c r="BO7" i="3"/>
  <c r="DK7" i="3"/>
  <c r="DY7" i="3"/>
  <c r="CA7" i="3"/>
  <c r="CR7" i="3"/>
  <c r="CF7" i="3"/>
  <c r="CV7" i="3"/>
  <c r="BY7" i="3"/>
  <c r="BU7" i="3"/>
  <c r="CN7" i="3"/>
  <c r="BW7" i="3"/>
  <c r="CJ7" i="3"/>
  <c r="BQ7" i="3"/>
  <c r="BE7" i="3"/>
  <c r="BG7" i="3" s="1"/>
  <c r="BS7" i="3"/>
  <c r="DB16" i="3"/>
  <c r="DZ16" i="3"/>
  <c r="CG16" i="3"/>
  <c r="DE16" i="3"/>
  <c r="DT16" i="3"/>
  <c r="CS16" i="3"/>
  <c r="CO16" i="3"/>
  <c r="CZ16" i="3"/>
  <c r="CW16" i="3"/>
  <c r="DB22" i="3"/>
  <c r="CZ22" i="3"/>
  <c r="CK22" i="3"/>
  <c r="CG22" i="3"/>
  <c r="DR22" i="3"/>
  <c r="DT22" i="3"/>
  <c r="DE22" i="3"/>
  <c r="DL22" i="3"/>
  <c r="CS22" i="3"/>
  <c r="CF24" i="3"/>
  <c r="CA24" i="3"/>
  <c r="BK24" i="3"/>
  <c r="BS24" i="3"/>
  <c r="BY24" i="3"/>
  <c r="BQ24" i="3"/>
  <c r="CJ24" i="3"/>
  <c r="BM24" i="3"/>
  <c r="CN24" i="3"/>
  <c r="DY24" i="3"/>
  <c r="BO24" i="3"/>
  <c r="BU37" i="3"/>
  <c r="BW37" i="3"/>
  <c r="BS37" i="3"/>
  <c r="BY37" i="3"/>
  <c r="BQ37" i="3"/>
  <c r="CC37" i="3"/>
  <c r="CF37" i="3"/>
  <c r="DY37" i="3"/>
  <c r="CJ37" i="3"/>
  <c r="BK37" i="3"/>
  <c r="CV37" i="3"/>
  <c r="CN37" i="3"/>
  <c r="CA37" i="3"/>
  <c r="CR37" i="3"/>
  <c r="BO37" i="3"/>
  <c r="DK37" i="3"/>
  <c r="BM37" i="3"/>
  <c r="DK65" i="3"/>
  <c r="CN65" i="3"/>
  <c r="DY65" i="3"/>
  <c r="BE65" i="3"/>
  <c r="BG65" i="3" s="1"/>
  <c r="BU65" i="3"/>
  <c r="CR65" i="3"/>
  <c r="CF65" i="3"/>
  <c r="CC65" i="3"/>
  <c r="CA65" i="3"/>
  <c r="CV65" i="3"/>
  <c r="BS65" i="3"/>
  <c r="BY65" i="3"/>
  <c r="CJ65" i="3"/>
  <c r="BQ65" i="3"/>
  <c r="BO65" i="3"/>
  <c r="BM65" i="3"/>
  <c r="BW65" i="3"/>
  <c r="DQ101" i="3"/>
  <c r="DR67" i="3"/>
  <c r="DR18" i="3"/>
  <c r="DO25" i="3"/>
  <c r="C89" i="14" s="1"/>
  <c r="DB54" i="3"/>
  <c r="DB61" i="3"/>
  <c r="CS60" i="3"/>
  <c r="DY49" i="3"/>
  <c r="CA49" i="3"/>
  <c r="DE71" i="3"/>
  <c r="DB71" i="3"/>
  <c r="DP102" i="3"/>
  <c r="CN14" i="3"/>
  <c r="BK14" i="3"/>
  <c r="CA14" i="3"/>
  <c r="CF14" i="3"/>
  <c r="BY14" i="3"/>
  <c r="DY14" i="3"/>
  <c r="BQ14" i="3"/>
  <c r="DK14" i="3"/>
  <c r="BU14" i="3"/>
  <c r="CJ14" i="3"/>
  <c r="CC14" i="3"/>
  <c r="BW14" i="3"/>
  <c r="BS14" i="3"/>
  <c r="CV14" i="3"/>
  <c r="BM14" i="3"/>
  <c r="CA53" i="3"/>
  <c r="CN53" i="3"/>
  <c r="CF53" i="3"/>
  <c r="BK53" i="3"/>
  <c r="CJ53" i="3"/>
  <c r="BW53" i="3"/>
  <c r="BM53" i="3"/>
  <c r="BO53" i="3"/>
  <c r="CR53" i="3"/>
  <c r="BQ53" i="3"/>
  <c r="CV53" i="3"/>
  <c r="DK53" i="3"/>
  <c r="BS53" i="3"/>
  <c r="CC53" i="3"/>
  <c r="BY53" i="3"/>
  <c r="DT25" i="3"/>
  <c r="C76" i="14" s="1"/>
  <c r="BE25" i="3"/>
  <c r="BG25" i="3" s="1"/>
  <c r="CS67" i="3"/>
  <c r="CK67" i="3"/>
  <c r="DH67" i="3"/>
  <c r="CZ67" i="3"/>
  <c r="CO67" i="3"/>
  <c r="DE67" i="3"/>
  <c r="DB67" i="3"/>
  <c r="CM97" i="3"/>
  <c r="DY54" i="3"/>
  <c r="CA54" i="3"/>
  <c r="BU54" i="3"/>
  <c r="BY54" i="3"/>
  <c r="CF54" i="3"/>
  <c r="BS54" i="3"/>
  <c r="CR54" i="3"/>
  <c r="CV54" i="3"/>
  <c r="CC54" i="3"/>
  <c r="BE54" i="3"/>
  <c r="BG54" i="3" s="1"/>
  <c r="BW54" i="3"/>
  <c r="CJ54" i="3"/>
  <c r="BQ54" i="3"/>
  <c r="BK54" i="3"/>
  <c r="CN54" i="3"/>
  <c r="BO54" i="3"/>
  <c r="DK54" i="3"/>
  <c r="BM54" i="3"/>
  <c r="BN100" i="3"/>
  <c r="N103" i="3"/>
  <c r="N107" i="3" s="1"/>
  <c r="DT67" i="3"/>
  <c r="DR12" i="3"/>
  <c r="DZ12" i="3"/>
  <c r="DZ50" i="3"/>
  <c r="DE50" i="3"/>
  <c r="CZ18" i="3"/>
  <c r="CO10" i="3"/>
  <c r="DL10" i="3"/>
  <c r="CZ25" i="3"/>
  <c r="C63" i="14" s="1"/>
  <c r="CG25" i="3"/>
  <c r="C39" i="14" s="1"/>
  <c r="CK54" i="3"/>
  <c r="DO60" i="3"/>
  <c r="DO67" i="3"/>
  <c r="CJ49" i="3"/>
  <c r="BS49" i="3"/>
  <c r="BM68" i="3"/>
  <c r="CC68" i="3"/>
  <c r="BS68" i="3"/>
  <c r="CR68" i="3"/>
  <c r="BO68" i="3"/>
  <c r="DK68" i="3"/>
  <c r="BU68" i="3"/>
  <c r="BK68" i="3"/>
  <c r="CN68" i="3"/>
  <c r="BY68" i="3"/>
  <c r="BE68" i="3"/>
  <c r="BG68" i="3" s="1"/>
  <c r="CV68" i="3"/>
  <c r="CJ68" i="3"/>
  <c r="CF68" i="3"/>
  <c r="BW68" i="3"/>
  <c r="DY68" i="3"/>
  <c r="BQ68" i="3"/>
  <c r="CA68" i="3"/>
  <c r="DR31" i="3"/>
  <c r="CO31" i="3"/>
  <c r="BE31" i="3"/>
  <c r="BG31" i="3" s="1"/>
  <c r="DT30" i="3"/>
  <c r="DB30" i="3"/>
  <c r="CO70" i="3"/>
  <c r="DO70" i="3"/>
  <c r="DB70" i="3"/>
  <c r="CZ70" i="3"/>
  <c r="CW70" i="3"/>
  <c r="DZ70" i="3"/>
  <c r="CG70" i="3"/>
  <c r="DH70" i="3"/>
  <c r="DL70" i="3"/>
  <c r="CK70" i="3"/>
  <c r="DT21" i="3"/>
  <c r="CS21" i="3"/>
  <c r="DE21" i="3"/>
  <c r="DO21" i="3"/>
  <c r="DL21" i="3"/>
  <c r="DB21" i="3"/>
  <c r="CK21" i="3"/>
  <c r="DZ21" i="3"/>
  <c r="DR21" i="3"/>
  <c r="CZ21" i="3"/>
  <c r="DH21" i="3"/>
  <c r="CG21" i="3"/>
  <c r="CO21" i="3"/>
  <c r="DF100" i="3"/>
  <c r="CV10" i="3"/>
  <c r="BO10" i="3"/>
  <c r="DK10" i="3"/>
  <c r="BE10" i="3"/>
  <c r="BG10" i="3" s="1"/>
  <c r="CA10" i="3"/>
  <c r="CF10" i="3"/>
  <c r="CC10" i="3"/>
  <c r="BY10" i="3"/>
  <c r="BM10" i="3"/>
  <c r="CR10" i="3"/>
  <c r="BQ10" i="3"/>
  <c r="BS10" i="3"/>
  <c r="BK10" i="3"/>
  <c r="DY10" i="3"/>
  <c r="BU10" i="3"/>
  <c r="CN10" i="3"/>
  <c r="CJ10" i="3"/>
  <c r="BW10" i="3"/>
  <c r="BS39" i="3"/>
  <c r="BE17" i="3"/>
  <c r="BG17" i="3" s="1"/>
  <c r="CG67" i="3"/>
  <c r="CK18" i="3"/>
  <c r="DB25" i="3"/>
  <c r="C66" i="14" s="1"/>
  <c r="DR25" i="3"/>
  <c r="C93" i="14" s="1"/>
  <c r="DL67" i="3"/>
  <c r="CA45" i="3"/>
  <c r="BW45" i="3"/>
  <c r="BM45" i="3"/>
  <c r="CR45" i="3"/>
  <c r="BO45" i="3"/>
  <c r="CN45" i="3"/>
  <c r="CF45" i="3"/>
  <c r="BY45" i="3"/>
  <c r="DY45" i="3"/>
  <c r="BS45" i="3"/>
  <c r="CC45" i="3"/>
  <c r="CV45" i="3"/>
  <c r="BQ45" i="3"/>
  <c r="CJ45" i="3"/>
  <c r="DK45" i="3"/>
  <c r="BK45" i="3"/>
  <c r="BU45" i="3"/>
  <c r="DZ60" i="3"/>
  <c r="DB60" i="3"/>
  <c r="CQ97" i="3"/>
  <c r="CM102" i="3"/>
  <c r="DK72" i="3"/>
  <c r="BS72" i="3"/>
  <c r="CN72" i="3"/>
  <c r="CA72" i="3"/>
  <c r="BW72" i="3"/>
  <c r="BY72" i="3"/>
  <c r="BO72" i="3"/>
  <c r="DY72" i="3"/>
  <c r="CC72" i="3"/>
  <c r="BK72" i="3"/>
  <c r="CV72" i="3"/>
  <c r="BU72" i="3"/>
  <c r="CJ72" i="3"/>
  <c r="CF72" i="3"/>
  <c r="BQ72" i="3"/>
  <c r="BM72" i="3"/>
  <c r="BE72" i="3"/>
  <c r="BG72" i="3" s="1"/>
  <c r="CR72" i="3"/>
  <c r="BL100" i="3"/>
  <c r="CA69" i="3"/>
  <c r="DK69" i="3"/>
  <c r="CC69" i="3"/>
  <c r="BU69" i="3"/>
  <c r="BY69" i="3"/>
  <c r="BK69" i="3"/>
  <c r="CR69" i="3"/>
  <c r="BS69" i="3"/>
  <c r="BM69" i="3"/>
  <c r="CF69" i="3"/>
  <c r="CJ69" i="3"/>
  <c r="BQ69" i="3"/>
  <c r="BE69" i="3"/>
  <c r="BG69" i="3" s="1"/>
  <c r="DY69" i="3"/>
  <c r="CV69" i="3"/>
  <c r="CN69" i="3"/>
  <c r="BO69" i="3"/>
  <c r="BW69" i="3"/>
  <c r="K103" i="3"/>
  <c r="K107" i="3" s="1"/>
  <c r="CK38" i="3"/>
  <c r="DL18" i="3"/>
  <c r="DO18" i="3"/>
  <c r="DL25" i="3"/>
  <c r="C85" i="14" s="1"/>
  <c r="CK25" i="3"/>
  <c r="C44" i="14" s="1"/>
  <c r="CW67" i="3"/>
  <c r="CH97" i="3"/>
  <c r="CK61" i="3"/>
  <c r="CS61" i="3"/>
  <c r="CO61" i="3"/>
  <c r="DR61" i="3"/>
  <c r="CG61" i="3"/>
  <c r="BE61" i="3"/>
  <c r="BG61" i="3" s="1"/>
  <c r="CW61" i="3"/>
  <c r="DE61" i="3"/>
  <c r="DH61" i="3"/>
  <c r="DT61" i="3"/>
  <c r="DS97" i="3"/>
  <c r="DZ94" i="3"/>
  <c r="CW94" i="3"/>
  <c r="DO94" i="3"/>
  <c r="DH94" i="3"/>
  <c r="DE94" i="3"/>
  <c r="DB94" i="3"/>
  <c r="CK94" i="3"/>
  <c r="DR94" i="3"/>
  <c r="CO94" i="3"/>
  <c r="CZ94" i="3"/>
  <c r="DL94" i="3"/>
  <c r="BV102" i="3"/>
  <c r="O103" i="3"/>
  <c r="O107" i="3" s="1"/>
  <c r="CO12" i="3"/>
  <c r="CK50" i="3"/>
  <c r="DZ18" i="3"/>
  <c r="CW18" i="3"/>
  <c r="DO10" i="3"/>
  <c r="CS10" i="3"/>
  <c r="CW25" i="3"/>
  <c r="C59" i="14" s="1"/>
  <c r="DT54" i="3"/>
  <c r="DZ61" i="3"/>
  <c r="CW60" i="3"/>
  <c r="DT60" i="3"/>
  <c r="DK49" i="3"/>
  <c r="CR49" i="3"/>
  <c r="BM23" i="3"/>
  <c r="CV23" i="3"/>
  <c r="BK23" i="3"/>
  <c r="CA23" i="3"/>
  <c r="DY23" i="3"/>
  <c r="CJ23" i="3"/>
  <c r="CF23" i="3"/>
  <c r="CN23" i="3"/>
  <c r="BS23" i="3"/>
  <c r="BW23" i="3"/>
  <c r="DK23" i="3"/>
  <c r="BU23" i="3"/>
  <c r="BQ23" i="3"/>
  <c r="CR23" i="3"/>
  <c r="BY23" i="3"/>
  <c r="CC23" i="3"/>
  <c r="DB77" i="3"/>
  <c r="DR77" i="3"/>
  <c r="CO77" i="3"/>
  <c r="DH77" i="3"/>
  <c r="DL77" i="3"/>
  <c r="DE77" i="3"/>
  <c r="CK77" i="3"/>
  <c r="CG77" i="3"/>
  <c r="CW77" i="3"/>
  <c r="DZ77" i="3"/>
  <c r="CG59" i="3"/>
  <c r="DO59" i="3"/>
  <c r="CS59" i="3"/>
  <c r="DE59" i="3"/>
  <c r="DT59" i="3"/>
  <c r="CK59" i="3"/>
  <c r="DH59" i="3"/>
  <c r="CZ59" i="3"/>
  <c r="CO85" i="3"/>
  <c r="CS85" i="3"/>
  <c r="DZ85" i="3"/>
  <c r="DT85" i="3"/>
  <c r="CK85" i="3"/>
  <c r="DL85" i="3"/>
  <c r="DH85" i="3"/>
  <c r="DO85" i="3"/>
  <c r="DB85" i="3"/>
  <c r="DR85" i="3"/>
  <c r="CG85" i="3"/>
  <c r="CZ85" i="3"/>
  <c r="DE85" i="3"/>
  <c r="CW85" i="3"/>
  <c r="DD101" i="3"/>
  <c r="DY75" i="3"/>
  <c r="BQ75" i="3"/>
  <c r="CN75" i="3"/>
  <c r="BW75" i="3"/>
  <c r="CJ75" i="3"/>
  <c r="DK75" i="3"/>
  <c r="CC75" i="3"/>
  <c r="CV75" i="3"/>
  <c r="BU75" i="3"/>
  <c r="CR75" i="3"/>
  <c r="BM75" i="3"/>
  <c r="BY75" i="3"/>
  <c r="BE75" i="3"/>
  <c r="BG75" i="3" s="1"/>
  <c r="BO75" i="3"/>
  <c r="CF75" i="3"/>
  <c r="BK75" i="3"/>
  <c r="BS75" i="3"/>
  <c r="CA75" i="3"/>
  <c r="CA51" i="3"/>
  <c r="CC51" i="3"/>
  <c r="BY51" i="3"/>
  <c r="BU51" i="3"/>
  <c r="BM51" i="3"/>
  <c r="CN51" i="3"/>
  <c r="BS51" i="3"/>
  <c r="CR51" i="3"/>
  <c r="BO51" i="3"/>
  <c r="BQ51" i="3"/>
  <c r="BK51" i="3"/>
  <c r="BW51" i="3"/>
  <c r="CJ51" i="3"/>
  <c r="DK51" i="3"/>
  <c r="CV51" i="3"/>
  <c r="DY51" i="3"/>
  <c r="CF51" i="3"/>
  <c r="CQ102" i="3"/>
  <c r="DA97" i="3"/>
  <c r="DK74" i="3"/>
  <c r="CC74" i="3"/>
  <c r="CA74" i="3"/>
  <c r="BY74" i="3"/>
  <c r="BU74" i="3"/>
  <c r="BQ74" i="3"/>
  <c r="CV74" i="3"/>
  <c r="BM74" i="3"/>
  <c r="CJ74" i="3"/>
  <c r="DY74" i="3"/>
  <c r="CR74" i="3"/>
  <c r="BE74" i="3"/>
  <c r="BG74" i="3" s="1"/>
  <c r="CF74" i="3"/>
  <c r="BO74" i="3"/>
  <c r="CN74" i="3"/>
  <c r="BK74" i="3"/>
  <c r="BS74" i="3"/>
  <c r="BW74" i="3"/>
  <c r="CC27" i="3"/>
  <c r="CA27" i="3"/>
  <c r="CF27" i="3"/>
  <c r="BS27" i="3"/>
  <c r="CR27" i="3"/>
  <c r="BK27" i="3"/>
  <c r="CJ27" i="3"/>
  <c r="BQ27" i="3"/>
  <c r="BM27" i="3"/>
  <c r="BY27" i="3"/>
  <c r="DY27" i="3"/>
  <c r="BE27" i="3"/>
  <c r="BG27" i="3" s="1"/>
  <c r="BW27" i="3"/>
  <c r="BO27" i="3"/>
  <c r="DK27" i="3"/>
  <c r="BU27" i="3"/>
  <c r="CN27" i="3"/>
  <c r="CV27" i="3"/>
  <c r="DL34" i="3"/>
  <c r="CO34" i="3"/>
  <c r="DE34" i="3"/>
  <c r="BE34" i="3"/>
  <c r="BG34" i="3" s="1"/>
  <c r="CZ34" i="3"/>
  <c r="DT34" i="3"/>
  <c r="CG34" i="3"/>
  <c r="DO34" i="3"/>
  <c r="DZ34" i="3"/>
  <c r="CS34" i="3"/>
  <c r="DH34" i="3"/>
  <c r="DR34" i="3"/>
  <c r="CW34" i="3"/>
  <c r="CK34" i="3"/>
  <c r="DB34" i="3"/>
  <c r="AB103" i="3"/>
  <c r="AB107" i="3" s="1"/>
  <c r="CA70" i="3"/>
  <c r="BE70" i="3"/>
  <c r="BG70" i="3" s="1"/>
  <c r="BK70" i="3"/>
  <c r="BO70" i="3"/>
  <c r="CF70" i="3"/>
  <c r="CC70" i="3"/>
  <c r="BM70" i="3"/>
  <c r="CJ70" i="3"/>
  <c r="BU70" i="3"/>
  <c r="DK70" i="3"/>
  <c r="DY70" i="3"/>
  <c r="BY70" i="3"/>
  <c r="BS70" i="3"/>
  <c r="BQ70" i="3"/>
  <c r="CN70" i="3"/>
  <c r="BW70" i="3"/>
  <c r="CR70" i="3"/>
  <c r="CV70" i="3"/>
  <c r="DS102" i="3"/>
  <c r="CU95" i="3"/>
  <c r="L57" i="14" s="1"/>
  <c r="DM101" i="3"/>
  <c r="U95" i="3"/>
  <c r="U102" i="3"/>
  <c r="U100" i="3"/>
  <c r="U88" i="3"/>
  <c r="BC85" i="3"/>
  <c r="BC88" i="3" s="1"/>
  <c r="CA18" i="3"/>
  <c r="CV18" i="3"/>
  <c r="CJ18" i="3"/>
  <c r="BW18" i="3"/>
  <c r="CC18" i="3"/>
  <c r="BM18" i="3"/>
  <c r="BO18" i="3"/>
  <c r="CN18" i="3"/>
  <c r="DK18" i="3"/>
  <c r="DY18" i="3"/>
  <c r="BU18" i="3"/>
  <c r="BY18" i="3"/>
  <c r="BK18" i="3"/>
  <c r="BS18" i="3"/>
  <c r="CR18" i="3"/>
  <c r="CF18" i="3"/>
  <c r="BQ18" i="3"/>
  <c r="BE18" i="3"/>
  <c r="BG18" i="3" s="1"/>
  <c r="Z103" i="3"/>
  <c r="Z107" i="3" s="1"/>
  <c r="CQ79" i="3"/>
  <c r="H52" i="14" s="1"/>
  <c r="BU33" i="3"/>
  <c r="CF33" i="3"/>
  <c r="CN33" i="3"/>
  <c r="DK33" i="3"/>
  <c r="BO33" i="3"/>
  <c r="CV33" i="3"/>
  <c r="BQ33" i="3"/>
  <c r="BE33" i="3"/>
  <c r="BG33" i="3" s="1"/>
  <c r="BS33" i="3"/>
  <c r="CA33" i="3"/>
  <c r="BW33" i="3"/>
  <c r="BY33" i="3"/>
  <c r="CR33" i="3"/>
  <c r="BM33" i="3"/>
  <c r="CC33" i="3"/>
  <c r="CJ33" i="3"/>
  <c r="DY33" i="3"/>
  <c r="BK33" i="3"/>
  <c r="CS93" i="3"/>
  <c r="DR93" i="3"/>
  <c r="CK93" i="3"/>
  <c r="DH93" i="3"/>
  <c r="DO93" i="3"/>
  <c r="DL93" i="3"/>
  <c r="CO93" i="3"/>
  <c r="DZ93" i="3"/>
  <c r="CG93" i="3"/>
  <c r="DE93" i="3"/>
  <c r="CZ93" i="3"/>
  <c r="DB93" i="3"/>
  <c r="BD102" i="3"/>
  <c r="BE93" i="3"/>
  <c r="BG93" i="3" s="1"/>
  <c r="BD95" i="3"/>
  <c r="CW93" i="3"/>
  <c r="DT93" i="3"/>
  <c r="DH53" i="3"/>
  <c r="CO53" i="3"/>
  <c r="CK53" i="3"/>
  <c r="CZ53" i="3"/>
  <c r="CS53" i="3"/>
  <c r="DB53" i="3"/>
  <c r="CW53" i="3"/>
  <c r="BE53" i="3"/>
  <c r="BG53" i="3" s="1"/>
  <c r="CG53" i="3"/>
  <c r="DE53" i="3"/>
  <c r="DO53" i="3"/>
  <c r="DT53" i="3"/>
  <c r="DL53" i="3"/>
  <c r="DZ53" i="3"/>
  <c r="DR53" i="3"/>
  <c r="BP101" i="3"/>
  <c r="CK86" i="3"/>
  <c r="DR86" i="3"/>
  <c r="CW86" i="3"/>
  <c r="DH86" i="3"/>
  <c r="DZ86" i="3"/>
  <c r="DO86" i="3"/>
  <c r="DE86" i="3"/>
  <c r="CS86" i="3"/>
  <c r="CZ86" i="3"/>
  <c r="CO86" i="3"/>
  <c r="DL86" i="3"/>
  <c r="BD88" i="3"/>
  <c r="DT86" i="3"/>
  <c r="BD100" i="3"/>
  <c r="CY79" i="3"/>
  <c r="H62" i="14" s="1"/>
  <c r="DI101" i="3"/>
  <c r="BU62" i="3"/>
  <c r="BY62" i="3"/>
  <c r="BW62" i="3"/>
  <c r="BM62" i="3"/>
  <c r="BO62" i="3"/>
  <c r="BK62" i="3"/>
  <c r="CR62" i="3"/>
  <c r="BS62" i="3"/>
  <c r="CC62" i="3"/>
  <c r="CJ62" i="3"/>
  <c r="DY62" i="3"/>
  <c r="CV62" i="3"/>
  <c r="BE62" i="3"/>
  <c r="BG62" i="3" s="1"/>
  <c r="BQ62" i="3"/>
  <c r="DK62" i="3"/>
  <c r="CN62" i="3"/>
  <c r="CF62" i="3"/>
  <c r="CA62" i="3"/>
  <c r="CR86" i="3"/>
  <c r="BM86" i="3"/>
  <c r="BS86" i="3"/>
  <c r="BO86" i="3"/>
  <c r="CC86" i="3"/>
  <c r="CA86" i="3"/>
  <c r="BE86" i="3"/>
  <c r="BG86" i="3" s="1"/>
  <c r="CV86" i="3"/>
  <c r="CN86" i="3"/>
  <c r="BW86" i="3"/>
  <c r="DY86" i="3"/>
  <c r="BQ86" i="3"/>
  <c r="CJ86" i="3"/>
  <c r="DK86" i="3"/>
  <c r="BK86" i="3"/>
  <c r="CF86" i="3"/>
  <c r="BU86" i="3"/>
  <c r="BY86" i="3"/>
  <c r="BK63" i="3"/>
  <c r="DY63" i="3"/>
  <c r="BU63" i="3"/>
  <c r="CV63" i="3"/>
  <c r="CF63" i="3"/>
  <c r="CJ63" i="3"/>
  <c r="CC63" i="3"/>
  <c r="BY63" i="3"/>
  <c r="BS63" i="3"/>
  <c r="BQ63" i="3"/>
  <c r="CN63" i="3"/>
  <c r="BM63" i="3"/>
  <c r="BE63" i="3"/>
  <c r="BG63" i="3" s="1"/>
  <c r="CR63" i="3"/>
  <c r="DK63" i="3"/>
  <c r="BW63" i="3"/>
  <c r="CA63" i="3"/>
  <c r="BO63" i="3"/>
  <c r="CB97" i="3"/>
  <c r="BN79" i="3"/>
  <c r="H13" i="14" s="1"/>
  <c r="BK64" i="3"/>
  <c r="BU64" i="3"/>
  <c r="BS64" i="3"/>
  <c r="DY64" i="3"/>
  <c r="BM64" i="3"/>
  <c r="BW64" i="3"/>
  <c r="CN64" i="3"/>
  <c r="CC64" i="3"/>
  <c r="CV64" i="3"/>
  <c r="CJ64" i="3"/>
  <c r="BO64" i="3"/>
  <c r="BY64" i="3"/>
  <c r="DK64" i="3"/>
  <c r="CF64" i="3"/>
  <c r="CA64" i="3"/>
  <c r="BE64" i="3"/>
  <c r="BG64" i="3" s="1"/>
  <c r="CR64" i="3"/>
  <c r="BQ64" i="3"/>
  <c r="BP97" i="3"/>
  <c r="CU79" i="3"/>
  <c r="H57" i="14" s="1"/>
  <c r="DZ89" i="3"/>
  <c r="DT89" i="3"/>
  <c r="CO89" i="3"/>
  <c r="CG89" i="3"/>
  <c r="DR89" i="3"/>
  <c r="DE89" i="3"/>
  <c r="CK89" i="3"/>
  <c r="DH89" i="3"/>
  <c r="CZ89" i="3"/>
  <c r="CS89" i="3"/>
  <c r="DB89" i="3"/>
  <c r="BD92" i="3"/>
  <c r="BD101" i="3"/>
  <c r="CK46" i="3"/>
  <c r="DT46" i="3"/>
  <c r="DZ46" i="3"/>
  <c r="CG46" i="3"/>
  <c r="CZ46" i="3"/>
  <c r="CO46" i="3"/>
  <c r="DE46" i="3"/>
  <c r="DO46" i="3"/>
  <c r="DR46" i="3"/>
  <c r="DL46" i="3"/>
  <c r="CS46" i="3"/>
  <c r="CW46" i="3"/>
  <c r="DB46" i="3"/>
  <c r="DH46" i="3"/>
  <c r="DO76" i="3"/>
  <c r="DT76" i="3"/>
  <c r="DB76" i="3"/>
  <c r="CG76" i="3"/>
  <c r="CS76" i="3"/>
  <c r="CW76" i="3"/>
  <c r="DH76" i="3"/>
  <c r="CO76" i="3"/>
  <c r="DR76" i="3"/>
  <c r="DZ76" i="3"/>
  <c r="CK76" i="3"/>
  <c r="DL76" i="3"/>
  <c r="CZ76" i="3"/>
  <c r="DE76" i="3"/>
  <c r="CP102" i="3"/>
  <c r="DL24" i="3"/>
  <c r="DH24" i="3"/>
  <c r="DO24" i="3"/>
  <c r="DR24" i="3"/>
  <c r="CS24" i="3"/>
  <c r="DB24" i="3"/>
  <c r="CK24" i="3"/>
  <c r="CG24" i="3"/>
  <c r="DT24" i="3"/>
  <c r="CW24" i="3"/>
  <c r="CO24" i="3"/>
  <c r="DE24" i="3"/>
  <c r="CZ24" i="3"/>
  <c r="DZ24" i="3"/>
  <c r="DC102" i="3"/>
  <c r="CH79" i="3"/>
  <c r="H40" i="14" s="1"/>
  <c r="BW43" i="3"/>
  <c r="CR43" i="3"/>
  <c r="BO43" i="3"/>
  <c r="CA43" i="3"/>
  <c r="BM43" i="3"/>
  <c r="BY43" i="3"/>
  <c r="BS43" i="3"/>
  <c r="DK43" i="3"/>
  <c r="CC43" i="3"/>
  <c r="CV43" i="3"/>
  <c r="BK43" i="3"/>
  <c r="BE43" i="3"/>
  <c r="BG43" i="3" s="1"/>
  <c r="DY43" i="3"/>
  <c r="CF43" i="3"/>
  <c r="CN43" i="3"/>
  <c r="BQ43" i="3"/>
  <c r="CJ43" i="3"/>
  <c r="BU43" i="3"/>
  <c r="CA26" i="3"/>
  <c r="CR26" i="3"/>
  <c r="BS26" i="3"/>
  <c r="CV26" i="3"/>
  <c r="BK26" i="3"/>
  <c r="BM26" i="3"/>
  <c r="CJ26" i="3"/>
  <c r="BW26" i="3"/>
  <c r="BQ26" i="3"/>
  <c r="CN26" i="3"/>
  <c r="DK26" i="3"/>
  <c r="CC26" i="3"/>
  <c r="CF26" i="3"/>
  <c r="DY26" i="3"/>
  <c r="BY26" i="3"/>
  <c r="BO26" i="3"/>
  <c r="BU26" i="3"/>
  <c r="BE26" i="3"/>
  <c r="BG26" i="3" s="1"/>
  <c r="CK20" i="3"/>
  <c r="CZ20" i="3"/>
  <c r="DO20" i="3"/>
  <c r="CG20" i="3"/>
  <c r="DR20" i="3"/>
  <c r="DL20" i="3"/>
  <c r="CO20" i="3"/>
  <c r="DT20" i="3"/>
  <c r="DH20" i="3"/>
  <c r="DB20" i="3"/>
  <c r="CE100" i="3"/>
  <c r="CO45" i="3"/>
  <c r="CW45" i="3"/>
  <c r="CZ45" i="3"/>
  <c r="DH45" i="3"/>
  <c r="DZ45" i="3"/>
  <c r="CG45" i="3"/>
  <c r="DB45" i="3"/>
  <c r="DR45" i="3"/>
  <c r="CK45" i="3"/>
  <c r="DE45" i="3"/>
  <c r="CS45" i="3"/>
  <c r="BE45" i="3"/>
  <c r="BG45" i="3" s="1"/>
  <c r="DJ102" i="3"/>
  <c r="AF103" i="3"/>
  <c r="AF107" i="3" s="1"/>
  <c r="BS30" i="3"/>
  <c r="CR30" i="3"/>
  <c r="CC30" i="3"/>
  <c r="BU30" i="3"/>
  <c r="BM30" i="3"/>
  <c r="BY30" i="3"/>
  <c r="DK30" i="3"/>
  <c r="CJ30" i="3"/>
  <c r="CF30" i="3"/>
  <c r="CV30" i="3"/>
  <c r="CN30" i="3"/>
  <c r="BQ30" i="3"/>
  <c r="BE30" i="3"/>
  <c r="BG30" i="3" s="1"/>
  <c r="BW30" i="3"/>
  <c r="DY30" i="3"/>
  <c r="CA36" i="3"/>
  <c r="BQ36" i="3"/>
  <c r="BE36" i="3"/>
  <c r="BG36" i="3" s="1"/>
  <c r="CF36" i="3"/>
  <c r="BS36" i="3"/>
  <c r="DY36" i="3"/>
  <c r="BM36" i="3"/>
  <c r="BY36" i="3"/>
  <c r="BW36" i="3"/>
  <c r="CN36" i="3"/>
  <c r="CJ36" i="3"/>
  <c r="DK36" i="3"/>
  <c r="CC36" i="3"/>
  <c r="CV36" i="3"/>
  <c r="BO36" i="3"/>
  <c r="CR36" i="3"/>
  <c r="BK36" i="3"/>
  <c r="DZ23" i="3"/>
  <c r="DB23" i="3"/>
  <c r="DH23" i="3"/>
  <c r="DT23" i="3"/>
  <c r="CG23" i="3"/>
  <c r="CW23" i="3"/>
  <c r="DL23" i="3"/>
  <c r="CS23" i="3"/>
  <c r="CO23" i="3"/>
  <c r="DE23" i="3"/>
  <c r="CZ23" i="3"/>
  <c r="DO23" i="3"/>
  <c r="DR23" i="3"/>
  <c r="BE23" i="3"/>
  <c r="BG23" i="3" s="1"/>
  <c r="CK23" i="3"/>
  <c r="CA71" i="3"/>
  <c r="BO71" i="3"/>
  <c r="CF71" i="3"/>
  <c r="DY71" i="3"/>
  <c r="CC71" i="3"/>
  <c r="BU71" i="3"/>
  <c r="CN71" i="3"/>
  <c r="CV71" i="3"/>
  <c r="BM71" i="3"/>
  <c r="BW71" i="3"/>
  <c r="BQ71" i="3"/>
  <c r="BY71" i="3"/>
  <c r="DK71" i="3"/>
  <c r="CJ71" i="3"/>
  <c r="CR71" i="3"/>
  <c r="BS71" i="3"/>
  <c r="BE71" i="3"/>
  <c r="BG71" i="3" s="1"/>
  <c r="CP79" i="3"/>
  <c r="H50" i="14" s="1"/>
  <c r="BQ38" i="3"/>
  <c r="CF38" i="3"/>
  <c r="CR38" i="3"/>
  <c r="BY38" i="3"/>
  <c r="BO38" i="3"/>
  <c r="CJ38" i="3"/>
  <c r="BW38" i="3"/>
  <c r="CA38" i="3"/>
  <c r="BE38" i="3"/>
  <c r="BG38" i="3" s="1"/>
  <c r="BM38" i="3"/>
  <c r="CV38" i="3"/>
  <c r="CC38" i="3"/>
  <c r="DY38" i="3"/>
  <c r="BK38" i="3"/>
  <c r="DK38" i="3"/>
  <c r="BS38" i="3"/>
  <c r="BU38" i="3"/>
  <c r="CN38" i="3"/>
  <c r="U92" i="3"/>
  <c r="U101" i="3"/>
  <c r="BC90" i="3"/>
  <c r="DY58" i="3"/>
  <c r="BU58" i="3"/>
  <c r="BW58" i="3"/>
  <c r="CC58" i="3"/>
  <c r="CN58" i="3"/>
  <c r="BY58" i="3"/>
  <c r="BK58" i="3"/>
  <c r="BE58" i="3"/>
  <c r="BG58" i="3" s="1"/>
  <c r="BO58" i="3"/>
  <c r="CR58" i="3"/>
  <c r="BQ58" i="3"/>
  <c r="DK58" i="3"/>
  <c r="CA58" i="3"/>
  <c r="BS58" i="3"/>
  <c r="CJ58" i="3"/>
  <c r="CF58" i="3"/>
  <c r="CV58" i="3"/>
  <c r="BM58" i="3"/>
  <c r="P96" i="41"/>
  <c r="CG38" i="3"/>
  <c r="DT38" i="3"/>
  <c r="DB38" i="3"/>
  <c r="CS38" i="3"/>
  <c r="DL38" i="3"/>
  <c r="DR38" i="3"/>
  <c r="CO38" i="3"/>
  <c r="DE38" i="3"/>
  <c r="DH38" i="3"/>
  <c r="CZ38" i="3"/>
  <c r="DO38" i="3"/>
  <c r="DH15" i="3"/>
  <c r="CZ15" i="3"/>
  <c r="DR15" i="3"/>
  <c r="CO15" i="3"/>
  <c r="CG15" i="3"/>
  <c r="DL15" i="3"/>
  <c r="DZ15" i="3"/>
  <c r="CK15" i="3"/>
  <c r="DO15" i="3"/>
  <c r="DE15" i="3"/>
  <c r="DB15" i="3"/>
  <c r="CS15" i="3"/>
  <c r="DT15" i="3"/>
  <c r="CR56" i="3"/>
  <c r="BU56" i="3"/>
  <c r="BE56" i="3"/>
  <c r="BG56" i="3" s="1"/>
  <c r="BW56" i="3"/>
  <c r="CC56" i="3"/>
  <c r="BS56" i="3"/>
  <c r="BQ56" i="3"/>
  <c r="BO56" i="3"/>
  <c r="CA56" i="3"/>
  <c r="CV56" i="3"/>
  <c r="DK56" i="3"/>
  <c r="CF56" i="3"/>
  <c r="BY56" i="3"/>
  <c r="BK56" i="3"/>
  <c r="BM56" i="3"/>
  <c r="CJ56" i="3"/>
  <c r="CN56" i="3"/>
  <c r="DY56" i="3"/>
  <c r="CW15" i="3"/>
  <c r="DH87" i="3"/>
  <c r="CS87" i="3"/>
  <c r="DL87" i="3"/>
  <c r="CK87" i="3"/>
  <c r="DE87" i="3"/>
  <c r="CZ87" i="3"/>
  <c r="DR87" i="3"/>
  <c r="DB87" i="3"/>
  <c r="CG87" i="3"/>
  <c r="DZ87" i="3"/>
  <c r="DT87" i="3"/>
  <c r="CW87" i="3"/>
  <c r="DO87" i="3"/>
  <c r="BE87" i="3"/>
  <c r="BG87" i="3" s="1"/>
  <c r="CO87" i="3"/>
  <c r="DI102" i="3"/>
  <c r="BE89" i="3"/>
  <c r="BG89" i="3" s="1"/>
  <c r="BK66" i="3"/>
  <c r="BW66" i="3"/>
  <c r="CF66" i="3"/>
  <c r="BS66" i="3"/>
  <c r="BM66" i="3"/>
  <c r="BU66" i="3"/>
  <c r="BE66" i="3"/>
  <c r="BG66" i="3" s="1"/>
  <c r="DK66" i="3"/>
  <c r="CV66" i="3"/>
  <c r="BQ66" i="3"/>
  <c r="BO66" i="3"/>
  <c r="CR66" i="3"/>
  <c r="CN66" i="3"/>
  <c r="CJ66" i="3"/>
  <c r="CC66" i="3"/>
  <c r="CA66" i="3"/>
  <c r="DY66" i="3"/>
  <c r="BY66" i="3"/>
  <c r="DC101" i="3"/>
  <c r="DZ37" i="3"/>
  <c r="DH37" i="3"/>
  <c r="BE37" i="3"/>
  <c r="BG37" i="3" s="1"/>
  <c r="DT37" i="3"/>
  <c r="CO37" i="3"/>
  <c r="CS37" i="3"/>
  <c r="DO37" i="3"/>
  <c r="DR37" i="3"/>
  <c r="DB37" i="3"/>
  <c r="DL37" i="3"/>
  <c r="CG37" i="3"/>
  <c r="CZ37" i="3"/>
  <c r="DE37" i="3"/>
  <c r="CK37" i="3"/>
  <c r="CS51" i="3"/>
  <c r="BE51" i="3"/>
  <c r="BG51" i="3" s="1"/>
  <c r="CZ51" i="3"/>
  <c r="DE51" i="3"/>
  <c r="DR51" i="3"/>
  <c r="DL51" i="3"/>
  <c r="CO51" i="3"/>
  <c r="DZ51" i="3"/>
  <c r="CG51" i="3"/>
  <c r="DO51" i="3"/>
  <c r="DB51" i="3"/>
  <c r="CK51" i="3"/>
  <c r="DT51" i="3"/>
  <c r="DH51" i="3"/>
  <c r="CW51" i="3"/>
  <c r="DR62" i="3"/>
  <c r="CZ62" i="3"/>
  <c r="CO62" i="3"/>
  <c r="DL62" i="3"/>
  <c r="CS62" i="3"/>
  <c r="CG62" i="3"/>
  <c r="CK62" i="3"/>
  <c r="DT62" i="3"/>
  <c r="DB62" i="3"/>
  <c r="DH62" i="3"/>
  <c r="DE62" i="3"/>
  <c r="CW62" i="3"/>
  <c r="DO62" i="3"/>
  <c r="DZ62" i="3"/>
  <c r="CA83" i="3"/>
  <c r="DY83" i="3"/>
  <c r="BS83" i="3"/>
  <c r="BE83" i="3"/>
  <c r="BG83" i="3" s="1"/>
  <c r="BY83" i="3"/>
  <c r="BM83" i="3"/>
  <c r="CR83" i="3"/>
  <c r="BK83" i="3"/>
  <c r="BO83" i="3"/>
  <c r="CN83" i="3"/>
  <c r="DK83" i="3"/>
  <c r="BU83" i="3"/>
  <c r="CJ83" i="3"/>
  <c r="CV83" i="3"/>
  <c r="CF83" i="3"/>
  <c r="BW83" i="3"/>
  <c r="BQ83" i="3"/>
  <c r="CC83" i="3"/>
  <c r="DY78" i="3"/>
  <c r="CV78" i="3"/>
  <c r="DK78" i="3"/>
  <c r="BW78" i="3"/>
  <c r="BM78" i="3"/>
  <c r="CN78" i="3"/>
  <c r="CJ78" i="3"/>
  <c r="CA78" i="3"/>
  <c r="CC78" i="3"/>
  <c r="BU78" i="3"/>
  <c r="BQ78" i="3"/>
  <c r="BK78" i="3"/>
  <c r="CF78" i="3"/>
  <c r="BS78" i="3"/>
  <c r="BO78" i="3"/>
  <c r="BE78" i="3"/>
  <c r="BG78" i="3" s="1"/>
  <c r="BY78" i="3"/>
  <c r="CR78" i="3"/>
  <c r="CC60" i="3"/>
  <c r="BQ60" i="3"/>
  <c r="BK60" i="3"/>
  <c r="BW60" i="3"/>
  <c r="CN60" i="3"/>
  <c r="CJ60" i="3"/>
  <c r="DY60" i="3"/>
  <c r="BU60" i="3"/>
  <c r="BS60" i="3"/>
  <c r="DK60" i="3"/>
  <c r="CF60" i="3"/>
  <c r="BO60" i="3"/>
  <c r="BY60" i="3"/>
  <c r="CA60" i="3"/>
  <c r="CV60" i="3"/>
  <c r="BM60" i="3"/>
  <c r="BE60" i="3"/>
  <c r="BG60" i="3" s="1"/>
  <c r="CR60" i="3"/>
  <c r="BZ79" i="3"/>
  <c r="H28" i="14" s="1"/>
  <c r="DK29" i="3"/>
  <c r="BU29" i="3"/>
  <c r="BO29" i="3"/>
  <c r="CJ29" i="3"/>
  <c r="CV29" i="3"/>
  <c r="CC29" i="3"/>
  <c r="CR29" i="3"/>
  <c r="BK29" i="3"/>
  <c r="BW29" i="3"/>
  <c r="BQ29" i="3"/>
  <c r="BY29" i="3"/>
  <c r="CA29" i="3"/>
  <c r="CN29" i="3"/>
  <c r="CF29" i="3"/>
  <c r="BE29" i="3"/>
  <c r="BG29" i="3" s="1"/>
  <c r="DY29" i="3"/>
  <c r="BM29" i="3"/>
  <c r="BS29" i="3"/>
  <c r="BK76" i="3"/>
  <c r="CJ76" i="3"/>
  <c r="CC76" i="3"/>
  <c r="BM76" i="3"/>
  <c r="BS76" i="3"/>
  <c r="BY76" i="3"/>
  <c r="CA76" i="3"/>
  <c r="DY76" i="3"/>
  <c r="BE76" i="3"/>
  <c r="BG76" i="3" s="1"/>
  <c r="CF76" i="3"/>
  <c r="BW76" i="3"/>
  <c r="CV76" i="3"/>
  <c r="CR76" i="3"/>
  <c r="BQ76" i="3"/>
  <c r="BU76" i="3"/>
  <c r="DK76" i="3"/>
  <c r="CN76" i="3"/>
  <c r="BO76" i="3"/>
  <c r="BY91" i="3"/>
  <c r="BE91" i="3"/>
  <c r="BG91" i="3" s="1"/>
  <c r="CJ91" i="3"/>
  <c r="BO91" i="3"/>
  <c r="CV91" i="3"/>
  <c r="BM91" i="3"/>
  <c r="CR91" i="3"/>
  <c r="CF91" i="3"/>
  <c r="CA91" i="3"/>
  <c r="CC91" i="3"/>
  <c r="CN91" i="3"/>
  <c r="BS91" i="3"/>
  <c r="BW91" i="3"/>
  <c r="DY91" i="3"/>
  <c r="DK91" i="3"/>
  <c r="BQ91" i="3"/>
  <c r="BU91" i="3"/>
  <c r="BK91" i="3"/>
  <c r="DK67" i="3"/>
  <c r="BO67" i="3"/>
  <c r="CC67" i="3"/>
  <c r="CN67" i="3"/>
  <c r="BU67" i="3"/>
  <c r="DY67" i="3"/>
  <c r="BS67" i="3"/>
  <c r="CR67" i="3"/>
  <c r="BK67" i="3"/>
  <c r="BE67" i="3"/>
  <c r="BG67" i="3" s="1"/>
  <c r="BQ67" i="3"/>
  <c r="CV67" i="3"/>
  <c r="CA67" i="3"/>
  <c r="BW67" i="3"/>
  <c r="BM67" i="3"/>
  <c r="CJ67" i="3"/>
  <c r="BY67" i="3"/>
  <c r="CF67" i="3"/>
  <c r="BC16" i="3"/>
  <c r="BC79" i="3" s="1"/>
  <c r="U79" i="3"/>
  <c r="BY15" i="3"/>
  <c r="CC15" i="3"/>
  <c r="DY15" i="3"/>
  <c r="CR15" i="3"/>
  <c r="BM15" i="3"/>
  <c r="DK15" i="3"/>
  <c r="CA15" i="3"/>
  <c r="BW15" i="3"/>
  <c r="CN15" i="3"/>
  <c r="CF15" i="3"/>
  <c r="CJ15" i="3"/>
  <c r="BU15" i="3"/>
  <c r="BO15" i="3"/>
  <c r="BQ15" i="3"/>
  <c r="BK15" i="3"/>
  <c r="BS15" i="3"/>
  <c r="BE15" i="3"/>
  <c r="BG15" i="3" s="1"/>
  <c r="CV15" i="3"/>
  <c r="L103" i="3"/>
  <c r="L107" i="3" s="1"/>
  <c r="CE79" i="3"/>
  <c r="H37" i="14" s="1"/>
  <c r="DQ97" i="3"/>
  <c r="DD100" i="3"/>
  <c r="BQ94" i="3"/>
  <c r="CR94" i="3"/>
  <c r="CN94" i="3"/>
  <c r="CC94" i="3"/>
  <c r="CF94" i="3"/>
  <c r="BY94" i="3"/>
  <c r="DK94" i="3"/>
  <c r="BK94" i="3"/>
  <c r="DY94" i="3"/>
  <c r="BU94" i="3"/>
  <c r="BE94" i="3"/>
  <c r="BG94" i="3" s="1"/>
  <c r="CA94" i="3"/>
  <c r="CJ94" i="3"/>
  <c r="CJ95" i="3" s="1"/>
  <c r="L43" i="14" s="1"/>
  <c r="CV94" i="3"/>
  <c r="BW94" i="3"/>
  <c r="BM94" i="3"/>
  <c r="BC102" i="3"/>
  <c r="BS94" i="3"/>
  <c r="BO94" i="3"/>
  <c r="BC95" i="3"/>
  <c r="BT100" i="3"/>
  <c r="CL101" i="3"/>
  <c r="DK21" i="3"/>
  <c r="BS21" i="3"/>
  <c r="CC21" i="3"/>
  <c r="CA21" i="3"/>
  <c r="BK21" i="3"/>
  <c r="BE21" i="3"/>
  <c r="BG21" i="3" s="1"/>
  <c r="CF21" i="3"/>
  <c r="BM21" i="3"/>
  <c r="CR21" i="3"/>
  <c r="BQ21" i="3"/>
  <c r="CV21" i="3"/>
  <c r="DY21" i="3"/>
  <c r="BY21" i="3"/>
  <c r="BW21" i="3"/>
  <c r="CN21" i="3"/>
  <c r="CJ21" i="3"/>
  <c r="BO21" i="3"/>
  <c r="BU21" i="3"/>
  <c r="CN57" i="3"/>
  <c r="BQ57" i="3"/>
  <c r="BY57" i="3"/>
  <c r="BW57" i="3"/>
  <c r="CR57" i="3"/>
  <c r="CF57" i="3"/>
  <c r="DK57" i="3"/>
  <c r="BM57" i="3"/>
  <c r="BU57" i="3"/>
  <c r="CJ57" i="3"/>
  <c r="CC57" i="3"/>
  <c r="BE57" i="3"/>
  <c r="BG57" i="3" s="1"/>
  <c r="BO57" i="3"/>
  <c r="CV57" i="3"/>
  <c r="CA57" i="3"/>
  <c r="BS57" i="3"/>
  <c r="BK57" i="3"/>
  <c r="DY57" i="3"/>
  <c r="BM52" i="3"/>
  <c r="CN52" i="3"/>
  <c r="BO52" i="3"/>
  <c r="CC52" i="3"/>
  <c r="BY52" i="3"/>
  <c r="CR52" i="3"/>
  <c r="BW52" i="3"/>
  <c r="BU52" i="3"/>
  <c r="DK52" i="3"/>
  <c r="DY52" i="3"/>
  <c r="BE52" i="3"/>
  <c r="BG52" i="3" s="1"/>
  <c r="BQ52" i="3"/>
  <c r="CF52" i="3"/>
  <c r="CA52" i="3"/>
  <c r="BK52" i="3"/>
  <c r="CV52" i="3"/>
  <c r="BS52" i="3"/>
  <c r="CJ52" i="3"/>
  <c r="BP102" i="3"/>
  <c r="BW20" i="3"/>
  <c r="CC20" i="3"/>
  <c r="BQ20" i="3"/>
  <c r="CF20" i="3"/>
  <c r="CR20" i="3"/>
  <c r="DY20" i="3"/>
  <c r="BS20" i="3"/>
  <c r="BM20" i="3"/>
  <c r="BY20" i="3"/>
  <c r="BK20" i="3"/>
  <c r="CJ20" i="3"/>
  <c r="BO20" i="3"/>
  <c r="BU20" i="3"/>
  <c r="CV20" i="3"/>
  <c r="CN20" i="3"/>
  <c r="BE20" i="3"/>
  <c r="BG20" i="3" s="1"/>
  <c r="CA20" i="3"/>
  <c r="DK20" i="3"/>
  <c r="CP100" i="3"/>
  <c r="BS40" i="3"/>
  <c r="BE40" i="3"/>
  <c r="BG40" i="3" s="1"/>
  <c r="BQ40" i="3"/>
  <c r="CN40" i="3"/>
  <c r="CA40" i="3"/>
  <c r="CR40" i="3"/>
  <c r="BY40" i="3"/>
  <c r="DK40" i="3"/>
  <c r="CV40" i="3"/>
  <c r="CC40" i="3"/>
  <c r="BK40" i="3"/>
  <c r="CF40" i="3"/>
  <c r="BO40" i="3"/>
  <c r="BU40" i="3"/>
  <c r="BM40" i="3"/>
  <c r="DY40" i="3"/>
  <c r="CJ40" i="3"/>
  <c r="BW40" i="3"/>
  <c r="BT101" i="3"/>
  <c r="BZ97" i="3"/>
  <c r="DY42" i="3"/>
  <c r="BS42" i="3"/>
  <c r="BY42" i="3"/>
  <c r="BM42" i="3"/>
  <c r="CA42" i="3"/>
  <c r="BQ42" i="3"/>
  <c r="BO42" i="3"/>
  <c r="CJ42" i="3"/>
  <c r="BE42" i="3"/>
  <c r="BG42" i="3" s="1"/>
  <c r="BW42" i="3"/>
  <c r="DK42" i="3"/>
  <c r="BK42" i="3"/>
  <c r="CR42" i="3"/>
  <c r="BU42" i="3"/>
  <c r="CN42" i="3"/>
  <c r="CV42" i="3"/>
  <c r="CC42" i="3"/>
  <c r="CF42" i="3"/>
  <c r="DE14" i="3"/>
  <c r="CW14" i="3"/>
  <c r="DO14" i="3"/>
  <c r="CK14" i="3"/>
  <c r="DH14" i="3"/>
  <c r="DT14" i="3"/>
  <c r="DR14" i="3"/>
  <c r="DB14" i="3"/>
  <c r="DZ14" i="3"/>
  <c r="DL14" i="3"/>
  <c r="CO14" i="3"/>
  <c r="CS14" i="3"/>
  <c r="CG14" i="3"/>
  <c r="CZ14" i="3"/>
  <c r="BD98" i="3"/>
  <c r="BE14" i="3"/>
  <c r="BG14" i="3" s="1"/>
  <c r="BD79" i="3"/>
  <c r="DF101" i="3"/>
  <c r="BQ46" i="3"/>
  <c r="BO46" i="3"/>
  <c r="CF46" i="3"/>
  <c r="CJ46" i="3"/>
  <c r="BU46" i="3"/>
  <c r="CR46" i="3"/>
  <c r="CV46" i="3"/>
  <c r="CC46" i="3"/>
  <c r="BY46" i="3"/>
  <c r="CN46" i="3"/>
  <c r="BW46" i="3"/>
  <c r="CA46" i="3"/>
  <c r="BM46" i="3"/>
  <c r="BK46" i="3"/>
  <c r="DY46" i="3"/>
  <c r="DK46" i="3"/>
  <c r="BS46" i="3"/>
  <c r="BE46" i="3"/>
  <c r="BG46" i="3" s="1"/>
  <c r="DC100" i="3" l="1"/>
  <c r="CI100" i="3"/>
  <c r="CF80" i="3"/>
  <c r="CF81" i="3" s="1"/>
  <c r="CF99" i="3" s="1"/>
  <c r="BZ102" i="3"/>
  <c r="BO80" i="3"/>
  <c r="BO81" i="3" s="1"/>
  <c r="BO99" i="3" s="1"/>
  <c r="BU80" i="3"/>
  <c r="BU81" i="3" s="1"/>
  <c r="J21" i="14" s="1"/>
  <c r="BC81" i="3"/>
  <c r="BC99" i="3" s="1"/>
  <c r="BW80" i="3"/>
  <c r="BW81" i="3" s="1"/>
  <c r="J24" i="14" s="1"/>
  <c r="BY80" i="3"/>
  <c r="BY81" i="3" s="1"/>
  <c r="BY99" i="3" s="1"/>
  <c r="BQ80" i="3"/>
  <c r="BQ81" i="3" s="1"/>
  <c r="BQ99" i="3" s="1"/>
  <c r="CA80" i="3"/>
  <c r="CA81" i="3" s="1"/>
  <c r="CA99" i="3" s="1"/>
  <c r="CC80" i="3"/>
  <c r="CC81" i="3" s="1"/>
  <c r="CC99" i="3" s="1"/>
  <c r="CJ80" i="3"/>
  <c r="CJ81" i="3" s="1"/>
  <c r="CJ99" i="3" s="1"/>
  <c r="BM80" i="3"/>
  <c r="BM81" i="3" s="1"/>
  <c r="J12" i="14" s="1"/>
  <c r="BK80" i="3"/>
  <c r="BK81" i="3" s="1"/>
  <c r="J9" i="14" s="1"/>
  <c r="CR80" i="3"/>
  <c r="CR81" i="3" s="1"/>
  <c r="CR99" i="3" s="1"/>
  <c r="DK80" i="3"/>
  <c r="DK81" i="3" s="1"/>
  <c r="DK99" i="3" s="1"/>
  <c r="CV80" i="3"/>
  <c r="CV81" i="3" s="1"/>
  <c r="CV99" i="3" s="1"/>
  <c r="DY80" i="3"/>
  <c r="DY81" i="3" s="1"/>
  <c r="DY99" i="3" s="1"/>
  <c r="BS80" i="3"/>
  <c r="BS81" i="3" s="1"/>
  <c r="BS99" i="3" s="1"/>
  <c r="CN80" i="3"/>
  <c r="CN81" i="3" s="1"/>
  <c r="CN99" i="3" s="1"/>
  <c r="BY95" i="3"/>
  <c r="L27" i="14" s="1"/>
  <c r="CG8" i="3"/>
  <c r="G39" i="14" s="1"/>
  <c r="DP100" i="3"/>
  <c r="CS8" i="3"/>
  <c r="G54" i="14" s="1"/>
  <c r="DI100" i="3"/>
  <c r="DV8" i="3"/>
  <c r="DV97" i="3" s="1"/>
  <c r="CS95" i="3"/>
  <c r="L54" i="14" s="1"/>
  <c r="DS100" i="3"/>
  <c r="CC95" i="3"/>
  <c r="L33" i="14" s="1"/>
  <c r="BM95" i="3"/>
  <c r="L12" i="14" s="1"/>
  <c r="DN100" i="3"/>
  <c r="DJ101" i="3"/>
  <c r="CA95" i="3"/>
  <c r="L30" i="14" s="1"/>
  <c r="CQ101" i="3"/>
  <c r="DT8" i="3"/>
  <c r="DT97" i="3" s="1"/>
  <c r="DO8" i="3"/>
  <c r="G89" i="14" s="1"/>
  <c r="DJ98" i="3"/>
  <c r="DQ98" i="3"/>
  <c r="DU100" i="3"/>
  <c r="I77" i="14"/>
  <c r="DV88" i="3"/>
  <c r="I73" i="14" s="1"/>
  <c r="DU98" i="3"/>
  <c r="H77" i="14"/>
  <c r="DV102" i="3"/>
  <c r="L73" i="14"/>
  <c r="CH101" i="3"/>
  <c r="K40" i="14"/>
  <c r="DV92" i="3"/>
  <c r="CG99" i="3"/>
  <c r="J39" i="14"/>
  <c r="DR99" i="3"/>
  <c r="J93" i="14"/>
  <c r="CK99" i="3"/>
  <c r="J44" i="14"/>
  <c r="DB99" i="3"/>
  <c r="J66" i="14"/>
  <c r="DL99" i="3"/>
  <c r="J85" i="14"/>
  <c r="CZ99" i="3"/>
  <c r="J63" i="14"/>
  <c r="CO99" i="3"/>
  <c r="J49" i="14"/>
  <c r="DE99" i="3"/>
  <c r="J70" i="14"/>
  <c r="DV99" i="3"/>
  <c r="J73" i="14"/>
  <c r="DH99" i="3"/>
  <c r="J80" i="14"/>
  <c r="CW99" i="3"/>
  <c r="J59" i="14"/>
  <c r="CS99" i="3"/>
  <c r="J54" i="14"/>
  <c r="DO99" i="3"/>
  <c r="J89" i="14"/>
  <c r="DT99" i="3"/>
  <c r="J76" i="14"/>
  <c r="DV79" i="3"/>
  <c r="CY102" i="3"/>
  <c r="L62" i="14"/>
  <c r="CQ100" i="3"/>
  <c r="I52" i="14"/>
  <c r="CY100" i="3"/>
  <c r="I62" i="14"/>
  <c r="CM100" i="3"/>
  <c r="BZ100" i="3"/>
  <c r="I28" i="14"/>
  <c r="DG100" i="3"/>
  <c r="I79" i="14"/>
  <c r="BU99" i="3"/>
  <c r="BK95" i="3"/>
  <c r="L9" i="14" s="1"/>
  <c r="DJ100" i="3"/>
  <c r="BX98" i="3"/>
  <c r="BP98" i="3"/>
  <c r="CD100" i="3"/>
  <c r="D107" i="3"/>
  <c r="BI107" i="3"/>
  <c r="CD101" i="3"/>
  <c r="BT98" i="3"/>
  <c r="DG98" i="3"/>
  <c r="BZ101" i="3"/>
  <c r="CD98" i="3"/>
  <c r="DS98" i="3"/>
  <c r="DP98" i="3"/>
  <c r="CK8" i="3"/>
  <c r="G44" i="14" s="1"/>
  <c r="DR8" i="3"/>
  <c r="G93" i="14" s="1"/>
  <c r="DZ8" i="3"/>
  <c r="DT95" i="3"/>
  <c r="DC98" i="3"/>
  <c r="DE92" i="3"/>
  <c r="K70" i="14" s="1"/>
  <c r="CO8" i="3"/>
  <c r="G49" i="14" s="1"/>
  <c r="CY101" i="3"/>
  <c r="CX98" i="3"/>
  <c r="DB8" i="3"/>
  <c r="G66" i="14" s="1"/>
  <c r="DO95" i="3"/>
  <c r="L89" i="14" s="1"/>
  <c r="DE95" i="3"/>
  <c r="L70" i="14" s="1"/>
  <c r="DB92" i="3"/>
  <c r="K66" i="14" s="1"/>
  <c r="CX102" i="3"/>
  <c r="CT98" i="3"/>
  <c r="CZ8" i="3"/>
  <c r="G63" i="14" s="1"/>
  <c r="DH8" i="3"/>
  <c r="G80" i="14" s="1"/>
  <c r="DE8" i="3"/>
  <c r="G70" i="14" s="1"/>
  <c r="CS92" i="3"/>
  <c r="K54" i="14" s="1"/>
  <c r="CG95" i="3"/>
  <c r="L39" i="14" s="1"/>
  <c r="CU100" i="3"/>
  <c r="DL8" i="3"/>
  <c r="G85" i="14" s="1"/>
  <c r="BW95" i="3"/>
  <c r="L24" i="14" s="1"/>
  <c r="CR95" i="3"/>
  <c r="L53" i="14" s="1"/>
  <c r="CX97" i="3"/>
  <c r="BU95" i="3"/>
  <c r="L21" i="14" s="1"/>
  <c r="CB98" i="3"/>
  <c r="CX100" i="3"/>
  <c r="DD98" i="3"/>
  <c r="DH95" i="3"/>
  <c r="L80" i="14" s="1"/>
  <c r="BV98" i="3"/>
  <c r="CO92" i="3"/>
  <c r="K49" i="14" s="1"/>
  <c r="BS95" i="3"/>
  <c r="L18" i="14" s="1"/>
  <c r="BQ95" i="3"/>
  <c r="BQ102" i="3" s="1"/>
  <c r="DZ92" i="3"/>
  <c r="DN98" i="3"/>
  <c r="CW8" i="3"/>
  <c r="G59" i="14" s="1"/>
  <c r="CU97" i="3"/>
  <c r="DL95" i="3"/>
  <c r="L85" i="14" s="1"/>
  <c r="DF98" i="3"/>
  <c r="DG101" i="3"/>
  <c r="DR95" i="3"/>
  <c r="L93" i="14" s="1"/>
  <c r="BO95" i="3"/>
  <c r="L15" i="14" s="1"/>
  <c r="DK95" i="3"/>
  <c r="L84" i="14" s="1"/>
  <c r="CN95" i="3"/>
  <c r="L48" i="14" s="1"/>
  <c r="DY95" i="3"/>
  <c r="DY102" i="3" s="1"/>
  <c r="CF95" i="3"/>
  <c r="L38" i="14" s="1"/>
  <c r="BC100" i="3"/>
  <c r="CM98" i="3"/>
  <c r="DM98" i="3"/>
  <c r="CG88" i="3"/>
  <c r="I39" i="14" s="1"/>
  <c r="CU101" i="3"/>
  <c r="CZ95" i="3"/>
  <c r="L63" i="14" s="1"/>
  <c r="CI98" i="3"/>
  <c r="BL98" i="3"/>
  <c r="DR92" i="3"/>
  <c r="K93" i="14" s="1"/>
  <c r="CW95" i="3"/>
  <c r="L59" i="14" s="1"/>
  <c r="DZ95" i="3"/>
  <c r="DL92" i="3"/>
  <c r="K85" i="14" s="1"/>
  <c r="CV95" i="3"/>
  <c r="L58" i="14" s="1"/>
  <c r="CH98" i="3"/>
  <c r="BN98" i="3"/>
  <c r="CO95" i="3"/>
  <c r="L49" i="14" s="1"/>
  <c r="DB88" i="3"/>
  <c r="I66" i="14" s="1"/>
  <c r="CG92" i="3"/>
  <c r="K39" i="14" s="1"/>
  <c r="DI98" i="3"/>
  <c r="CZ92" i="3"/>
  <c r="K63" i="14" s="1"/>
  <c r="DO92" i="3"/>
  <c r="K89" i="14" s="1"/>
  <c r="CX101" i="3"/>
  <c r="DB95" i="3"/>
  <c r="L66" i="14" s="1"/>
  <c r="CL98" i="3"/>
  <c r="DA98" i="3"/>
  <c r="DH92" i="3"/>
  <c r="K80" i="14" s="1"/>
  <c r="CK92" i="3"/>
  <c r="K44" i="14" s="1"/>
  <c r="CH100" i="3"/>
  <c r="CK95" i="3"/>
  <c r="L44" i="14" s="1"/>
  <c r="DT92" i="3"/>
  <c r="CW92" i="3"/>
  <c r="K59" i="14" s="1"/>
  <c r="CS88" i="3"/>
  <c r="I54" i="14" s="1"/>
  <c r="DL79" i="3"/>
  <c r="H85" i="14" s="1"/>
  <c r="CW79" i="3"/>
  <c r="H59" i="14" s="1"/>
  <c r="DB79" i="3"/>
  <c r="H66" i="14" s="1"/>
  <c r="BD103" i="3"/>
  <c r="BD107" i="3" s="1"/>
  <c r="CS79" i="3"/>
  <c r="H54" i="14" s="1"/>
  <c r="CK79" i="3"/>
  <c r="H44" i="14" s="1"/>
  <c r="CO88" i="3"/>
  <c r="I49" i="14" s="1"/>
  <c r="DR88" i="3"/>
  <c r="I93" i="14" s="1"/>
  <c r="CO79" i="3"/>
  <c r="H49" i="14" s="1"/>
  <c r="DO79" i="3"/>
  <c r="H89" i="14" s="1"/>
  <c r="BY90" i="3"/>
  <c r="BY92" i="3" s="1"/>
  <c r="K27" i="14" s="1"/>
  <c r="BE90" i="3"/>
  <c r="BG90" i="3" s="1"/>
  <c r="BM90" i="3"/>
  <c r="BM92" i="3" s="1"/>
  <c r="K12" i="14" s="1"/>
  <c r="CN90" i="3"/>
  <c r="CN92" i="3" s="1"/>
  <c r="K48" i="14" s="1"/>
  <c r="CV90" i="3"/>
  <c r="CV92" i="3" s="1"/>
  <c r="K58" i="14" s="1"/>
  <c r="BW90" i="3"/>
  <c r="BW92" i="3" s="1"/>
  <c r="K24" i="14" s="1"/>
  <c r="BO90" i="3"/>
  <c r="BO92" i="3" s="1"/>
  <c r="K15" i="14" s="1"/>
  <c r="BQ90" i="3"/>
  <c r="BQ92" i="3" s="1"/>
  <c r="BQ101" i="3" s="1"/>
  <c r="BU90" i="3"/>
  <c r="BU92" i="3" s="1"/>
  <c r="K21" i="14" s="1"/>
  <c r="CC90" i="3"/>
  <c r="CC92" i="3" s="1"/>
  <c r="BC92" i="3"/>
  <c r="CF90" i="3"/>
  <c r="CF92" i="3" s="1"/>
  <c r="K38" i="14" s="1"/>
  <c r="CR90" i="3"/>
  <c r="CR92" i="3" s="1"/>
  <c r="K53" i="14" s="1"/>
  <c r="DY90" i="3"/>
  <c r="DY92" i="3" s="1"/>
  <c r="DY101" i="3" s="1"/>
  <c r="DK90" i="3"/>
  <c r="DK92" i="3" s="1"/>
  <c r="K84" i="14" s="1"/>
  <c r="CJ90" i="3"/>
  <c r="CJ92" i="3" s="1"/>
  <c r="K43" i="14" s="1"/>
  <c r="BS90" i="3"/>
  <c r="BS92" i="3" s="1"/>
  <c r="K18" i="14" s="1"/>
  <c r="BC101" i="3"/>
  <c r="CA90" i="3"/>
  <c r="CA92" i="3" s="1"/>
  <c r="K30" i="14" s="1"/>
  <c r="BK90" i="3"/>
  <c r="BK92" i="3" s="1"/>
  <c r="K9" i="14" s="1"/>
  <c r="BG81" i="3"/>
  <c r="BG99" i="3" s="1"/>
  <c r="BE81" i="3"/>
  <c r="BE99" i="3" s="1"/>
  <c r="CZ88" i="3"/>
  <c r="I63" i="14" s="1"/>
  <c r="CK88" i="3"/>
  <c r="I44" i="14" s="1"/>
  <c r="DZ79" i="3"/>
  <c r="DE79" i="3"/>
  <c r="H70" i="14" s="1"/>
  <c r="BC98" i="3"/>
  <c r="CY98" i="3"/>
  <c r="DE88" i="3"/>
  <c r="I70" i="14" s="1"/>
  <c r="BE85" i="3"/>
  <c r="BG85" i="3" s="1"/>
  <c r="CJ85" i="3"/>
  <c r="CJ88" i="3" s="1"/>
  <c r="I43" i="14" s="1"/>
  <c r="BM85" i="3"/>
  <c r="BM88" i="3" s="1"/>
  <c r="I12" i="14" s="1"/>
  <c r="BS85" i="3"/>
  <c r="BS88" i="3" s="1"/>
  <c r="I18" i="14" s="1"/>
  <c r="CR85" i="3"/>
  <c r="CR88" i="3" s="1"/>
  <c r="I53" i="14" s="1"/>
  <c r="BU85" i="3"/>
  <c r="BU88" i="3" s="1"/>
  <c r="I21" i="14" s="1"/>
  <c r="BO85" i="3"/>
  <c r="BO88" i="3" s="1"/>
  <c r="I15" i="14" s="1"/>
  <c r="CC85" i="3"/>
  <c r="CC88" i="3" s="1"/>
  <c r="I33" i="14" s="1"/>
  <c r="DY85" i="3"/>
  <c r="DY88" i="3" s="1"/>
  <c r="DY100" i="3" s="1"/>
  <c r="BY85" i="3"/>
  <c r="BY88" i="3" s="1"/>
  <c r="I27" i="14" s="1"/>
  <c r="BW85" i="3"/>
  <c r="BW88" i="3" s="1"/>
  <c r="I24" i="14" s="1"/>
  <c r="CF85" i="3"/>
  <c r="CF88" i="3" s="1"/>
  <c r="I38" i="14" s="1"/>
  <c r="CN85" i="3"/>
  <c r="CN88" i="3" s="1"/>
  <c r="I48" i="14" s="1"/>
  <c r="BQ85" i="3"/>
  <c r="BQ88" i="3" s="1"/>
  <c r="BQ100" i="3" s="1"/>
  <c r="CA85" i="3"/>
  <c r="CA88" i="3" s="1"/>
  <c r="I30" i="14" s="1"/>
  <c r="DK85" i="3"/>
  <c r="DK88" i="3" s="1"/>
  <c r="I84" i="14" s="1"/>
  <c r="BK85" i="3"/>
  <c r="BK88" i="3" s="1"/>
  <c r="I9" i="14" s="1"/>
  <c r="CV85" i="3"/>
  <c r="CV88" i="3" s="1"/>
  <c r="I58" i="14" s="1"/>
  <c r="CP98" i="3"/>
  <c r="DO88" i="3"/>
  <c r="I89" i="14" s="1"/>
  <c r="CU98" i="3"/>
  <c r="DT88" i="3"/>
  <c r="DZ88" i="3"/>
  <c r="DR79" i="3"/>
  <c r="H93" i="14" s="1"/>
  <c r="CZ79" i="3"/>
  <c r="H63" i="14" s="1"/>
  <c r="DT79" i="3"/>
  <c r="DH88" i="3"/>
  <c r="I80" i="14" s="1"/>
  <c r="CQ98" i="3"/>
  <c r="CU102" i="3"/>
  <c r="CG79" i="3"/>
  <c r="H39" i="14" s="1"/>
  <c r="DH79" i="3"/>
  <c r="H80" i="14" s="1"/>
  <c r="DL88" i="3"/>
  <c r="I85" i="14" s="1"/>
  <c r="CW88" i="3"/>
  <c r="I59" i="14" s="1"/>
  <c r="CJ16" i="3"/>
  <c r="CJ79" i="3" s="1"/>
  <c r="H43" i="14" s="1"/>
  <c r="CC16" i="3"/>
  <c r="CC79" i="3" s="1"/>
  <c r="H33" i="14" s="1"/>
  <c r="CF16" i="3"/>
  <c r="CF79" i="3" s="1"/>
  <c r="H38" i="14" s="1"/>
  <c r="DY16" i="3"/>
  <c r="DY79" i="3" s="1"/>
  <c r="DY98" i="3" s="1"/>
  <c r="BU16" i="3"/>
  <c r="BU79" i="3" s="1"/>
  <c r="H21" i="14" s="1"/>
  <c r="BW16" i="3"/>
  <c r="BW79" i="3" s="1"/>
  <c r="H24" i="14" s="1"/>
  <c r="CN16" i="3"/>
  <c r="CN79" i="3" s="1"/>
  <c r="H48" i="14" s="1"/>
  <c r="BO16" i="3"/>
  <c r="BO79" i="3" s="1"/>
  <c r="H15" i="14" s="1"/>
  <c r="BS16" i="3"/>
  <c r="BS79" i="3" s="1"/>
  <c r="H18" i="14" s="1"/>
  <c r="BM16" i="3"/>
  <c r="BM79" i="3" s="1"/>
  <c r="H12" i="14" s="1"/>
  <c r="DK16" i="3"/>
  <c r="DK79" i="3" s="1"/>
  <c r="H84" i="14" s="1"/>
  <c r="CR16" i="3"/>
  <c r="CR79" i="3" s="1"/>
  <c r="H53" i="14" s="1"/>
  <c r="BE16" i="3"/>
  <c r="BG16" i="3" s="1"/>
  <c r="CV16" i="3"/>
  <c r="CV79" i="3" s="1"/>
  <c r="H58" i="14" s="1"/>
  <c r="BQ16" i="3"/>
  <c r="BQ79" i="3" s="1"/>
  <c r="BQ98" i="3" s="1"/>
  <c r="BK16" i="3"/>
  <c r="BK79" i="3" s="1"/>
  <c r="H9" i="14" s="1"/>
  <c r="CA16" i="3"/>
  <c r="CA79" i="3" s="1"/>
  <c r="H30" i="14" s="1"/>
  <c r="BY16" i="3"/>
  <c r="BY79" i="3" s="1"/>
  <c r="H27" i="14" s="1"/>
  <c r="CJ102" i="3"/>
  <c r="BZ98" i="3"/>
  <c r="BE102" i="3"/>
  <c r="BE95" i="3"/>
  <c r="CE98" i="3"/>
  <c r="J38" i="14" l="1"/>
  <c r="J15" i="14"/>
  <c r="J58" i="14"/>
  <c r="J43" i="14"/>
  <c r="DV100" i="3"/>
  <c r="CG97" i="3"/>
  <c r="BM99" i="3"/>
  <c r="BK99" i="3"/>
  <c r="J48" i="14"/>
  <c r="BW99" i="3"/>
  <c r="J18" i="14"/>
  <c r="J33" i="14"/>
  <c r="BY102" i="3"/>
  <c r="J84" i="14"/>
  <c r="J30" i="14"/>
  <c r="J53" i="14"/>
  <c r="J27" i="14"/>
  <c r="CA102" i="3"/>
  <c r="CS102" i="3"/>
  <c r="G73" i="14"/>
  <c r="G76" i="14"/>
  <c r="CS97" i="3"/>
  <c r="CC102" i="3"/>
  <c r="BM102" i="3"/>
  <c r="DO97" i="3"/>
  <c r="BK102" i="3"/>
  <c r="BU102" i="3"/>
  <c r="BW102" i="3"/>
  <c r="DT102" i="3"/>
  <c r="L76" i="14"/>
  <c r="DT101" i="3"/>
  <c r="K76" i="14"/>
  <c r="DV101" i="3"/>
  <c r="K73" i="14"/>
  <c r="DT100" i="3"/>
  <c r="I76" i="14"/>
  <c r="DT98" i="3"/>
  <c r="H76" i="14"/>
  <c r="DV98" i="3"/>
  <c r="H73" i="14"/>
  <c r="CN102" i="3"/>
  <c r="CC101" i="3"/>
  <c r="K33" i="14"/>
  <c r="DZ101" i="3"/>
  <c r="DZ98" i="3"/>
  <c r="DZ102" i="3"/>
  <c r="DZ100" i="3"/>
  <c r="DZ97" i="3"/>
  <c r="DR97" i="3"/>
  <c r="CK97" i="3"/>
  <c r="DO102" i="3"/>
  <c r="DE101" i="3"/>
  <c r="DK102" i="3"/>
  <c r="DB98" i="3"/>
  <c r="CO97" i="3"/>
  <c r="DB101" i="3"/>
  <c r="DE102" i="3"/>
  <c r="DL98" i="3"/>
  <c r="CO102" i="3"/>
  <c r="CS101" i="3"/>
  <c r="DB97" i="3"/>
  <c r="CZ97" i="3"/>
  <c r="CR102" i="3"/>
  <c r="CG102" i="3"/>
  <c r="DH97" i="3"/>
  <c r="DL97" i="3"/>
  <c r="DH102" i="3"/>
  <c r="DE97" i="3"/>
  <c r="CZ101" i="3"/>
  <c r="CW102" i="3"/>
  <c r="DR102" i="3"/>
  <c r="CW98" i="3"/>
  <c r="BS102" i="3"/>
  <c r="CW97" i="3"/>
  <c r="BO102" i="3"/>
  <c r="CZ102" i="3"/>
  <c r="CS98" i="3"/>
  <c r="DL102" i="3"/>
  <c r="CO101" i="3"/>
  <c r="DR101" i="3"/>
  <c r="CK102" i="3"/>
  <c r="DH98" i="3"/>
  <c r="CG101" i="3"/>
  <c r="CG100" i="3"/>
  <c r="DL101" i="3"/>
  <c r="DH101" i="3"/>
  <c r="CS100" i="3"/>
  <c r="DB100" i="3"/>
  <c r="CK101" i="3"/>
  <c r="BE100" i="3"/>
  <c r="BE88" i="3"/>
  <c r="CV102" i="3"/>
  <c r="BE101" i="3"/>
  <c r="BE92" i="3"/>
  <c r="CF102" i="3"/>
  <c r="BS101" i="3"/>
  <c r="BK100" i="3"/>
  <c r="BW101" i="3"/>
  <c r="CR101" i="3"/>
  <c r="BE98" i="3"/>
  <c r="BY101" i="3"/>
  <c r="DB102" i="3"/>
  <c r="CK98" i="3"/>
  <c r="CV100" i="3"/>
  <c r="CZ98" i="3"/>
  <c r="BU101" i="3"/>
  <c r="DR98" i="3"/>
  <c r="CJ101" i="3"/>
  <c r="CG98" i="3"/>
  <c r="BO101" i="3"/>
  <c r="CO98" i="3"/>
  <c r="BK101" i="3"/>
  <c r="CF101" i="3"/>
  <c r="DO101" i="3"/>
  <c r="CW101" i="3"/>
  <c r="DK101" i="3"/>
  <c r="CR100" i="3"/>
  <c r="DO98" i="3"/>
  <c r="BW100" i="3"/>
  <c r="CN100" i="3"/>
  <c r="BO100" i="3"/>
  <c r="BS100" i="3"/>
  <c r="BU100" i="3"/>
  <c r="BM100" i="3"/>
  <c r="CV101" i="3"/>
  <c r="BY100" i="3"/>
  <c r="CJ100" i="3"/>
  <c r="CN101" i="3"/>
  <c r="CA101" i="3"/>
  <c r="BM101" i="3"/>
  <c r="CA100" i="3"/>
  <c r="DK100" i="3"/>
  <c r="CK100" i="3"/>
  <c r="CF100" i="3"/>
  <c r="CZ100" i="3"/>
  <c r="CO100" i="3"/>
  <c r="CC100" i="3"/>
  <c r="DH100" i="3"/>
  <c r="DO100" i="3"/>
  <c r="DE98" i="3"/>
  <c r="CW100" i="3"/>
  <c r="DL100" i="3"/>
  <c r="DE100" i="3"/>
  <c r="DR100" i="3"/>
  <c r="BU98" i="3"/>
  <c r="CN98" i="3"/>
  <c r="CV98" i="3"/>
  <c r="BW98" i="3"/>
  <c r="CF98" i="3"/>
  <c r="BY98" i="3"/>
  <c r="BG92" i="3"/>
  <c r="BG101" i="3"/>
  <c r="BG88" i="3"/>
  <c r="BG100" i="3"/>
  <c r="BG98" i="3"/>
  <c r="BG79" i="3"/>
  <c r="BG102" i="3"/>
  <c r="BG95" i="3"/>
  <c r="BM98" i="3"/>
  <c r="CR98" i="3"/>
  <c r="BO98" i="3"/>
  <c r="BE79" i="3"/>
  <c r="DK98" i="3"/>
  <c r="CC98" i="3"/>
  <c r="BS98" i="3"/>
  <c r="CJ98" i="3"/>
  <c r="CA98" i="3"/>
  <c r="BK98" i="3"/>
  <c r="U8" i="3" l="1"/>
  <c r="U97" i="3" l="1"/>
  <c r="U103" i="3" s="1"/>
  <c r="U107" i="3" s="1"/>
  <c r="BC4" i="3"/>
  <c r="BS4" i="3" l="1"/>
  <c r="BS8" i="3" s="1"/>
  <c r="BU4" i="3"/>
  <c r="BU8" i="3" s="1"/>
  <c r="BW4" i="3"/>
  <c r="BW8" i="3" s="1"/>
  <c r="BC8" i="3"/>
  <c r="BQ4" i="3"/>
  <c r="BQ8" i="3" s="1"/>
  <c r="BQ97" i="3" s="1"/>
  <c r="DK4" i="3"/>
  <c r="DK8" i="3" s="1"/>
  <c r="CJ4" i="3"/>
  <c r="CJ8" i="3" s="1"/>
  <c r="CN4" i="3"/>
  <c r="CN8" i="3" s="1"/>
  <c r="BM4" i="3"/>
  <c r="BM8" i="3" s="1"/>
  <c r="BY4" i="3"/>
  <c r="BY8" i="3" s="1"/>
  <c r="CA4" i="3"/>
  <c r="CA8" i="3" s="1"/>
  <c r="DY4" i="3"/>
  <c r="DY8" i="3" s="1"/>
  <c r="DY97" i="3" s="1"/>
  <c r="BE4" i="3"/>
  <c r="BO4" i="3"/>
  <c r="BO8" i="3" s="1"/>
  <c r="CR4" i="3"/>
  <c r="CR8" i="3" s="1"/>
  <c r="CC4" i="3"/>
  <c r="CC8" i="3" s="1"/>
  <c r="CV4" i="3"/>
  <c r="CV8" i="3" s="1"/>
  <c r="CF4" i="3"/>
  <c r="CF8" i="3" s="1"/>
  <c r="BK4" i="3"/>
  <c r="BK8" i="3" s="1"/>
  <c r="BC97" i="3"/>
  <c r="BC103" i="3" s="1"/>
  <c r="BC107" i="3" s="1"/>
  <c r="G48" i="14" l="1"/>
  <c r="CN97" i="3"/>
  <c r="CR97" i="3"/>
  <c r="G53" i="14"/>
  <c r="CJ97" i="3"/>
  <c r="G43" i="14"/>
  <c r="G15" i="14"/>
  <c r="BO97" i="3"/>
  <c r="G84" i="14"/>
  <c r="DK97" i="3"/>
  <c r="BG4" i="3"/>
  <c r="BE8" i="3"/>
  <c r="BE97" i="3"/>
  <c r="BE103" i="3" s="1"/>
  <c r="BE107" i="3" s="1"/>
  <c r="CC97" i="3"/>
  <c r="G33" i="14"/>
  <c r="BK97" i="3"/>
  <c r="CA97" i="3"/>
  <c r="G30" i="14"/>
  <c r="BW97" i="3"/>
  <c r="G24" i="14"/>
  <c r="CF97" i="3"/>
  <c r="G38" i="14"/>
  <c r="BY97" i="3"/>
  <c r="G27" i="14"/>
  <c r="BU97" i="3"/>
  <c r="G21" i="14"/>
  <c r="CV97" i="3"/>
  <c r="G58" i="14"/>
  <c r="BM97" i="3"/>
  <c r="G12" i="14"/>
  <c r="BS97" i="3"/>
  <c r="G18" i="14"/>
  <c r="BG97" i="3" l="1"/>
  <c r="BG103" i="3" s="1"/>
  <c r="BG107" i="3" s="1"/>
  <c r="BG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Gibson, Nicole</author>
  </authors>
  <commentList>
    <comment ref="B3" authorId="0" shapeId="0" xr:uid="{A49C21BC-BBDE-4F3C-9E1F-144D74EB2A95}">
      <text>
        <r>
          <rPr>
            <b/>
            <sz val="9"/>
            <color indexed="81"/>
            <rFont val="Tahoma"/>
            <family val="2"/>
          </rPr>
          <t>Gibson, Nicole:</t>
        </r>
        <r>
          <rPr>
            <sz val="9"/>
            <color indexed="81"/>
            <rFont val="Tahoma"/>
            <family val="2"/>
          </rPr>
          <t xml:space="preserve">
All Saints N20</t>
        </r>
      </text>
    </comment>
    <comment ref="B21" authorId="0" shapeId="0" xr:uid="{968274B3-8050-457C-921F-0F49BAC558B3}">
      <text>
        <r>
          <rPr>
            <b/>
            <sz val="9"/>
            <color indexed="81"/>
            <rFont val="Tahoma"/>
            <family val="2"/>
          </rPr>
          <t>Gibson, Nicole:</t>
        </r>
        <r>
          <rPr>
            <sz val="9"/>
            <color indexed="81"/>
            <rFont val="Tahoma"/>
            <family val="2"/>
          </rPr>
          <t xml:space="preserve">
Dollis Primary</t>
        </r>
      </text>
    </comment>
    <comment ref="B52" authorId="0" shapeId="0" xr:uid="{0AB4D521-2686-4A0D-9921-4A964918A92D}">
      <text>
        <r>
          <rPr>
            <b/>
            <sz val="9"/>
            <color indexed="81"/>
            <rFont val="Tahoma"/>
            <family val="2"/>
          </rPr>
          <t>Gibson, Nicole:</t>
        </r>
        <r>
          <rPr>
            <sz val="9"/>
            <color indexed="81"/>
            <rFont val="Tahoma"/>
            <family val="2"/>
          </rPr>
          <t xml:space="preserve">
Queenswell Federation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James, Claudette</author>
  </authors>
  <commentList>
    <comment ref="I44" authorId="0" shapeId="0" xr:uid="{8B84A108-8CF9-4574-9B4E-ED56C8BDD282}">
      <text>
        <r>
          <rPr>
            <b/>
            <sz val="9"/>
            <color indexed="81"/>
            <rFont val="Tahoma"/>
            <family val="2"/>
          </rPr>
          <t>James, Claudette:</t>
        </r>
        <r>
          <rPr>
            <sz val="9"/>
            <color indexed="81"/>
            <rFont val="Tahoma"/>
            <family val="2"/>
          </rPr>
          <t xml:space="preserve">
includes number from Queenswell Infants as now federated</t>
        </r>
      </text>
    </comment>
    <comment ref="R44" authorId="0" shapeId="0" xr:uid="{A5622DCA-C4D3-4125-8436-45E7538FE147}">
      <text>
        <r>
          <rPr>
            <b/>
            <sz val="9"/>
            <color indexed="81"/>
            <rFont val="Tahoma"/>
            <family val="2"/>
          </rPr>
          <t>James, Claudette:</t>
        </r>
        <r>
          <rPr>
            <sz val="9"/>
            <color indexed="81"/>
            <rFont val="Tahoma"/>
            <family val="2"/>
          </rPr>
          <t xml:space="preserve">
includes number from Queenswell Infants as now federated</t>
        </r>
      </text>
    </comment>
  </commentList>
</comments>
</file>

<file path=xl/sharedStrings.xml><?xml version="1.0" encoding="utf-8"?>
<sst xmlns="http://schemas.openxmlformats.org/spreadsheetml/2006/main" count="7979" uniqueCount="893">
  <si>
    <t xml:space="preserve">                  Please select a School</t>
  </si>
  <si>
    <t>Area</t>
  </si>
  <si>
    <t>Key Ratios</t>
  </si>
  <si>
    <t>School Data</t>
  </si>
  <si>
    <t>Nursery</t>
  </si>
  <si>
    <t>Primary</t>
  </si>
  <si>
    <t>Secondary</t>
  </si>
  <si>
    <t>Special</t>
  </si>
  <si>
    <t>Income</t>
  </si>
  <si>
    <t>As % of Total Revenue Income</t>
  </si>
  <si>
    <t>Income per pupil</t>
  </si>
  <si>
    <t>Expenditure</t>
  </si>
  <si>
    <t>E01,E02 &amp; E26 - Teaching Staff</t>
  </si>
  <si>
    <t>As % of Final Budget Share</t>
  </si>
  <si>
    <t>As % of Total Rev. Expenditure</t>
  </si>
  <si>
    <t>Cost / Expenditure per pupil</t>
  </si>
  <si>
    <t>E03 - Education Support Staff</t>
  </si>
  <si>
    <t>E04 - Premises Staff</t>
  </si>
  <si>
    <t>E05 - Admin &amp; Clerical Staff</t>
  </si>
  <si>
    <t>Total Employee Costs</t>
  </si>
  <si>
    <t>E12 - Building Maintenance</t>
  </si>
  <si>
    <t>E15 - Water</t>
  </si>
  <si>
    <t>E16 - Energy</t>
  </si>
  <si>
    <t>E18 - Other Occupation Costs</t>
  </si>
  <si>
    <t>E19 - Learning Resources</t>
  </si>
  <si>
    <t>E22 - Administrative Supplies</t>
  </si>
  <si>
    <t>Please choose a school</t>
  </si>
  <si>
    <t>Brookhill Nursery School</t>
  </si>
  <si>
    <t>Hampden Way Nursery School</t>
  </si>
  <si>
    <t>Moss Hall Nursery School</t>
  </si>
  <si>
    <t>St Margaret's Nursery School</t>
  </si>
  <si>
    <t xml:space="preserve">Akiva </t>
  </si>
  <si>
    <t>All Saints' CE School (N20)</t>
  </si>
  <si>
    <t>All Saints' CE School (NW2)</t>
  </si>
  <si>
    <t>Annunciation RC Infant School</t>
  </si>
  <si>
    <t>Annunciation RC Junior School</t>
  </si>
  <si>
    <t>Barnfield School</t>
  </si>
  <si>
    <t>Beis Yaakov</t>
  </si>
  <si>
    <t>Bell Lane School</t>
  </si>
  <si>
    <t>Blessed Dominic RC School</t>
  </si>
  <si>
    <t>Broadfields Primary School</t>
  </si>
  <si>
    <t>Brookland Infant School</t>
  </si>
  <si>
    <t>Brookland Junior School</t>
  </si>
  <si>
    <t>Brunswick Park School</t>
  </si>
  <si>
    <t>Chalgrove School</t>
  </si>
  <si>
    <t>Childs Hill School</t>
  </si>
  <si>
    <t>Christ Church CE School</t>
  </si>
  <si>
    <t>Church Hill School</t>
  </si>
  <si>
    <t>Claremont Primary</t>
  </si>
  <si>
    <t>Colindale School</t>
  </si>
  <si>
    <t>Coppetts Wood School</t>
  </si>
  <si>
    <t>Copthall School</t>
  </si>
  <si>
    <t>Courtland School</t>
  </si>
  <si>
    <t>Cromer Road School</t>
  </si>
  <si>
    <t>Danegrove School</t>
  </si>
  <si>
    <t>Deansbrook Infant School</t>
  </si>
  <si>
    <t>Deansbrook Junior School</t>
  </si>
  <si>
    <t>Dollis Infant School</t>
  </si>
  <si>
    <t>Dollis Junior School</t>
  </si>
  <si>
    <t>Edgware Infant School</t>
  </si>
  <si>
    <t>Edgware Junior School</t>
  </si>
  <si>
    <t>Fairway School</t>
  </si>
  <si>
    <t>Foulds School</t>
  </si>
  <si>
    <t>Frith Manor School</t>
  </si>
  <si>
    <t>Garden Suburb Infant School</t>
  </si>
  <si>
    <t>Garden Suburb Junior School</t>
  </si>
  <si>
    <t>Goldbeaters School</t>
  </si>
  <si>
    <t>Grasvenor Avenue Infant School</t>
  </si>
  <si>
    <t>Hasmonean Primary School</t>
  </si>
  <si>
    <t>Hollickwood School</t>
  </si>
  <si>
    <t>Holly Park School</t>
  </si>
  <si>
    <t>Holy Trinity CE School</t>
  </si>
  <si>
    <t>Livingstone School</t>
  </si>
  <si>
    <t xml:space="preserve">Manorside School </t>
  </si>
  <si>
    <t xml:space="preserve">Martin Primary </t>
  </si>
  <si>
    <t>Mathilda Marks Kennedy School</t>
  </si>
  <si>
    <t>Menorah Foundation School</t>
  </si>
  <si>
    <t>Menorah Primary School</t>
  </si>
  <si>
    <t>Monken Hadley CE School</t>
  </si>
  <si>
    <t>Monkfrith School</t>
  </si>
  <si>
    <t>Moss Hall Infant School</t>
  </si>
  <si>
    <t>Moss Hall Junior School</t>
  </si>
  <si>
    <t>Northside School</t>
  </si>
  <si>
    <t>Orion School</t>
  </si>
  <si>
    <t>Osidge School</t>
  </si>
  <si>
    <t>Our Lady of Lourdes RC School</t>
  </si>
  <si>
    <t>Pardes House School</t>
  </si>
  <si>
    <t>Queenswell Infant School</t>
  </si>
  <si>
    <t>Queenswell Junior School</t>
  </si>
  <si>
    <t>Rosh Pinah School</t>
  </si>
  <si>
    <t>Sacred Heart RC School</t>
  </si>
  <si>
    <t>St. Agnes' RC School</t>
  </si>
  <si>
    <t>St. Andrew's CE School</t>
  </si>
  <si>
    <t>St. Catherine's RC School</t>
  </si>
  <si>
    <t>St. John's CE School (N11)</t>
  </si>
  <si>
    <t>St. John's CE School (N20)</t>
  </si>
  <si>
    <t>St. Joseph's RC Infant School</t>
  </si>
  <si>
    <t>St. Joseph's RC Junior School</t>
  </si>
  <si>
    <t>St. Mary's CE School (EN4)</t>
  </si>
  <si>
    <t>St. Mary's CE School (N3)</t>
  </si>
  <si>
    <t>St. Paul's CE School (N11)</t>
  </si>
  <si>
    <t>St. Paul's CE School (NW7)</t>
  </si>
  <si>
    <t>St. Theresa's RC School</t>
  </si>
  <si>
    <t>St. Vincent's RC School</t>
  </si>
  <si>
    <t xml:space="preserve">Summerside School </t>
  </si>
  <si>
    <t>Sunnyfields School</t>
  </si>
  <si>
    <t>Trent CE School</t>
  </si>
  <si>
    <t>Tudor School</t>
  </si>
  <si>
    <t>Underhill Infant School</t>
  </si>
  <si>
    <t>Underhill Junior School</t>
  </si>
  <si>
    <t>Wessex Gardens School</t>
  </si>
  <si>
    <t>Whitings Hill School</t>
  </si>
  <si>
    <t>Woodcroft Primary School</t>
  </si>
  <si>
    <t>Woodridge School</t>
  </si>
  <si>
    <t>Bishop Douglass RC High</t>
  </si>
  <si>
    <t>Finchley Catholic High School</t>
  </si>
  <si>
    <t>Friern Barnet School</t>
  </si>
  <si>
    <t>Hendon School</t>
  </si>
  <si>
    <t>Queen Elizabeth's Girls' School</t>
  </si>
  <si>
    <t>Queen Elizabeth's School, Barnet</t>
  </si>
  <si>
    <t>St James' Catholic High School</t>
  </si>
  <si>
    <t>St Mary's CE High School</t>
  </si>
  <si>
    <t>St. Michael's Catholic Grammar School</t>
  </si>
  <si>
    <t>Whitefield School</t>
  </si>
  <si>
    <t>Mapledown School</t>
  </si>
  <si>
    <t>Northway School</t>
  </si>
  <si>
    <t>Oak Lodge School</t>
  </si>
  <si>
    <t>Oakleigh School</t>
  </si>
  <si>
    <t>School Name</t>
  </si>
  <si>
    <t>JCOSS</t>
  </si>
  <si>
    <t>I13 Donations / Voluntary Funds</t>
  </si>
  <si>
    <t>Free School Meals</t>
  </si>
  <si>
    <t>Cost Centre</t>
  </si>
  <si>
    <t>School</t>
  </si>
  <si>
    <t>I01 - Funds Del. By LA</t>
  </si>
  <si>
    <t>I02 - Sixth form funding</t>
  </si>
  <si>
    <t>I03 - SEN Funding</t>
  </si>
  <si>
    <t>I04 - Ethnic Minority</t>
  </si>
  <si>
    <t xml:space="preserve">I06 - Other Gov. Grants </t>
  </si>
  <si>
    <t xml:space="preserve">I07 - Other Grants &amp; Payments </t>
  </si>
  <si>
    <t>I09 - Income from Catering</t>
  </si>
  <si>
    <t>I10 - Supply teacher ins claims</t>
  </si>
  <si>
    <t>I11 - receipts from other ins claims</t>
  </si>
  <si>
    <t xml:space="preserve">I12 - Income from Contributions </t>
  </si>
  <si>
    <t xml:space="preserve">I13 - Donations </t>
  </si>
  <si>
    <t xml:space="preserve">I15 - Pupil Focussed Extended School Funding and/or Grants </t>
  </si>
  <si>
    <t xml:space="preserve">I16 - Community Focussed Extended School Funding and/or Grants </t>
  </si>
  <si>
    <t>I17 - Community Focussed Extended School Facilities Income</t>
  </si>
  <si>
    <t xml:space="preserve">E01 - Teaching Staff </t>
  </si>
  <si>
    <t>E02 - Supply Staff</t>
  </si>
  <si>
    <t xml:space="preserve">E03 - Educ Support Staff </t>
  </si>
  <si>
    <t xml:space="preserve">E04 - Premises Staff </t>
  </si>
  <si>
    <t xml:space="preserve">E05 -Admin &amp; Clerical </t>
  </si>
  <si>
    <t>E06 - Catering Staff</t>
  </si>
  <si>
    <t xml:space="preserve">E07 - Cost of Other Staff </t>
  </si>
  <si>
    <t xml:space="preserve">E08 - Indirect Employee Exp </t>
  </si>
  <si>
    <t xml:space="preserve">E09 - Staff Dev &amp; Training </t>
  </si>
  <si>
    <t xml:space="preserve">E10 - Supply Teacher Ins </t>
  </si>
  <si>
    <t xml:space="preserve">E11  - Staff Related Ins </t>
  </si>
  <si>
    <t>E12 - Building Maint &amp; Imp</t>
  </si>
  <si>
    <t xml:space="preserve">E13 - Grounds Maint &amp; Impt </t>
  </si>
  <si>
    <t xml:space="preserve">E14 - Contract Cleaning </t>
  </si>
  <si>
    <t xml:space="preserve">E16 - Energy </t>
  </si>
  <si>
    <t xml:space="preserve">E17 - Rates </t>
  </si>
  <si>
    <t xml:space="preserve">E18 - Other Occup. Costs </t>
  </si>
  <si>
    <t xml:space="preserve">E19 - Learning Resources </t>
  </si>
  <si>
    <t>E20 - ICT Learning Resources</t>
  </si>
  <si>
    <t xml:space="preserve">E21 - Exam fees </t>
  </si>
  <si>
    <t>E22 - Admin Supplies</t>
  </si>
  <si>
    <t>E23 - Other Ins Premiums</t>
  </si>
  <si>
    <t xml:space="preserve">E24 - Special Facilities </t>
  </si>
  <si>
    <t xml:space="preserve">E25 - Catering Supplies </t>
  </si>
  <si>
    <t>E26 - Agency Supply Staff</t>
  </si>
  <si>
    <t xml:space="preserve">E27 - Bought in Proff. Services (Curric) </t>
  </si>
  <si>
    <t xml:space="preserve">E29 - Loan Interest </t>
  </si>
  <si>
    <t xml:space="preserve">E30 - RCCO </t>
  </si>
  <si>
    <t xml:space="preserve">E31 - Community Focussed Extended School Staff  </t>
  </si>
  <si>
    <t xml:space="preserve">E32 - Community Focussed Extended School Costs </t>
  </si>
  <si>
    <t>Total Revenue Income</t>
  </si>
  <si>
    <t>Total Revenue Expenditure</t>
  </si>
  <si>
    <t>Net in Year Rev Inc / (Exp)</t>
  </si>
  <si>
    <t>Income Per Pupil</t>
  </si>
  <si>
    <t>As % of Total Rev Expenditure</t>
  </si>
  <si>
    <t>Cost per Pupil</t>
  </si>
  <si>
    <t>As % of in year Revenue Income</t>
  </si>
  <si>
    <t>Cost / Expenditure per Pupil</t>
  </si>
  <si>
    <t>Cost per pupil</t>
  </si>
  <si>
    <t>Expenditure per Pupil</t>
  </si>
  <si>
    <t>N</t>
  </si>
  <si>
    <t>Nursery Sector Average</t>
  </si>
  <si>
    <t>P</t>
  </si>
  <si>
    <t>Primary Sector Average</t>
  </si>
  <si>
    <t>S</t>
  </si>
  <si>
    <t>Secondary Sector Average</t>
  </si>
  <si>
    <t>C</t>
  </si>
  <si>
    <t>Special Sector Average</t>
  </si>
  <si>
    <t>Income Fields</t>
  </si>
  <si>
    <t>Expenditure Fields</t>
  </si>
  <si>
    <t>School Details</t>
  </si>
  <si>
    <t>School Number</t>
  </si>
  <si>
    <t>I01</t>
  </si>
  <si>
    <t>I02</t>
  </si>
  <si>
    <t>I03</t>
  </si>
  <si>
    <t>I04</t>
  </si>
  <si>
    <t>I05</t>
  </si>
  <si>
    <t>I06</t>
  </si>
  <si>
    <t>I07</t>
  </si>
  <si>
    <t>I08</t>
  </si>
  <si>
    <t>I09</t>
  </si>
  <si>
    <t>I10</t>
  </si>
  <si>
    <t>I11</t>
  </si>
  <si>
    <t>I12</t>
  </si>
  <si>
    <t>I13</t>
  </si>
  <si>
    <t>I15</t>
  </si>
  <si>
    <t>I16</t>
  </si>
  <si>
    <t>I17</t>
  </si>
  <si>
    <t>E01</t>
  </si>
  <si>
    <t>E02</t>
  </si>
  <si>
    <t>E03</t>
  </si>
  <si>
    <t>E04</t>
  </si>
  <si>
    <t>E05</t>
  </si>
  <si>
    <t>E06</t>
  </si>
  <si>
    <t>E07</t>
  </si>
  <si>
    <t>E08</t>
  </si>
  <si>
    <t>E09</t>
  </si>
  <si>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</si>
  <si>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</si>
  <si>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</si>
  <si>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</si>
  <si>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</si>
  <si>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</si>
  <si>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</si>
  <si>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</si>
  <si>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</si>
  <si>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</si>
  <si>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</si>
  <si>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</si>
  <si>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</si>
  <si>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</si>
  <si>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</si>
  <si>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</si>
  <si>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</si>
  <si>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</si>
  <si>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</si>
  <si>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</si>
  <si>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</si>
  <si>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</si>
  <si>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</si>
  <si>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Akiva</t>
  </si>
  <si>
    <t>Martin Primary</t>
  </si>
  <si>
    <t xml:space="preserve">Excludes Community Focussed Extended Schools Income </t>
  </si>
  <si>
    <t>Excludes Community Focussed Extended Schools Expenditure</t>
  </si>
  <si>
    <t>Income per Pupil</t>
  </si>
  <si>
    <t>I01 - Funds Delegated by LA</t>
  </si>
  <si>
    <t>I06 - Other Gov. Grants</t>
  </si>
  <si>
    <t>I12 Inc. from Contributions</t>
  </si>
  <si>
    <t>Akiva School</t>
  </si>
  <si>
    <t>All Saints' CofE Primary School N20</t>
  </si>
  <si>
    <t>Barnfield Primary School</t>
  </si>
  <si>
    <t>Beis Yaakov Primary School</t>
  </si>
  <si>
    <t>Bell Lane Primary School</t>
  </si>
  <si>
    <t>Brookland Infant and Nursery School</t>
  </si>
  <si>
    <t>Brunswick Park Primary and Nursery School</t>
  </si>
  <si>
    <t>Chalgrove Primary School</t>
  </si>
  <si>
    <t>Christ Church Primary School</t>
  </si>
  <si>
    <t>Claremont Primary School</t>
  </si>
  <si>
    <t>Colindale Primary School</t>
  </si>
  <si>
    <t>Coppetts Wood Primary School</t>
  </si>
  <si>
    <t>Cromer Road Primary School</t>
  </si>
  <si>
    <t>Danegrove Primary School</t>
  </si>
  <si>
    <t>Frith Manor Primary School</t>
  </si>
  <si>
    <t>Goldbeaters Primary School</t>
  </si>
  <si>
    <t>Hollickwood Primary School</t>
  </si>
  <si>
    <t>Holly Park Primary School</t>
  </si>
  <si>
    <t>Holy Trinity CofE Primary School</t>
  </si>
  <si>
    <t>Manorside Primary School</t>
  </si>
  <si>
    <t>Martin Primary School</t>
  </si>
  <si>
    <t>Mathilda Marks-Kennedy Jewish Primary School</t>
  </si>
  <si>
    <t>Monken Hadley CofE Primary School</t>
  </si>
  <si>
    <t>Monkfrith Primary School</t>
  </si>
  <si>
    <t>Northside Primary School</t>
  </si>
  <si>
    <t>Osidge Primary School</t>
  </si>
  <si>
    <t>Pardes House Primary School</t>
  </si>
  <si>
    <t>Parkfield Primary School</t>
  </si>
  <si>
    <t>Rosh Pinah Primary School</t>
  </si>
  <si>
    <t>Sacred Heart Roman Catholic Primary School</t>
  </si>
  <si>
    <t>St Agnes RC School</t>
  </si>
  <si>
    <t>St Catherine's RC School</t>
  </si>
  <si>
    <t>St Mary's CofE Primary School, East Barnet</t>
  </si>
  <si>
    <t>St Paul's CofE Primary School N11</t>
  </si>
  <si>
    <t>Sunnyfields Primary School</t>
  </si>
  <si>
    <t>The Annunciation RC Junior School</t>
  </si>
  <si>
    <t>The Hyde School</t>
  </si>
  <si>
    <t>The Orion Primary School</t>
  </si>
  <si>
    <t>Trent CofE Primary School</t>
  </si>
  <si>
    <t>Tudor Primary School</t>
  </si>
  <si>
    <t>Wessex Gardens Primary School</t>
  </si>
  <si>
    <t>Whitings Hill Primary School</t>
  </si>
  <si>
    <t>Woodridge Primary School</t>
  </si>
  <si>
    <t>Bishop Douglass School Finchley</t>
  </si>
  <si>
    <t>Christ's College Finchley</t>
  </si>
  <si>
    <t>St Michael's Catholic Grammar School</t>
  </si>
  <si>
    <t>The Henrietta Barnett School</t>
  </si>
  <si>
    <t>Opening Balances</t>
  </si>
  <si>
    <t>Capital Income</t>
  </si>
  <si>
    <t>OB01</t>
  </si>
  <si>
    <t>OB02</t>
  </si>
  <si>
    <t>OB03</t>
  </si>
  <si>
    <t>CI01</t>
  </si>
  <si>
    <t>CI03</t>
  </si>
  <si>
    <t>CI04</t>
  </si>
  <si>
    <t>CE01</t>
  </si>
  <si>
    <t>CE02</t>
  </si>
  <si>
    <t>CE03</t>
  </si>
  <si>
    <t>CE04</t>
  </si>
  <si>
    <t>JCoSS</t>
  </si>
  <si>
    <t>E01, E02, E26 - Teaching Staff</t>
  </si>
  <si>
    <t>Pupil Numbers</t>
  </si>
  <si>
    <t>The Totteridge Academy</t>
  </si>
  <si>
    <t>Mill Hill County High School</t>
  </si>
  <si>
    <t>Ashmole Academy</t>
  </si>
  <si>
    <t>Nursery Sector</t>
  </si>
  <si>
    <t>Primary Sector</t>
  </si>
  <si>
    <t>Secondary Sector</t>
  </si>
  <si>
    <t>Special Sector</t>
  </si>
  <si>
    <t>London Academy</t>
  </si>
  <si>
    <t>Wren Academy</t>
  </si>
  <si>
    <t>Pavilion Study Centre</t>
  </si>
  <si>
    <t>Discovery Bay</t>
  </si>
  <si>
    <t>Northgate</t>
  </si>
  <si>
    <t>Beit Shvidler</t>
  </si>
  <si>
    <t xml:space="preserve">I05 - Pupil Premium </t>
  </si>
  <si>
    <t>Check</t>
  </si>
  <si>
    <t>DfE Number</t>
  </si>
  <si>
    <t>Sector Averages</t>
  </si>
  <si>
    <t>I18</t>
  </si>
  <si>
    <t>St. Mary's and St. John's (NW4) Primary</t>
  </si>
  <si>
    <t>A</t>
  </si>
  <si>
    <t>St Paul's CofE Primary School NW7</t>
  </si>
  <si>
    <t>I05 - Pupil Premium</t>
  </si>
  <si>
    <t>Sacks Morasha</t>
  </si>
  <si>
    <t>Sum of Funding</t>
  </si>
  <si>
    <t>Grand Total</t>
  </si>
  <si>
    <t xml:space="preserve">Total </t>
  </si>
  <si>
    <t>PRU's</t>
  </si>
  <si>
    <t>PRU Sector Average</t>
  </si>
  <si>
    <t>Pupil Referral Unit</t>
  </si>
  <si>
    <t>PR</t>
  </si>
  <si>
    <t>Northgate School</t>
  </si>
  <si>
    <t>N1</t>
  </si>
  <si>
    <t>N2</t>
  </si>
  <si>
    <t>R</t>
  </si>
  <si>
    <t>Hampden Way Nursery</t>
  </si>
  <si>
    <t>Moss Hall Nursery</t>
  </si>
  <si>
    <t>St Margarets Nursery School</t>
  </si>
  <si>
    <t>Etz Chaim Jewish Primary School</t>
  </si>
  <si>
    <t>Rimon Jewish Primary School</t>
  </si>
  <si>
    <t>Brookland Infant  &amp; Nursery School</t>
  </si>
  <si>
    <t>Brunswick Park Primary &amp; Nursery School</t>
  </si>
  <si>
    <t>Church Hill Primary School</t>
  </si>
  <si>
    <t>Coppetts Wood</t>
  </si>
  <si>
    <t>Alma Primary</t>
  </si>
  <si>
    <t>Fairway Primary School</t>
  </si>
  <si>
    <t>Foulds</t>
  </si>
  <si>
    <t>Garden Suburb Junior</t>
  </si>
  <si>
    <t>Grasvenor Avenue Infants</t>
  </si>
  <si>
    <t>Hollickwood JMI School</t>
  </si>
  <si>
    <t>Woodridge  Primary School</t>
  </si>
  <si>
    <t>Queenswell Infant and Nursery School</t>
  </si>
  <si>
    <t>Danegrove JMI School</t>
  </si>
  <si>
    <t>Wessex  Gardens Primary School</t>
  </si>
  <si>
    <t>Christ Church CE Primary School</t>
  </si>
  <si>
    <t>Holy Trinity School</t>
  </si>
  <si>
    <t>Monken Hadley C E Primary School</t>
  </si>
  <si>
    <t>St John's CE School N11</t>
  </si>
  <si>
    <t>St Johns N20</t>
  </si>
  <si>
    <t>St Mary's C E Primary School N3 1BT</t>
  </si>
  <si>
    <t>St Mary's School EN4</t>
  </si>
  <si>
    <t>St Paul's School, N11</t>
  </si>
  <si>
    <t>St Andrew's C E</t>
  </si>
  <si>
    <t>Trent  C of E Primary School</t>
  </si>
  <si>
    <t>All Saints' CE Primary School, N20 9EZ</t>
  </si>
  <si>
    <t>The Annunciation Catholic Infant School</t>
  </si>
  <si>
    <t>Our Lady of Lourdes School</t>
  </si>
  <si>
    <t>St Agnes RC Primary School</t>
  </si>
  <si>
    <t>St Catherines R C Primary</t>
  </si>
  <si>
    <t>St Vincent's Catholic Primary School</t>
  </si>
  <si>
    <t>ST. THERESA'S R.C. PRIMARY SCHOOL</t>
  </si>
  <si>
    <t>Sacred Heart School</t>
  </si>
  <si>
    <t>Blessed Dominic School</t>
  </si>
  <si>
    <t>Rosh Pinah</t>
  </si>
  <si>
    <t>Annunciation Junior School</t>
  </si>
  <si>
    <t>Independent Jewish Day School</t>
  </si>
  <si>
    <t>Beit Shvidler Primary School</t>
  </si>
  <si>
    <t>St Andrew the Apostle Greek Orthodox School</t>
  </si>
  <si>
    <t>The Archer Academy</t>
  </si>
  <si>
    <t>COPTHALL SCHOOL</t>
  </si>
  <si>
    <t>East Barnet School</t>
  </si>
  <si>
    <t>The Compton School</t>
  </si>
  <si>
    <t>Queen Elizabeth's School</t>
  </si>
  <si>
    <t>St Michaels Catholic Grammar School</t>
  </si>
  <si>
    <t>St. James' Catholic High School</t>
  </si>
  <si>
    <t>Jewish Community Secondary School</t>
  </si>
  <si>
    <t>Mathilda Marks-Kennedy School</t>
  </si>
  <si>
    <t>Brookhill Nursery</t>
  </si>
  <si>
    <t>St Margaret's Nursery</t>
  </si>
  <si>
    <t>Millbrook Park Primary School</t>
  </si>
  <si>
    <t>Capital Expenditure</t>
  </si>
  <si>
    <t>De Minimis</t>
  </si>
  <si>
    <t>Pavilion</t>
  </si>
  <si>
    <t>DfE No</t>
  </si>
  <si>
    <t>St. Joseph's RC Primary</t>
  </si>
  <si>
    <t>Edgware Primary School</t>
  </si>
  <si>
    <t>Underhill School and Children's Centre</t>
  </si>
  <si>
    <t>St Joseph's Catholic Primary School</t>
  </si>
  <si>
    <t>St Mary's and St John's School</t>
  </si>
  <si>
    <t>LAEstab</t>
  </si>
  <si>
    <t xml:space="preserve">Pupil Premium Free School Meals </t>
  </si>
  <si>
    <t>Sacks Morasha Jewish Primary School</t>
  </si>
  <si>
    <t>School Type</t>
  </si>
  <si>
    <t>Mainstream Academy</t>
  </si>
  <si>
    <t>Fairway Primary School and Children's Centre</t>
  </si>
  <si>
    <t>Livingstone Primary and Nursery School</t>
  </si>
  <si>
    <t>Queenswell Infant &amp; Nursery School</t>
  </si>
  <si>
    <t>All Saints' CofE Primary School NW2</t>
  </si>
  <si>
    <t>St John's CofE Junior Mixed and Infant School</t>
  </si>
  <si>
    <t>St John's CofE Primary School</t>
  </si>
  <si>
    <t>St Mary's CofE Primary School</t>
  </si>
  <si>
    <t>St Andrew's CofE Voluntary Aided Primary School, Totteridge</t>
  </si>
  <si>
    <t>St Theresa's Catholic Primary School</t>
  </si>
  <si>
    <t>Oakleigh School &amp; Acorn Assessment Centre</t>
  </si>
  <si>
    <t>Barnet</t>
  </si>
  <si>
    <t>Menorah High School for Girls</t>
  </si>
  <si>
    <t>Underhill School</t>
  </si>
  <si>
    <t>Difference</t>
  </si>
  <si>
    <t>Excl Community Focussed Revenue Balance</t>
  </si>
  <si>
    <t>Free School</t>
  </si>
  <si>
    <t>Watling Park School</t>
  </si>
  <si>
    <t>Ashmole Primary School</t>
  </si>
  <si>
    <t>Blessed Dominic Catholic Primary School</t>
  </si>
  <si>
    <t>St Mary's and St John's CofE School</t>
  </si>
  <si>
    <t>Special Academy</t>
  </si>
  <si>
    <t>BEYA</t>
  </si>
  <si>
    <t>Noam Primary School</t>
  </si>
  <si>
    <t>E28a - Bought in Prof Services (other)</t>
  </si>
  <si>
    <t>E28b - Bought in Prof Services (PFI)</t>
  </si>
  <si>
    <t>Pupil referral unit</t>
  </si>
  <si>
    <t>Community school</t>
  </si>
  <si>
    <t>Foundation school</t>
  </si>
  <si>
    <t>Voluntary aided school</t>
  </si>
  <si>
    <t>Summerside Primary Academy</t>
  </si>
  <si>
    <t>Oak Hill School</t>
  </si>
  <si>
    <t>Community special school</t>
  </si>
  <si>
    <t>Total</t>
  </si>
  <si>
    <t>Orion Primary School</t>
  </si>
  <si>
    <t>All Saints' CE Primary School NW2</t>
  </si>
  <si>
    <t>St Johns CE N20</t>
  </si>
  <si>
    <t>St Mary's C E Primary School N3</t>
  </si>
  <si>
    <t>All Saints' CE Primary School, N20</t>
  </si>
  <si>
    <t>Annunciation Catholic Infant School</t>
  </si>
  <si>
    <t>St Theresa's R.C. Primary School</t>
  </si>
  <si>
    <t>St Joseph's Primary School</t>
  </si>
  <si>
    <t>Annunciation Catholic Junior School</t>
  </si>
  <si>
    <t>St Mary's &amp; St John's CE School</t>
  </si>
  <si>
    <t>Menorah High School (Girls)</t>
  </si>
  <si>
    <t>Saracens High School</t>
  </si>
  <si>
    <t>The Pavilion</t>
  </si>
  <si>
    <t>Ashmole Primary</t>
  </si>
  <si>
    <t>Monken Hadley CE Primary School</t>
  </si>
  <si>
    <t>Menorah High School For Girls</t>
  </si>
  <si>
    <t>Queen Elizabeth's Girl's School</t>
  </si>
  <si>
    <t>E27 - Bought in Prof Services Curriculum</t>
  </si>
  <si>
    <t xml:space="preserve">I08b - Income from other Facilities &amp; Services </t>
  </si>
  <si>
    <t>I08a - Income from Lettings</t>
  </si>
  <si>
    <t>Dollis Primary School</t>
  </si>
  <si>
    <t>All-through Schools</t>
  </si>
  <si>
    <t>All-through Sector Average</t>
  </si>
  <si>
    <t>E1</t>
  </si>
  <si>
    <t>E2</t>
  </si>
  <si>
    <t>Hasmonean High School for Girls</t>
  </si>
  <si>
    <t>Kisharon School</t>
  </si>
  <si>
    <t>The Noam Primary School</t>
  </si>
  <si>
    <t>CFR CODES</t>
  </si>
  <si>
    <t>SchoolCC</t>
  </si>
  <si>
    <t>De-Delegation</t>
  </si>
  <si>
    <t>Budget Share</t>
  </si>
  <si>
    <t>I05+I06+I18</t>
  </si>
  <si>
    <t>Mapledown</t>
  </si>
  <si>
    <t>Northway</t>
  </si>
  <si>
    <t>Oakleigh</t>
  </si>
  <si>
    <t>n/a</t>
  </si>
  <si>
    <t>I08a &amp;b  Inc. from Lettings &amp; Other Facilities &amp; Services</t>
  </si>
  <si>
    <t>E03 Education Support Staff</t>
  </si>
  <si>
    <t>E04 Premises Staff</t>
  </si>
  <si>
    <t>E05 Admin &amp; Clerical Staff</t>
  </si>
  <si>
    <t>E12 Building Maintenance &amp; Improvement</t>
  </si>
  <si>
    <t>E15 Water</t>
  </si>
  <si>
    <t>E16 Energy</t>
  </si>
  <si>
    <t>E18 Other Occupation Costs</t>
  </si>
  <si>
    <t>E19 Learning Resources</t>
  </si>
  <si>
    <t>E22 Administrative Supplies</t>
  </si>
  <si>
    <t>E27 Brought in Prof Services- Curriculum</t>
  </si>
  <si>
    <t>E25 Catering Supplies</t>
  </si>
  <si>
    <t xml:space="preserve">nursery </t>
  </si>
  <si>
    <t>primary</t>
  </si>
  <si>
    <t>secondary</t>
  </si>
  <si>
    <t>special</t>
  </si>
  <si>
    <t>pru</t>
  </si>
  <si>
    <t>St. Joseph's RC Primary School</t>
  </si>
  <si>
    <t>St. Mary's &amp; St. John's All-through</t>
  </si>
  <si>
    <t>St Paul's CE Primary, NW7</t>
  </si>
  <si>
    <t>Childs Hill Primary School</t>
  </si>
  <si>
    <t>Hasmonean High School for Boys</t>
  </si>
  <si>
    <t>Free School-Special</t>
  </si>
  <si>
    <t>Ark Pioneer Academy</t>
  </si>
  <si>
    <t>Child's Hill School</t>
  </si>
  <si>
    <t>I18 - Additional Grants for Schools   TOTAL</t>
  </si>
  <si>
    <t>I18d - Other Additional Grants for Schools</t>
  </si>
  <si>
    <t>I18c - Additional Grants for Schools £1bn COVID-19 Catch-up</t>
  </si>
  <si>
    <t>Shalom Noam Primary School</t>
  </si>
  <si>
    <t>DFENo</t>
  </si>
  <si>
    <t>Schoolname</t>
  </si>
  <si>
    <t>School Cost Centre</t>
  </si>
  <si>
    <t>I18a</t>
  </si>
  <si>
    <t>I18b</t>
  </si>
  <si>
    <t>I18c</t>
  </si>
  <si>
    <t>I18d</t>
  </si>
  <si>
    <t>St Pauls CE Primary, NW7</t>
  </si>
  <si>
    <t>St. Pauls CE Primary School (N11)</t>
  </si>
  <si>
    <t>Total Budget Share</t>
  </si>
  <si>
    <t xml:space="preserve">I08a &amp; I08b - Income from Facilities &amp; Services </t>
  </si>
  <si>
    <t>As % of Total Rev. Income</t>
  </si>
  <si>
    <t>STATE-FUNDED PRIMARY AND SECONDARY, MAINTAINED SPECIAL SCHOOLS, SPECIAL ACADEMIES, PUPIL REFERRAL UNITS, GENERAL HOSPITAL SCHOOLS  AND ALTERNATIVE PROVISION ACADEMIES:</t>
  </si>
  <si>
    <t xml:space="preserve">NUMBER OF PUPILS ELIGIBLE FOR THE PUPIL PREMIUM IN 2020-21 AS AT THE JANUARY 2020 SCHOOL CENSUS </t>
  </si>
  <si>
    <t>(1) Includes pupils who are FSM Ever 6 and not adopted or LAC (see paragraph 4 of the 2020-21 conditions of grant)</t>
  </si>
  <si>
    <t>(2) Any child recorded as Service Child Ever6.</t>
  </si>
  <si>
    <t xml:space="preserve">(3) Any child recorded as adopted from care (and Residence Order / Special Guardianship Order). </t>
  </si>
  <si>
    <t>Jan 20 census data</t>
  </si>
  <si>
    <t>LA Number</t>
  </si>
  <si>
    <t>LA Name</t>
  </si>
  <si>
    <t xml:space="preserve"> Primary FSM Ever6 pupils</t>
  </si>
  <si>
    <t xml:space="preserve"> Secondary FSM Ever6 pupils</t>
  </si>
  <si>
    <t xml:space="preserve"> SC Ever6 pupils</t>
  </si>
  <si>
    <t>Post-LAC pupils</t>
  </si>
  <si>
    <t xml:space="preserve">Total Deprivation Pupil Premium Allocation </t>
  </si>
  <si>
    <t xml:space="preserve">Service child Pupil Premium Allocation </t>
  </si>
  <si>
    <t xml:space="preserve">Post-LAC Pupil Premium Allocation </t>
  </si>
  <si>
    <t>Total Pupil Premium allocation</t>
  </si>
  <si>
    <t>Total Pupil Premium Pupils</t>
  </si>
  <si>
    <t>DFC Number</t>
  </si>
  <si>
    <t>Count of ncyearactual</t>
  </si>
  <si>
    <t>ncyearactual</t>
  </si>
  <si>
    <t>NativeId</t>
  </si>
  <si>
    <t>S:\School Funding\Cycle 12-2020-21\Pupil Numbers\Copy of Main-Acde pupil numbers jan census 2020 CB.xlsx</t>
  </si>
  <si>
    <t>S:\School Funding\Cycle 12-2020-21\Pupil Premium\Dec 20 PP LA school level  AP LA level-v2 (version 1).xlsm</t>
  </si>
  <si>
    <t>CFR 2021-22 Benchmark Data Status Report</t>
  </si>
  <si>
    <t>LEA Number</t>
  </si>
  <si>
    <t>Estab Number</t>
  </si>
  <si>
    <t>Federated Submission</t>
  </si>
  <si>
    <t>Federated Schools</t>
  </si>
  <si>
    <t>Status</t>
  </si>
  <si>
    <t>Errors</t>
  </si>
  <si>
    <t>OK Errors</t>
  </si>
  <si>
    <t>Financial Year</t>
  </si>
  <si>
    <t>Input System</t>
  </si>
  <si>
    <t>Data Prep</t>
  </si>
  <si>
    <t>Data Version</t>
  </si>
  <si>
    <t>Full Year</t>
  </si>
  <si>
    <t>Cash Or Accrual</t>
  </si>
  <si>
    <t>Rates Exempt</t>
  </si>
  <si>
    <t>Insurance</t>
  </si>
  <si>
    <t>I08a</t>
  </si>
  <si>
    <t>I08b</t>
  </si>
  <si>
    <t>E28a</t>
  </si>
  <si>
    <t>E28b</t>
  </si>
  <si>
    <t xml:space="preserve"> CI04</t>
  </si>
  <si>
    <t>DeMinimis</t>
  </si>
  <si>
    <t>B01</t>
  </si>
  <si>
    <t>B02</t>
  </si>
  <si>
    <t>B03</t>
  </si>
  <si>
    <t>B05</t>
  </si>
  <si>
    <t>B06</t>
  </si>
  <si>
    <t>B07</t>
  </si>
  <si>
    <t>Total Revenue Outturn</t>
  </si>
  <si>
    <t>Total Capital Outturn</t>
  </si>
  <si>
    <t>Beya</t>
  </si>
  <si>
    <t>Yes</t>
  </si>
  <si>
    <t xml:space="preserve">3021001, 3021003  </t>
  </si>
  <si>
    <t>Authorised</t>
  </si>
  <si>
    <t>20212022</t>
  </si>
  <si>
    <t>XG21</t>
  </si>
  <si>
    <t>Y</t>
  </si>
  <si>
    <t>Final</t>
  </si>
  <si>
    <t>Accruals</t>
  </si>
  <si>
    <t>No</t>
  </si>
  <si>
    <t>Pavilion StudyCt PRU</t>
  </si>
  <si>
    <t>Northgate PRU</t>
  </si>
  <si>
    <t>Edgware Primary</t>
  </si>
  <si>
    <t>Garden Suburb Infant</t>
  </si>
  <si>
    <t>Manorside School</t>
  </si>
  <si>
    <t>Woodridge</t>
  </si>
  <si>
    <t>Whitings Hill</t>
  </si>
  <si>
    <t xml:space="preserve">3022071  , </t>
  </si>
  <si>
    <t>Beis Yaakov School</t>
  </si>
  <si>
    <t>All Saints' CE NW2</t>
  </si>
  <si>
    <t>St John's CE N11</t>
  </si>
  <si>
    <t>St John's CE N20</t>
  </si>
  <si>
    <t>St Mary's CE N3</t>
  </si>
  <si>
    <t>St Mary's CE EN4</t>
  </si>
  <si>
    <t>St Paul's CE N11</t>
  </si>
  <si>
    <t>St Paul's CE NW7</t>
  </si>
  <si>
    <t>St Andrew's CE School</t>
  </si>
  <si>
    <t>All Saints' CE N20</t>
  </si>
  <si>
    <t>Annunciation RC Infant</t>
  </si>
  <si>
    <t>Our Lady Of Lourdes</t>
  </si>
  <si>
    <t>St Agnes' RC School</t>
  </si>
  <si>
    <t>St Vincent's RC School</t>
  </si>
  <si>
    <t>St Theresa's RC School</t>
  </si>
  <si>
    <t>St Joseph's RC Primary</t>
  </si>
  <si>
    <t>Blessed Dominic RC</t>
  </si>
  <si>
    <t>Annunciation RC Junior</t>
  </si>
  <si>
    <t>Woodcroft</t>
  </si>
  <si>
    <t>Menorah High School</t>
  </si>
  <si>
    <t>St Michael's Catholic</t>
  </si>
  <si>
    <t>Finchley Catholic</t>
  </si>
  <si>
    <t>St James' Catholic</t>
  </si>
  <si>
    <t>Mathilda Marks Kennedy</t>
  </si>
  <si>
    <t>Menorah Foundation</t>
  </si>
  <si>
    <t>DfE Benchmarking Data 2021-22</t>
  </si>
  <si>
    <t>URN</t>
  </si>
  <si>
    <t>Analysis Period</t>
  </si>
  <si>
    <t>Number of Pupils</t>
  </si>
  <si>
    <t>2021 - 2022</t>
  </si>
  <si>
    <t>St Agnes' Catholic Primary School</t>
  </si>
  <si>
    <t>St John's CofE Primary and Nursery School</t>
  </si>
  <si>
    <t>Queenswell Federation</t>
  </si>
  <si>
    <t>FOR ALL SCHOOLS</t>
  </si>
  <si>
    <t>SOURCE:</t>
  </si>
  <si>
    <t>DfE 2021-22 Pupil Premium School Level Allocations March 22</t>
  </si>
  <si>
    <t xml:space="preserve">STATE-FUNDED PRIMARY AND SECONDARY, MAINTAINED SPECIAL SCHOOLS,NON MAINTAINED SPECIAL SCHOOL, SPECIAL ACADEMIES, PUPIL REFERRAL UNITS AND ALTERNATIVE PROVISION ACADEMIES (1)(2)(3)(4)(5)(6)(7): </t>
  </si>
  <si>
    <t>ILLUSTRATIVE NUMBER OF PUPILS ELIGIBLE FOR THE PUPIL PREMIUM IN 2021-22 (14)(15)(16)</t>
  </si>
  <si>
    <t>By School</t>
  </si>
  <si>
    <t>NOTES:</t>
  </si>
  <si>
    <t>All references to academies include Free Schools</t>
  </si>
  <si>
    <t>1. Includes middle schools as deemed.</t>
  </si>
  <si>
    <t>2. Includes primary academies (including Free Schools) opened uptill 01/02/22.</t>
  </si>
  <si>
    <t>3. Includes City Technology Colleges and secondary academies (including Free Schools) opened uptil 01/11/21</t>
  </si>
  <si>
    <t xml:space="preserve">4. Includes local authority maintained special schools. This does not include General Hospital schools. </t>
  </si>
  <si>
    <t>5. Includes special academies (including Free Schools) opened uptil 01/02/22.</t>
  </si>
  <si>
    <t>6. Includes AP academies which were formerly PRU which have converted and gained academy status.</t>
  </si>
  <si>
    <t>7. Includes non maintained special schools.</t>
  </si>
  <si>
    <t>8. Full time equivalent (FTE) number of pupils aged 4 and over as at 31 August 2020 in Reception to Year 11 (where National Curriculum year groups do not apply, includes pupils aged 4 to 15) as recorded on the School and PRU Census. FTEs are calculated on the same basis as the Dedicated Schools Grant.</t>
  </si>
  <si>
    <t>9. Full time equivalent (FTE) number of pupils aged 4 and over as at 31 August 2020 in Reception to Year 11 (where National Curriculum year groups do not apply pupils aged 4 to 15) as recorded on the October 20 for mainstream and special schools and on January 2021 School Census for PRUs and APs who are known to have been eligible for Free School Meals (FSM) in the previous six years (FSM eligibility in the previous six years will be determined by those pupils recorded on the October 20/January 2021 School and AP Census who were recorded as known to be eligible for FSM on any of the censuses (School and AP censuses) since Spring 2015/Summer 2015, known as Ever 6). FTEs are calculated on the same basis as the Dedicated Schools Grant.</t>
  </si>
  <si>
    <r>
      <t>*</t>
    </r>
    <r>
      <rPr>
        <sz val="8"/>
        <color rgb="FF000000"/>
        <rFont val="Arial"/>
        <family val="2"/>
      </rPr>
      <t xml:space="preserve">Deprivation numbers also include pupils with No Recourse to Public Fund (NRPF) </t>
    </r>
  </si>
  <si>
    <t>10. Pupils in National Curriculum year groups Reception to 6 and pupils not following the National Curriculum aged 4 to 10.</t>
  </si>
  <si>
    <t>11. Pupils in National Curriculum year groups 7 to 11 and pupils not following the National Curriculum aged 11 to 15.</t>
  </si>
  <si>
    <t>12. Each primary FSM Ever 6 eligible pupil will attract £1345 through the Pupil Premium. For pupils in maintained primary schools, maintained secondary schools, maintained special schools and PRUs, funding will be passed on via the local authorities. For pupils in academies, special academies and AP academies, the EFA will pass funding directly to the setting. For pupils in AP settings, funding will be allocated to local authorities to decide whether to pass on funding to the education settings or to hold back funding to manage centrally for the benefit of those pupils it has responsibility for.</t>
  </si>
  <si>
    <t>13. Each secondary FSM Ever 6 eligible pupil will attract £955 through the Pupil Premium. For pupils in maintained primary schools, maintained secondary schools, maintained special schools and PRUs, funding will be passed on via the local authorities. For pupils in academies, special academies and AP academies, the EFA will pass funding directly to the setting. For pupils in AP settings, funding will be allocated to local authorities to decide whether to pass on funding to the education settings or to hold back funding to manage centrally for the benefit of those pupils it has responsibility for.</t>
  </si>
  <si>
    <t>14. The number of eligible Looked After Children and FSM pupils recorded on the AP Census are not included in school level tables (although are eligible for the Pupil Premium) as they are taken from local authority returns.</t>
  </si>
  <si>
    <t>15. The number of service children are not provided at school level due to data protection issues.</t>
  </si>
  <si>
    <t>16. General hospital schools pupils are not included in the tables (although they remain eligible for the Pupil Premium). Information relating to General hospital schools is taken from the School Level Annual School Census (SLASC), which does not provide information relating to the year group or age of those eligible for Deprivation Pupil Premium.</t>
  </si>
  <si>
    <r>
      <t>Deprivation Pupil Premium (8)(16)</t>
    </r>
    <r>
      <rPr>
        <sz val="10"/>
        <color rgb="FF000000"/>
        <rFont val="Arial"/>
        <family val="2"/>
      </rPr>
      <t>*</t>
    </r>
  </si>
  <si>
    <t>Total Deprivation Pupil Premium</t>
  </si>
  <si>
    <t>Pupils in Primary year groups</t>
  </si>
  <si>
    <t>Pupils in Secondary year groups</t>
  </si>
  <si>
    <t>LA</t>
  </si>
  <si>
    <t>Local Authority</t>
  </si>
  <si>
    <t>Estab</t>
  </si>
  <si>
    <t>Parliamentary Constituency</t>
  </si>
  <si>
    <t>Number of pupils on roll (7)</t>
  </si>
  <si>
    <t>Number of Primary pupils on roll (9)</t>
  </si>
  <si>
    <t>Number of Primary pupils eligible for the Deprivation Pupil Premium</t>
  </si>
  <si>
    <t>Percentage of Primary pupils eligible for the Deprivation Pupil Premium</t>
  </si>
  <si>
    <t>Deprivation Pupil Premium Allocation (11)</t>
  </si>
  <si>
    <t>Number of  Secondary pupils on roll (10)</t>
  </si>
  <si>
    <t>Number of Secondary pupils eligible for the Deprivation Pupil Premium</t>
  </si>
  <si>
    <t>Percentage of Secondary pupils eligible for the Deprivation Pupil Premium</t>
  </si>
  <si>
    <t>Deprivation Pupil Premium Allocation (12)</t>
  </si>
  <si>
    <t>Total number of pupils eligible for the Deprivation Pupil Premium</t>
  </si>
  <si>
    <t>Total allocation for the Deprivation Pupil Premium</t>
  </si>
  <si>
    <t>Mainstream</t>
  </si>
  <si>
    <t>Hendon</t>
  </si>
  <si>
    <t>Finchley and Golders Green</t>
  </si>
  <si>
    <t>Chipping Barnet</t>
  </si>
  <si>
    <t>Queenswell Federation (Inf &amp; Jr)</t>
  </si>
  <si>
    <t>Brent North</t>
  </si>
  <si>
    <t>Brent Central</t>
  </si>
  <si>
    <t>Enfield, Southgate</t>
  </si>
  <si>
    <t xml:space="preserve">Special </t>
  </si>
  <si>
    <t>E14 Contract Cleaning</t>
  </si>
  <si>
    <t>E14 - Contract Cleaning</t>
  </si>
  <si>
    <t>E25 - Catering Supplies</t>
  </si>
  <si>
    <t>All through</t>
  </si>
  <si>
    <t>All Through</t>
  </si>
  <si>
    <t>CFR 2022-23 Benchmark Data Status Report</t>
  </si>
  <si>
    <t>20222023</t>
  </si>
  <si>
    <t>Woodcroft Primary</t>
  </si>
  <si>
    <t>St Marys and St Johns Primary</t>
  </si>
  <si>
    <t>Total Revenue Outturn EXC COMMUNITY FOCUS</t>
  </si>
  <si>
    <t>SOURCE</t>
  </si>
  <si>
    <t>Pupil_Premium_FY_2022_to_2023_final_allocations.ods (live.com)</t>
  </si>
  <si>
    <t>Pupil Premium allocations for 2022 to 2023</t>
  </si>
  <si>
    <t>Deprivation Pupil Premium</t>
  </si>
  <si>
    <t>Unique Reference Number (URN)</t>
  </si>
  <si>
    <t>Local Authority Establishment Number (LAEstab)</t>
  </si>
  <si>
    <t>Local Authority Code</t>
  </si>
  <si>
    <t>Local Authority Name</t>
  </si>
  <si>
    <t>Establishment Number</t>
  </si>
  <si>
    <t>Number of pupils on roll</t>
  </si>
  <si>
    <t>Number of Primary pupils on roll</t>
  </si>
  <si>
    <t>Percentage of Primary pupils eligible for the Deprivation Pupil Premium (%)</t>
  </si>
  <si>
    <t>Deprivation Pupil Premium Allocation (£)</t>
  </si>
  <si>
    <t>Number of Secondary pupils on roll</t>
  </si>
  <si>
    <t>Percentage of Secondary pupils eligible for the Deprivation Pupil Premium (%)</t>
  </si>
  <si>
    <t>Total allocation for the Deprivation Pupil Premium (£)</t>
  </si>
  <si>
    <t xml:space="preserve">St. Mary's &amp; St. John's (NW4) </t>
  </si>
  <si>
    <t>CFR 2023-24 Benchmark Data Status Report</t>
  </si>
  <si>
    <t>20232024</t>
  </si>
  <si>
    <t>XG24</t>
  </si>
  <si>
    <t xml:space="preserve">3022011  , </t>
  </si>
  <si>
    <t xml:space="preserve">3022009  , </t>
  </si>
  <si>
    <t xml:space="preserve">3022077  , </t>
  </si>
  <si>
    <t xml:space="preserve">3022055  , </t>
  </si>
  <si>
    <t xml:space="preserve">3022044  , </t>
  </si>
  <si>
    <t xml:space="preserve">3022043  , </t>
  </si>
  <si>
    <t xml:space="preserve">3022037  , </t>
  </si>
  <si>
    <t xml:space="preserve">3022029  , </t>
  </si>
  <si>
    <t>St John's CofE Junior Mixed and Infant School N11</t>
  </si>
  <si>
    <t>St John's CofE Primary and Nursery School N20</t>
  </si>
  <si>
    <t>St Mary's CofE Primary School N3</t>
  </si>
  <si>
    <t>Our Lady Of Lourdes RC School</t>
  </si>
  <si>
    <t xml:space="preserve">3023507  , </t>
  </si>
  <si>
    <t xml:space="preserve">3023501  , </t>
  </si>
  <si>
    <t>Menorah Primary School for Girls</t>
  </si>
  <si>
    <t xml:space="preserve">3022061  , </t>
  </si>
  <si>
    <t>Mathilda Marks Kennedy Jewish Primary School</t>
  </si>
  <si>
    <t>The Windmill School</t>
  </si>
  <si>
    <t>Wren Academy Finchley</t>
  </si>
  <si>
    <t>Pupil premium: allocations and conditions of grant 2023 to 2024 - GOV.UK (www.gov.uk)</t>
  </si>
  <si>
    <t>Pupil Premium allocations for financial year 2023 to 2024  (March 2024)</t>
  </si>
  <si>
    <t>S:\School Funding\Cycle 15 - 2023-24\Grants\Early Years Supplementary Grant\Early Years - autumn and spring hours</t>
  </si>
  <si>
    <t>Provider</t>
  </si>
  <si>
    <t>Maintained/ Academy</t>
  </si>
  <si>
    <t>1st Estimates</t>
  </si>
  <si>
    <t>80% Advanced</t>
  </si>
  <si>
    <t>Child Adjustment or B/F</t>
  </si>
  <si>
    <t>Split Payment 1</t>
  </si>
  <si>
    <t>January Total Payment 1</t>
  </si>
  <si>
    <t>2nd Estimates</t>
  </si>
  <si>
    <t>Split Payment 2 February</t>
  </si>
  <si>
    <t>Total Estimate payments</t>
  </si>
  <si>
    <t>No. Of Children</t>
  </si>
  <si>
    <t>Term Length (weeks)</t>
  </si>
  <si>
    <t>Universal Funded Hours</t>
  </si>
  <si>
    <t>Universal Funding Amount @ Provider Rate</t>
  </si>
  <si>
    <t>Universal Funding From Child Weightings</t>
  </si>
  <si>
    <t>Extended Funded Hours</t>
  </si>
  <si>
    <t>Extended Funding Amount @ Provider Rate</t>
  </si>
  <si>
    <t>Extended Funding From Child Weightings</t>
  </si>
  <si>
    <t>Deprivation (IDACI)</t>
  </si>
  <si>
    <t>EYPP</t>
  </si>
  <si>
    <t>Total Actual Funding</t>
  </si>
  <si>
    <t>Adjustments Amount</t>
  </si>
  <si>
    <t>March 20% Balance Payment</t>
  </si>
  <si>
    <t>Total Actual Funding inc. Adjustments</t>
  </si>
  <si>
    <t>All Saints C Of E Primary School - 5282 - Maintained Nursery Class</t>
  </si>
  <si>
    <t>M</t>
  </si>
  <si>
    <t>Annuciation Catholic Infant School - 5331 - Maintained Nursery Class</t>
  </si>
  <si>
    <t>Barnfield Primary School - 5281 - Maintained Nursery Class</t>
  </si>
  <si>
    <t>Beis Soroh Schneirer - 1832 - Independant School - Nursery Unit</t>
  </si>
  <si>
    <t>I</t>
  </si>
  <si>
    <t>Beis Yaakov Primary School - 5238 - Maintained Nursery Class</t>
  </si>
  <si>
    <t>Beit Shvidler Primary School - 5459 - Maintained Nursery Class</t>
  </si>
  <si>
    <t>Bell Lane Children's Centre - 4176 - Children's Centre - Main Centre Site</t>
  </si>
  <si>
    <t>Blessed Dominic Rc School - 5285 - Maintained Nursery Class</t>
  </si>
  <si>
    <t>Broadfields Primary School - 5286 - Maintained Nursery Class</t>
  </si>
  <si>
    <t>Brookhill Nursery School - 5352 - Nursery School</t>
  </si>
  <si>
    <t>Brookland Infants &amp; Primary School - 5287 - Maintained Nursery Class</t>
  </si>
  <si>
    <t>Brunswick Park - 5288 - Maintained Nursery Class</t>
  </si>
  <si>
    <t>Childs Hill School - 5289 - Maintained Nursery Class</t>
  </si>
  <si>
    <t>Christ Church Primary School - 5290 - Maintained Nursery Class</t>
  </si>
  <si>
    <t>Claremont Primary School - 5291 - Maintained Nursery Class</t>
  </si>
  <si>
    <t>Colindale Primary School - 5292 - Maintained Nursery Class</t>
  </si>
  <si>
    <t>Coppetts Wood - 5293 - Maintained Nursery Class</t>
  </si>
  <si>
    <t>Deansbrook - 5294 - Maintained Nursery Class</t>
  </si>
  <si>
    <t>Dollis Infant - 1669 - Primary School</t>
  </si>
  <si>
    <t>Edgware Jewish Girls - Beis Chinuch - 6671 - Independant School - Nursery Unit</t>
  </si>
  <si>
    <t>Edgware Primary School - 5296 - Maintained Nursery Class</t>
  </si>
  <si>
    <t>Fairway Primary School - 5297 - Maintained Nursery Class</t>
  </si>
  <si>
    <t>Finchley Yochien - 82 - Independent School</t>
  </si>
  <si>
    <t>Frith Manor - 5298 - Maintained Nursery Class</t>
  </si>
  <si>
    <t>Goldbeaters - 5299 - Maintained Nursery Class</t>
  </si>
  <si>
    <t>Hampden Way Nursery - 6163 - Nursery School</t>
  </si>
  <si>
    <t>Hasmonean Primary School - 5330 - Maintained Nursery Class</t>
  </si>
  <si>
    <t>Hendon Preparatory And Pre-School - 111 - Independent School</t>
  </si>
  <si>
    <t>Hollickwood Primary School - 5300 - Maintained Nursery Class</t>
  </si>
  <si>
    <t>Holly Park - 5301 - Maintained Nursery Class</t>
  </si>
  <si>
    <t>Holy Trinity Ce - 5302 - Maintained Nursery Class</t>
  </si>
  <si>
    <t>Independent Jewish Day - 5303 - Maintained Nursery Class</t>
  </si>
  <si>
    <t>King Alfred School - 537 - Independent School</t>
  </si>
  <si>
    <t>Livingstone Primary School - 1676 - Primary School</t>
  </si>
  <si>
    <t>Lyonsdown School - 419 - Independant School - Nursery Unit</t>
  </si>
  <si>
    <t>Manorside Primary School - 5305 - Maintained Nursery Class</t>
  </si>
  <si>
    <t>Martin Primary School - 5306 - Maintained Nursery Class</t>
  </si>
  <si>
    <t>Mathilda Marks Kennedy - 5307 - Maintained Nursery Class</t>
  </si>
  <si>
    <t>Menorah Foundation - 5308 - Maintained Nursery Class</t>
  </si>
  <si>
    <t>Menorah Primary School - 5309 - Maintained Nursery Class</t>
  </si>
  <si>
    <t>Millbrook Park Church Of England Primary School - 7026 - Maintained Nursery Class</t>
  </si>
  <si>
    <t xml:space="preserve"> </t>
  </si>
  <si>
    <t>Moss Hall Nursery School - 1764 - Nursery School</t>
  </si>
  <si>
    <t>Nancy Reuben Primary School - 369 - Independent School</t>
  </si>
  <si>
    <t>Newstead Children's Centre - 1343 - Day Nursery</t>
  </si>
  <si>
    <t>Noam Primary School - 7761 - Primary School</t>
  </si>
  <si>
    <t>Northside Primary School - 5310 - Maintained Nursery Class</t>
  </si>
  <si>
    <t>Our Lady Of Lourdes Catholic Primary School - 5461 - Maintained Nursery Class</t>
  </si>
  <si>
    <t>Parkfield Primary Academy - 5311 - Academy</t>
  </si>
  <si>
    <t>Peninim - 5813 - Independant School - Nursery Unit</t>
  </si>
  <si>
    <t>Queenswell Infant School - 1689 - Maintained Nursery Class</t>
  </si>
  <si>
    <t>Rosh Pinah Primary School - 5313 - Maintained Nursery Class</t>
  </si>
  <si>
    <t>St Agnes Catholic School - 5314 - Maintained Nursery Class</t>
  </si>
  <si>
    <t>St Anthony's School For Girls - 8056 - Independent School</t>
  </si>
  <si>
    <t>St Catherine's Catholic - 5315 - Maintained Nursery Class</t>
  </si>
  <si>
    <t>St Johns Ce - 5316 - Maintained Nursery Class</t>
  </si>
  <si>
    <t>St Johns Ce N20 - 5317 - Maintained Nursery Class</t>
  </si>
  <si>
    <t>St Joseph's Catholic School - 5329 - Maintained Nursery Class</t>
  </si>
  <si>
    <t>St Margaret's Nursery School - 1776 - Nursery School</t>
  </si>
  <si>
    <t>St Martin's School - 543 - Independant School - Nursery Unit</t>
  </si>
  <si>
    <t>St Mary's &amp; John's Cofe Primary School - 5319 - Maintained Nursery Class</t>
  </si>
  <si>
    <t>St Mary's Ce N3 - 5318 - Maintained Nursery Class</t>
  </si>
  <si>
    <t>St Paul's Ce N11 - 5320 - Maintained Nursery Class</t>
  </si>
  <si>
    <t>Summerside Academy - 5321 - Maintained Nursery Class</t>
  </si>
  <si>
    <t>Sunnyfields - 5322 - Maintained Nursery Class</t>
  </si>
  <si>
    <t>The Hyde - 5323 - Maintained Nursery Class</t>
  </si>
  <si>
    <t>The Orion - 5324 - Maintained Nursery Class</t>
  </si>
  <si>
    <t>Tudor Primary School - 5325 - Maintained Nursery Class</t>
  </si>
  <si>
    <t>Underhill Infants School &amp; Children's Centre - 7956 - Maintained Nursery Class</t>
  </si>
  <si>
    <t>Wessex Gardens - 5326 - Maintained Nursery Class</t>
  </si>
  <si>
    <t>Whitings Hill - 5327 - Maintained Nursery Class</t>
  </si>
  <si>
    <t>Woodcroft - 1766 - Maintained Nursery Class</t>
  </si>
  <si>
    <t>Final Budget Share</t>
  </si>
  <si>
    <t>Benchmark Data Status Report</t>
  </si>
  <si>
    <t>E20A</t>
  </si>
  <si>
    <t>E20B</t>
  </si>
  <si>
    <t>E20C</t>
  </si>
  <si>
    <t>E20D</t>
  </si>
  <si>
    <t>E20E</t>
  </si>
  <si>
    <t>E20F</t>
  </si>
  <si>
    <t>E20G</t>
  </si>
  <si>
    <t>CE04A</t>
  </si>
  <si>
    <t>CE04B</t>
  </si>
  <si>
    <t>CE04C</t>
  </si>
  <si>
    <t>CE04D</t>
  </si>
  <si>
    <t>CE04E</t>
  </si>
  <si>
    <t>20242025</t>
  </si>
  <si>
    <t>XG25</t>
  </si>
  <si>
    <t>St Mary's CofE Primary School, East Barnet EN4</t>
  </si>
  <si>
    <t>Trent  CofE Primary School</t>
  </si>
  <si>
    <t>All Saints' CofE Nursery and Primary School N20</t>
  </si>
  <si>
    <t>St Catherine's R C School</t>
  </si>
  <si>
    <t>St Mary's &amp; St John's CofE School</t>
  </si>
  <si>
    <t>Pupil Premium allocations for 2024 to 2025  (March 2025)</t>
  </si>
  <si>
    <t>Hornsey and Friern Barnet</t>
  </si>
  <si>
    <t>Saracens Bell Lane</t>
  </si>
  <si>
    <t>Brent East</t>
  </si>
  <si>
    <t>Southgate and Wood Green</t>
  </si>
  <si>
    <t>Pupil Nos 2024-25</t>
  </si>
  <si>
    <t>Rev Balance b/fwd from 2023-24</t>
  </si>
  <si>
    <r>
      <t xml:space="preserve">Child Adjustment or </t>
    </r>
    <r>
      <rPr>
        <b/>
        <sz val="11"/>
        <color rgb="FFFF0000"/>
        <rFont val="Calibri"/>
        <family val="2"/>
        <scheme val="minor"/>
      </rPr>
      <t>B/F</t>
    </r>
  </si>
  <si>
    <t>JANUARY Split Payment 1</t>
  </si>
  <si>
    <t>JANUARY        Total Payment 1</t>
  </si>
  <si>
    <t>FEBRUARY                  Split Payment 2</t>
  </si>
  <si>
    <t>Universal Funding Amount</t>
  </si>
  <si>
    <t>Extended Funding Amount</t>
  </si>
  <si>
    <t>Total Funded Hours</t>
  </si>
  <si>
    <t>Total  Funding  Amount</t>
  </si>
  <si>
    <t>December 20% Balance Payment</t>
  </si>
  <si>
    <t xml:space="preserve">Total Funding </t>
  </si>
  <si>
    <t>Beis Soroh Schneirer - 1832 - Independent School</t>
  </si>
  <si>
    <t>Broadfields Primary School - 5286 - Independent School</t>
  </si>
  <si>
    <t>Deansbrook Infant School - 5294 - Maintained Nursery Class</t>
  </si>
  <si>
    <t>Finchley Yochien - 82 - Nursery School</t>
  </si>
  <si>
    <t>Livingstone Primary and Nursery  School - 1676 - Primary School</t>
  </si>
  <si>
    <t>Millbrook Park Church Of England Primary School - 7026 - Independent School</t>
  </si>
  <si>
    <t>Queenswell Infant &amp; Nursery School - 1689 - Maintained Nursery Class</t>
  </si>
  <si>
    <t>St Johns Ce N20 - 5317 - Primary School</t>
  </si>
  <si>
    <t>St Theresa's Rc School Nursery - 8327 - Maintained Nursery Class</t>
  </si>
  <si>
    <t>St Vincents Catholic Primary School - 8293 - Maintained Nursery Class</t>
  </si>
  <si>
    <t>Underhill School &amp; Children''s Centre - 7956 - Maintained Nursery Class</t>
  </si>
  <si>
    <t>Rev Balance C/fwd to 2025-26</t>
  </si>
  <si>
    <t>Final Budget Share 2024-25</t>
  </si>
  <si>
    <t>2024-25 CFR Data Return to DfE</t>
  </si>
  <si>
    <t>Local Benchmarking Data for Barnet Schools - As per Income and Expenditure in 2024-25</t>
  </si>
  <si>
    <t>Pupil Premium Free School Meals  Data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</si>
</sst>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5" formatCode="&quot;£&quot;#,##0;\-&quot;£&quot;#,##0"/>
    <numFmt numFmtId="42" formatCode="_-&quot;£&quot;* #,##0_-;\-&quot;£&quot;* #,##0_-;_-&quot;£&quot;* &quot;-&quot;_-;_-@_-"/>
    <numFmt numFmtId="44" formatCode="_-&quot;£&quot;* #,##0.00_-;\-&quot;£&quot;* #,##0.00_-;_-&quot;£&quot;* &quot;-&quot;??_-;_-@_-"/>
    <numFmt numFmtId="43" formatCode="_-* #,##0.00_-;\-* #,##0.00_-;_-* &quot;-&quot;??_-;_-@_-"/>
    <numFmt numFmtId="164" formatCode="&quot;£&quot;#,##0.00"/>
    <numFmt numFmtId="165" formatCode="_-* #,##0_-;\-* #,##0_-;_-* &quot;-&quot;??_-;_-@_-"/>
    <numFmt numFmtId="166" formatCode="&quot;£&quot;#,##0"/>
    <numFmt numFmtId="167" formatCode="0.0%"/>
    <numFmt numFmtId="168" formatCode="0.0"/>
    <numFmt numFmtId="169" formatCode="_(&quot;$&quot;* #,##0.00_);_(&quot;$&quot;* \(#,##0.00\);_(&quot;$&quot;* &quot;-&quot;??_);_(@_)"/>
    <numFmt numFmtId="170" formatCode="_(* #,##0.00_);_(* \(#,##0.00\);_(* &quot;-&quot;??_);_(@_)"/>
    <numFmt numFmtId="171" formatCode="#,##0.00_ ;[Red]\-#,##0.00\ "/>
    <numFmt numFmtId="172" formatCode="#,##0.0_);\(#,##0.0\)"/>
    <numFmt numFmtId="173" formatCode="_(* #,##0.0000_);_(* \(#,##0.0000\);_(* &quot;-&quot;??_);_(@_)"/>
    <numFmt numFmtId="174" formatCode="#."/>
    <numFmt numFmtId="175" formatCode="0.0%;\(0.0%\)"/>
    <numFmt numFmtId="176" formatCode="_-* #,##0\ _F_-;\-* #,##0\ _F_-;_-* &quot;-&quot;\ _F_-;_-@_-"/>
    <numFmt numFmtId="177" formatCode="_-* #,##0.00\ _F_-;\-* #,##0.00\ _F_-;_-* &quot;-&quot;??\ _F_-;_-@_-"/>
    <numFmt numFmtId="178" formatCode="_-* #,##0\ &quot;F&quot;_-;\-* #,##0\ &quot;F&quot;_-;_-* &quot;-&quot;\ &quot;F&quot;_-;_-@_-"/>
    <numFmt numFmtId="179" formatCode="_-* #,##0.00\ &quot;F&quot;_-;\-* #,##0.00\ &quot;F&quot;_-;_-* &quot;-&quot;??\ &quot;F&quot;_-;_-@_-"/>
    <numFmt numFmtId="180" formatCode="0.00_)"/>
    <numFmt numFmtId="181" formatCode="_ * #,##0.00_ ;_ * \-#,##0.00_ ;_ * &quot;-&quot;??_ ;_ @_ "/>
    <numFmt numFmtId="182" formatCode="_ * #,##0_ ;_ * \-#,##0_ ;_ * &quot;-&quot;_ ;_ @_ "/>
    <numFmt numFmtId="183" formatCode="_(&quot;Rp&quot;* #,##0.00_);_(&quot;Rp&quot;* \(#,##0.00\);_(&quot;Rp&quot;* &quot;-&quot;??_);_(@_)"/>
    <numFmt numFmtId="184" formatCode="dd\-mmm\-yyyy"/>
    <numFmt numFmtId="185" formatCode="0.000000000"/>
    <numFmt numFmtId="186" formatCode="_(* #,##0.00000_);_(* \(#,##0.00000\);_(* &quot;-&quot;??_);_(@_)"/>
    <numFmt numFmtId="187" formatCode="_-[$€-2]* #,##0.00_-;\-[$€-2]* #,##0.00_-;_-[$€-2]* &quot;-&quot;??_-"/>
    <numFmt numFmtId="188" formatCode="#,##0;[Red]\(#,##0\)"/>
    <numFmt numFmtId="189" formatCode="#,##0_ ;[Red]\-#,##0\ "/>
    <numFmt numFmtId="190" formatCode="#,##0.00;[Red]\(#,##0.00\)"/>
    <numFmt numFmtId="191" formatCode="_(&quot;£&quot;* #,##0.00_);_(&quot;£&quot;* \(#,##0.00\);_(&quot;£&quot;* &quot;-&quot;??_);_(@_)"/>
    <numFmt numFmtId="192" formatCode="#,##0.0"/>
    <numFmt numFmtId="193" formatCode="[$£]#,##0"/>
    <numFmt numFmtId="194" formatCode="&quot;£&quot;#,##0.0"/>
    <numFmt numFmtId="195" formatCode="[$-10409]&quot;£&quot;#,##0.00"/>
  </numFmts>
  <fonts count="16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14.5"/>
      <color indexed="12"/>
      <name val="Arial"/>
      <family val="2"/>
    </font>
    <font>
      <b/>
      <sz val="14"/>
      <name val="Arial"/>
      <family val="2"/>
    </font>
    <font>
      <b/>
      <sz val="12"/>
      <name val="Arial"/>
      <family val="2"/>
    </font>
    <font>
      <b/>
      <sz val="12"/>
      <color indexed="12"/>
      <name val="Arial"/>
      <family val="2"/>
    </font>
    <font>
      <b/>
      <u/>
      <sz val="12"/>
      <name val="Arial"/>
      <family val="2"/>
    </font>
    <font>
      <b/>
      <sz val="12"/>
      <color indexed="54"/>
      <name val="Arial"/>
      <family val="2"/>
    </font>
    <font>
      <sz val="12"/>
      <name val="Arial"/>
      <family val="2"/>
    </font>
    <font>
      <sz val="12"/>
      <name val="Arial"/>
      <family val="2"/>
    </font>
    <font>
      <sz val="12"/>
      <color indexed="8"/>
      <name val="Arial"/>
      <family val="2"/>
    </font>
    <font>
      <b/>
      <sz val="12"/>
      <color indexed="12"/>
      <name val="Arial"/>
      <family val="2"/>
    </font>
    <font>
      <b/>
      <sz val="12"/>
      <color indexed="54"/>
      <name val="Arial"/>
      <family val="2"/>
    </font>
    <font>
      <b/>
      <sz val="12"/>
      <name val="Arial"/>
      <family val="2"/>
    </font>
    <font>
      <b/>
      <sz val="10"/>
      <name val="Arial"/>
      <family val="2"/>
    </font>
    <font>
      <sz val="10"/>
      <name val="Arial"/>
      <family val="2"/>
    </font>
    <font>
      <b/>
      <sz val="10"/>
      <color indexed="12"/>
      <name val="Arial"/>
      <family val="2"/>
    </font>
    <font>
      <sz val="12"/>
      <color indexed="12"/>
      <name val="Arial"/>
      <family val="2"/>
    </font>
    <font>
      <b/>
      <sz val="10"/>
      <name val="Arial"/>
      <family val="2"/>
    </font>
    <font>
      <b/>
      <sz val="10"/>
      <color indexed="9"/>
      <name val="Arial"/>
      <family val="2"/>
    </font>
    <font>
      <u/>
      <sz val="10"/>
      <color indexed="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1"/>
      <name val="System"/>
      <family val="2"/>
    </font>
    <font>
      <i/>
      <sz val="11"/>
      <color indexed="23"/>
      <name val="Calibri"/>
      <family val="2"/>
    </font>
    <font>
      <sz val="9"/>
      <color indexed="18"/>
      <name val="Arial"/>
      <family val="2"/>
    </font>
    <font>
      <sz val="11"/>
      <color indexed="17"/>
      <name val="Calibri"/>
      <family val="2"/>
    </font>
    <font>
      <b/>
      <sz val="8"/>
      <name val="Arial"/>
      <family val="2"/>
    </font>
    <font>
      <sz val="8"/>
      <name val="Arial"/>
      <family val="2"/>
    </font>
    <font>
      <b/>
      <sz val="15"/>
      <color indexed="56"/>
      <name val="Calibri"/>
      <family val="2"/>
    </font>
    <font>
      <b/>
      <sz val="13"/>
      <color indexed="56"/>
      <name val="Calibri"/>
      <family val="2"/>
    </font>
    <font>
      <b/>
      <sz val="11"/>
      <color indexed="56"/>
      <name val="Calibri"/>
      <family val="2"/>
    </font>
    <font>
      <sz val="10"/>
      <color indexed="18"/>
      <name val="System"/>
      <family val="2"/>
    </font>
    <font>
      <sz val="9"/>
      <color indexed="12"/>
      <name val="Arial"/>
      <family val="2"/>
    </font>
    <font>
      <sz val="11"/>
      <color indexed="52"/>
      <name val="Calibri"/>
      <family val="2"/>
    </font>
    <font>
      <i/>
      <sz val="10"/>
      <color indexed="17"/>
      <name val="System"/>
      <family val="2"/>
    </font>
    <font>
      <sz val="11"/>
      <color indexed="60"/>
      <name val="Calibri"/>
      <family val="2"/>
    </font>
    <font>
      <b/>
      <sz val="11"/>
      <color indexed="63"/>
      <name val="Calibri"/>
      <family val="2"/>
    </font>
    <font>
      <sz val="10"/>
      <color indexed="14"/>
      <name val="System"/>
      <family val="2"/>
    </font>
    <font>
      <b/>
      <sz val="18"/>
      <color indexed="56"/>
      <name val="Cambria"/>
      <family val="2"/>
    </font>
    <font>
      <b/>
      <sz val="11"/>
      <color indexed="8"/>
      <name val="Calibri"/>
      <family val="2"/>
    </font>
    <font>
      <sz val="9"/>
      <name val="Arial"/>
      <family val="2"/>
    </font>
    <font>
      <sz val="10"/>
      <color indexed="17"/>
      <name val="System"/>
      <family val="2"/>
    </font>
    <font>
      <sz val="11"/>
      <color indexed="10"/>
      <name val="Calibri"/>
      <family val="2"/>
    </font>
    <font>
      <sz val="10"/>
      <color indexed="9"/>
      <name val="Arial"/>
      <family val="2"/>
    </font>
    <font>
      <sz val="10"/>
      <name val="Arial"/>
      <family val="2"/>
    </font>
    <font>
      <b/>
      <sz val="12"/>
      <color indexed="9"/>
      <name val="Arial"/>
      <family val="2"/>
    </font>
    <font>
      <sz val="10"/>
      <name val="Times New Roman"/>
      <family val="1"/>
    </font>
    <font>
      <sz val="12"/>
      <color indexed="9"/>
      <name val="Arial"/>
      <family val="2"/>
    </font>
    <font>
      <sz val="12"/>
      <color indexed="20"/>
      <name val="Arial"/>
      <family val="2"/>
    </font>
    <font>
      <b/>
      <sz val="12"/>
      <color indexed="52"/>
      <name val="Arial"/>
      <family val="2"/>
    </font>
    <font>
      <sz val="9"/>
      <name val="Times New Roman"/>
      <family val="1"/>
    </font>
    <font>
      <b/>
      <sz val="12"/>
      <color indexed="8"/>
      <name val="Arial"/>
      <family val="2"/>
    </font>
    <font>
      <i/>
      <sz val="12"/>
      <color indexed="23"/>
      <name val="Arial"/>
      <family val="2"/>
    </font>
    <font>
      <sz val="9"/>
      <color indexed="12"/>
      <name val="Times New Roman"/>
      <family val="1"/>
    </font>
    <font>
      <b/>
      <sz val="14"/>
      <color indexed="10"/>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color indexed="8"/>
      <name val="Arial"/>
      <family val="2"/>
    </font>
    <font>
      <b/>
      <sz val="12"/>
      <color indexed="63"/>
      <name val="Arial"/>
      <family val="2"/>
    </font>
    <font>
      <b/>
      <sz val="18"/>
      <color indexed="8"/>
      <name val="Cambria"/>
      <family val="1"/>
    </font>
    <font>
      <b/>
      <sz val="9"/>
      <name val="Times New Roman"/>
      <family val="1"/>
    </font>
    <font>
      <sz val="12"/>
      <color indexed="10"/>
      <name val="Arial"/>
      <family val="2"/>
    </font>
    <font>
      <sz val="10"/>
      <color indexed="8"/>
      <name val="Times New Roman"/>
      <family val="1"/>
    </font>
    <font>
      <b/>
      <sz val="7"/>
      <name val="Geometr706 Md BT"/>
    </font>
    <font>
      <sz val="10"/>
      <name val="Helv"/>
    </font>
    <font>
      <sz val="1"/>
      <color indexed="16"/>
      <name val="Courier"/>
      <family val="3"/>
    </font>
    <font>
      <b/>
      <sz val="12"/>
      <name val="Helv"/>
    </font>
    <font>
      <sz val="11"/>
      <color indexed="62"/>
      <name val="Calibri"/>
      <family val="2"/>
    </font>
    <font>
      <b/>
      <i/>
      <sz val="16"/>
      <name val="Helv"/>
    </font>
    <font>
      <sz val="8"/>
      <color indexed="72"/>
      <name val="MS Sans Serif"/>
      <family val="2"/>
    </font>
    <font>
      <sz val="12"/>
      <color indexed="21"/>
      <name val="Arial"/>
      <family val="2"/>
    </font>
    <font>
      <sz val="10"/>
      <name val="MS Sans Serif"/>
      <family val="2"/>
    </font>
    <font>
      <b/>
      <sz val="10"/>
      <name val="MS Sans Serif"/>
      <family val="2"/>
    </font>
    <font>
      <sz val="10"/>
      <color indexed="8"/>
      <name val="Verdana"/>
      <family val="2"/>
    </font>
    <font>
      <sz val="12"/>
      <name val="Arial"/>
      <family val="2"/>
    </font>
    <font>
      <sz val="10"/>
      <name val="Helv"/>
      <charset val="204"/>
    </font>
    <font>
      <sz val="12"/>
      <name val="Helv"/>
    </font>
    <font>
      <sz val="10"/>
      <color indexed="8"/>
      <name val="Tahoma"/>
      <family val="2"/>
    </font>
    <font>
      <b/>
      <sz val="10"/>
      <color indexed="8"/>
      <name val="Tahoma"/>
      <family val="2"/>
    </font>
    <font>
      <sz val="11"/>
      <color theme="1"/>
      <name val="Calibri"/>
      <family val="2"/>
      <scheme val="minor"/>
    </font>
    <font>
      <u/>
      <sz val="10"/>
      <color theme="10"/>
      <name val="Arial"/>
      <family val="2"/>
    </font>
    <font>
      <u/>
      <sz val="11"/>
      <color theme="10"/>
      <name val="Calibri"/>
      <family val="2"/>
      <scheme val="minor"/>
    </font>
    <font>
      <sz val="12"/>
      <color theme="1"/>
      <name val="Arial"/>
      <family val="2"/>
    </font>
    <font>
      <sz val="10"/>
      <color theme="1"/>
      <name val="Tahoma"/>
      <family val="2"/>
    </font>
    <font>
      <sz val="10"/>
      <color rgb="FF000000"/>
      <name val="Arial"/>
      <family val="2"/>
    </font>
    <font>
      <b/>
      <sz val="11"/>
      <color theme="1"/>
      <name val="Calibri"/>
      <family val="2"/>
      <scheme val="minor"/>
    </font>
    <font>
      <b/>
      <sz val="12"/>
      <color rgb="FF0000FF"/>
      <name val="Arial"/>
      <family val="2"/>
    </font>
    <font>
      <b/>
      <sz val="10"/>
      <color rgb="FF0000FF"/>
      <name val="Arial"/>
      <family val="2"/>
    </font>
    <font>
      <sz val="12"/>
      <color rgb="FF0000FF"/>
      <name val="Arial"/>
      <family val="2"/>
    </font>
    <font>
      <sz val="10"/>
      <color rgb="FF0000FF"/>
      <name val="Arial"/>
      <family val="2"/>
    </font>
    <font>
      <sz val="10"/>
      <color rgb="FFFF00FF"/>
      <name val="Arial"/>
      <family val="2"/>
    </font>
    <font>
      <b/>
      <sz val="12"/>
      <color rgb="FFFF00FF"/>
      <name val="Arial"/>
      <family val="2"/>
    </font>
    <font>
      <b/>
      <sz val="8"/>
      <color theme="0"/>
      <name val="Arial"/>
      <family val="2"/>
    </font>
    <font>
      <b/>
      <sz val="11"/>
      <color indexed="9"/>
      <name val="Calibri"/>
      <family val="2"/>
      <scheme val="minor"/>
    </font>
    <font>
      <b/>
      <sz val="11"/>
      <name val="Calibri"/>
      <family val="2"/>
      <scheme val="minor"/>
    </font>
    <font>
      <b/>
      <sz val="12"/>
      <color theme="0"/>
      <name val="Arial"/>
      <family val="2"/>
    </font>
    <font>
      <sz val="10"/>
      <color rgb="FF000000"/>
      <name val="Tahoma"/>
      <family val="2"/>
    </font>
    <font>
      <sz val="11"/>
      <color rgb="FF000000"/>
      <name val="Calibri"/>
      <family val="2"/>
      <scheme val="minor"/>
    </font>
    <font>
      <b/>
      <sz val="20"/>
      <color rgb="FF4682B4"/>
      <name val="Tahoma"/>
    </font>
    <font>
      <sz val="11"/>
      <name val="Calibri"/>
    </font>
    <font>
      <b/>
      <sz val="11"/>
      <color rgb="FFFFFFFF"/>
      <name val="Tahoma"/>
    </font>
    <font>
      <b/>
      <sz val="11"/>
      <name val="Calibri"/>
      <family val="2"/>
    </font>
    <font>
      <sz val="10"/>
      <color rgb="FF000000"/>
      <name val="Tahoma"/>
    </font>
    <font>
      <sz val="11"/>
      <color rgb="FF000000"/>
      <name val="Calibri"/>
      <family val="2"/>
    </font>
    <font>
      <b/>
      <sz val="12"/>
      <color rgb="FF000000"/>
      <name val="Arial"/>
      <family val="2"/>
    </font>
    <font>
      <sz val="11"/>
      <color rgb="FFFF0000"/>
      <name val="Calibri"/>
      <family val="2"/>
    </font>
    <font>
      <b/>
      <sz val="11"/>
      <color rgb="FF000000"/>
      <name val="Calibri"/>
      <family val="2"/>
    </font>
    <font>
      <b/>
      <i/>
      <sz val="11"/>
      <color rgb="FF0000CC"/>
      <name val="Calibri"/>
      <family val="2"/>
    </font>
    <font>
      <b/>
      <sz val="11"/>
      <color rgb="FF0000CC"/>
      <name val="Calibri"/>
      <family val="2"/>
    </font>
    <font>
      <b/>
      <sz val="9"/>
      <color rgb="FF000000"/>
      <name val="Arial"/>
      <family val="2"/>
    </font>
    <font>
      <b/>
      <sz val="9"/>
      <color rgb="FFFF0000"/>
      <name val="Arial"/>
      <family val="2"/>
    </font>
    <font>
      <sz val="9"/>
      <color rgb="FF000000"/>
      <name val="Arial"/>
      <family val="2"/>
    </font>
    <font>
      <sz val="9"/>
      <color rgb="FFFF0000"/>
      <name val="Arial"/>
      <family val="2"/>
    </font>
    <font>
      <sz val="8"/>
      <color rgb="FF000000"/>
      <name val="MS Sans Serif"/>
    </font>
    <font>
      <b/>
      <u/>
      <sz val="8"/>
      <color rgb="FF000000"/>
      <name val="Arial"/>
      <family val="2"/>
    </font>
    <font>
      <sz val="8"/>
      <color rgb="FF000000"/>
      <name val="Arial"/>
      <family val="2"/>
    </font>
    <font>
      <i/>
      <sz val="8"/>
      <color rgb="FF000000"/>
      <name val="Arial"/>
      <family val="2"/>
    </font>
    <font>
      <sz val="12"/>
      <color rgb="FF000000"/>
      <name val="Arial"/>
      <family val="2"/>
    </font>
    <font>
      <b/>
      <sz val="8"/>
      <color rgb="FF000000"/>
      <name val="Arial"/>
      <family val="2"/>
    </font>
    <font>
      <b/>
      <sz val="10"/>
      <color rgb="FF000000"/>
      <name val="Arial"/>
      <family val="2"/>
    </font>
    <font>
      <b/>
      <sz val="12"/>
      <color theme="2" tint="-0.749992370372631"/>
      <name val="Arial"/>
      <family val="2"/>
    </font>
    <font>
      <b/>
      <sz val="10"/>
      <color theme="2" tint="-0.749992370372631"/>
      <name val="Arial"/>
      <family val="2"/>
    </font>
    <font>
      <sz val="12"/>
      <color theme="2" tint="-0.749992370372631"/>
      <name val="Arial"/>
      <family val="2"/>
    </font>
    <font>
      <sz val="10"/>
      <color theme="2" tint="-0.749992370372631"/>
      <name val="Arial"/>
      <family val="2"/>
    </font>
    <font>
      <b/>
      <sz val="10"/>
      <color theme="0"/>
      <name val="Arial"/>
      <family val="2"/>
    </font>
    <font>
      <b/>
      <sz val="20"/>
      <color rgb="FF4682B4"/>
      <name val="Tahoma"/>
      <family val="2"/>
    </font>
    <font>
      <sz val="11"/>
      <name val="Calibri"/>
      <family val="2"/>
    </font>
    <font>
      <b/>
      <sz val="11"/>
      <color rgb="FFFFFFFF"/>
      <name val="Tahoma"/>
      <family val="2"/>
    </font>
    <font>
      <b/>
      <sz val="10"/>
      <color rgb="FF0070C0"/>
      <name val="Arial"/>
      <family val="2"/>
    </font>
    <font>
      <b/>
      <u/>
      <sz val="10"/>
      <color rgb="FF0070C0"/>
      <name val="Arial"/>
      <family val="2"/>
    </font>
    <font>
      <sz val="9"/>
      <color indexed="81"/>
      <name val="Tahoma"/>
      <family val="2"/>
    </font>
    <font>
      <b/>
      <sz val="9"/>
      <color indexed="81"/>
      <name val="Tahoma"/>
      <family val="2"/>
    </font>
    <font>
      <b/>
      <u/>
      <sz val="14.5"/>
      <color rgb="FF0000FF"/>
      <name val="Arial"/>
      <family val="2"/>
    </font>
    <font>
      <b/>
      <sz val="11"/>
      <name val="Tahoma"/>
      <family val="2"/>
    </font>
    <font>
      <b/>
      <sz val="10"/>
      <name val="Tahoma"/>
      <family val="2"/>
    </font>
    <font>
      <sz val="11"/>
      <name val="Tahoma"/>
      <family val="2"/>
    </font>
    <font>
      <b/>
      <sz val="11"/>
      <color rgb="FF000000"/>
      <name val="Tahoma"/>
      <family val="2"/>
    </font>
    <font>
      <sz val="11"/>
      <color rgb="FF000000"/>
      <name val="Tahoma"/>
      <family val="2"/>
    </font>
    <font>
      <b/>
      <sz val="10"/>
      <color rgb="FFFF0000"/>
      <name val="Arial"/>
      <family val="2"/>
    </font>
    <font>
      <sz val="10"/>
      <color rgb="FFFF0000"/>
      <name val="Arial"/>
      <family val="2"/>
    </font>
    <font>
      <u/>
      <sz val="10"/>
      <color rgb="FF0000FF"/>
      <name val="Arial"/>
      <family val="2"/>
    </font>
    <font>
      <b/>
      <i/>
      <sz val="10"/>
      <color rgb="FF0000FF"/>
      <name val="Arial"/>
      <family val="2"/>
    </font>
    <font>
      <b/>
      <sz val="11"/>
      <color rgb="FF00B0F0"/>
      <name val="Calibri"/>
      <family val="2"/>
      <scheme val="minor"/>
    </font>
    <font>
      <sz val="11"/>
      <name val="Calibri"/>
      <family val="2"/>
      <scheme val="minor"/>
    </font>
    <font>
      <sz val="11"/>
      <color rgb="FF00B0F0"/>
      <name val="Calibri"/>
      <family val="2"/>
      <scheme val="minor"/>
    </font>
    <font>
      <b/>
      <sz val="14"/>
      <name val="Calibri"/>
      <family val="2"/>
      <scheme val="minor"/>
    </font>
    <font>
      <b/>
      <sz val="24"/>
      <color rgb="FF104F75"/>
      <name val="arial"/>
    </font>
    <font>
      <b/>
      <sz val="12"/>
      <color rgb="FF000000"/>
      <name val="Arial"/>
    </font>
    <font>
      <sz val="12"/>
      <color rgb="FF000000"/>
      <name val="Arial"/>
    </font>
    <font>
      <b/>
      <sz val="11"/>
      <color rgb="FFFF0000"/>
      <name val="Calibri"/>
      <family val="2"/>
      <scheme val="minor"/>
    </font>
    <font>
      <sz val="11"/>
      <color theme="4"/>
      <name val="Calibri"/>
      <family val="2"/>
      <scheme val="minor"/>
    </font>
    <font>
      <b/>
      <sz val="11"/>
      <color theme="4"/>
      <name val="Calibri"/>
      <family val="2"/>
      <scheme val="minor"/>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lightUp">
        <fgColor indexed="9"/>
        <bgColor indexed="27"/>
      </patternFill>
    </fill>
    <fill>
      <patternFill patternType="lightUp">
        <fgColor indexed="9"/>
        <bgColor indexed="26"/>
      </patternFill>
    </fill>
    <fill>
      <patternFill patternType="solid">
        <fgColor indexed="22"/>
        <bgColor indexed="64"/>
      </patternFill>
    </fill>
    <fill>
      <patternFill patternType="solid">
        <fgColor indexed="12"/>
        <bgColor indexed="64"/>
      </patternFill>
    </fill>
    <fill>
      <patternFill patternType="solid">
        <fgColor indexed="26"/>
        <bgColor indexed="64"/>
      </patternFill>
    </fill>
    <fill>
      <patternFill patternType="solid">
        <fgColor indexed="43"/>
      </patternFill>
    </fill>
    <fill>
      <patternFill patternType="solid">
        <fgColor indexed="9"/>
        <bgColor indexed="64"/>
      </patternFill>
    </fill>
    <fill>
      <patternFill patternType="mediumGray">
        <fgColor indexed="22"/>
      </patternFill>
    </fill>
    <fill>
      <patternFill patternType="solid">
        <fgColor indexed="35"/>
        <bgColor indexed="64"/>
      </patternFill>
    </fill>
    <fill>
      <patternFill patternType="solid">
        <fgColor indexed="62"/>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rgb="FF4682B4"/>
        <bgColor rgb="FF4682B4"/>
      </patternFill>
    </fill>
    <fill>
      <patternFill patternType="solid">
        <fgColor theme="8" tint="0.79998168889431442"/>
        <bgColor indexed="64"/>
      </patternFill>
    </fill>
    <fill>
      <patternFill patternType="solid">
        <fgColor rgb="FFFFFFFF"/>
        <bgColor rgb="FFFFFFFF"/>
      </patternFill>
    </fill>
    <fill>
      <patternFill patternType="solid">
        <fgColor rgb="FFFFFF00"/>
        <bgColor rgb="FFFFFFFF"/>
      </patternFill>
    </fill>
    <fill>
      <patternFill patternType="solid">
        <fgColor theme="8" tint="-0.249977111117893"/>
        <bgColor indexed="64"/>
      </patternFill>
    </fill>
    <fill>
      <patternFill patternType="solid">
        <fgColor rgb="FF0000FF"/>
        <bgColor indexed="64"/>
      </patternFill>
    </fill>
    <fill>
      <patternFill patternType="solid">
        <fgColor rgb="FFCFDCE3"/>
        <bgColor rgb="FFCFDCE3"/>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FFFF00"/>
        <bgColor rgb="FFCFDCE3"/>
      </patternFill>
    </fill>
  </fills>
  <borders count="9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3"/>
      </top>
      <bottom style="thin">
        <color indexed="13"/>
      </bottom>
      <diagonal/>
    </border>
    <border>
      <left style="thin">
        <color indexed="63"/>
      </left>
      <right style="thin">
        <color indexed="63"/>
      </right>
      <top style="thin">
        <color indexed="63"/>
      </top>
      <bottom style="thin">
        <color indexed="63"/>
      </bottom>
      <diagonal/>
    </border>
    <border>
      <left/>
      <right style="medium">
        <color indexed="33"/>
      </right>
      <top/>
      <bottom/>
      <diagonal/>
    </border>
    <border>
      <left/>
      <right/>
      <top/>
      <bottom style="medium">
        <color indexed="64"/>
      </bottom>
      <diagonal/>
    </border>
    <border>
      <left/>
      <right/>
      <top/>
      <bottom style="thin">
        <color indexed="64"/>
      </bottom>
      <diagonal/>
    </border>
    <border>
      <left/>
      <right/>
      <top style="thin">
        <color indexed="62"/>
      </top>
      <bottom style="double">
        <color indexed="62"/>
      </bottom>
      <diagonal/>
    </border>
    <border>
      <left/>
      <right/>
      <top style="medium">
        <color indexed="8"/>
      </top>
      <bottom style="medium">
        <color indexed="8"/>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9"/>
      </left>
      <right style="thin">
        <color indexed="9"/>
      </right>
      <top/>
      <bottom style="thin">
        <color indexed="22"/>
      </bottom>
      <diagonal/>
    </border>
    <border>
      <left style="thin">
        <color indexed="9"/>
      </left>
      <right/>
      <top/>
      <bottom style="thin">
        <color indexed="22"/>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22"/>
      </bottom>
      <diagonal/>
    </border>
    <border>
      <left style="thick">
        <color indexed="64"/>
      </left>
      <right/>
      <top style="thick">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style="medium">
        <color indexed="64"/>
      </top>
      <bottom style="medium">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6" tint="-0.24994659260841701"/>
      </right>
      <top style="thin">
        <color indexed="64"/>
      </top>
      <bottom style="double">
        <color indexed="64"/>
      </bottom>
      <diagonal/>
    </border>
    <border>
      <left/>
      <right/>
      <top style="double">
        <color theme="4" tint="0.39994506668294322"/>
      </top>
      <bottom style="double">
        <color theme="4" tint="0.39994506668294322"/>
      </bottom>
      <diagonal/>
    </border>
    <border>
      <left style="thin">
        <color rgb="FFD3D3D3"/>
      </left>
      <right style="thin">
        <color rgb="FFD3D3D3"/>
      </right>
      <top style="thin">
        <color rgb="FFD3D3D3"/>
      </top>
      <bottom style="thin">
        <color rgb="FFD3D3D3"/>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ouble">
        <color indexed="64"/>
      </bottom>
      <diagonal/>
    </border>
  </borders>
  <cellStyleXfs count="1081">
    <xf numFmtId="0" fontId="0" fillId="0" borderId="0"/>
    <xf numFmtId="0" fontId="5" fillId="0" borderId="0"/>
    <xf numFmtId="0" fontId="5" fillId="0" borderId="0"/>
    <xf numFmtId="0" fontId="5" fillId="0" borderId="0"/>
    <xf numFmtId="0" fontId="7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1" fillId="0" borderId="0"/>
    <xf numFmtId="0" fontId="79" fillId="0" borderId="0">
      <alignment horizontal="left" vertical="center"/>
    </xf>
    <xf numFmtId="0" fontId="79" fillId="0" borderId="0">
      <alignment horizontal="left" vertical="center"/>
    </xf>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2" borderId="0" applyNumberFormat="0" applyBorder="0" applyAlignment="0" applyProtection="0"/>
    <xf numFmtId="0" fontId="15"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15"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15"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15"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15"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15"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8" borderId="0" applyNumberFormat="0" applyBorder="0" applyAlignment="0" applyProtection="0"/>
    <xf numFmtId="0" fontId="15"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15"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15"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15"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15"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5"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58"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58"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58"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58"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58"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58"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58"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58"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58"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58"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58"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58"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6" fillId="0" borderId="0" applyNumberFormat="0" applyAlignment="0"/>
    <xf numFmtId="0" fontId="53" fillId="0" borderId="0" applyNumberFormat="0" applyFill="0" applyBorder="0" applyAlignment="0" applyProtection="0"/>
    <xf numFmtId="0" fontId="30" fillId="3" borderId="0" applyNumberFormat="0" applyBorder="0" applyAlignment="0" applyProtection="0"/>
    <xf numFmtId="0" fontId="59"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73" fillId="0" borderId="0" applyFill="0" applyBorder="0" applyAlignment="0"/>
    <xf numFmtId="172" fontId="80" fillId="0" borderId="0" applyFill="0" applyBorder="0" applyAlignment="0"/>
    <xf numFmtId="173" fontId="80" fillId="0" borderId="0" applyFill="0" applyBorder="0" applyAlignment="0"/>
    <xf numFmtId="174" fontId="5" fillId="0" borderId="0" applyFill="0" applyBorder="0" applyAlignment="0"/>
    <xf numFmtId="173" fontId="5" fillId="0" borderId="0" applyFill="0" applyBorder="0" applyAlignment="0"/>
    <xf numFmtId="169" fontId="80" fillId="0" borderId="0" applyFill="0" applyBorder="0" applyAlignment="0"/>
    <xf numFmtId="175" fontId="80" fillId="0" borderId="0" applyFill="0" applyBorder="0" applyAlignment="0"/>
    <xf numFmtId="172" fontId="80" fillId="0" borderId="0" applyFill="0" applyBorder="0" applyAlignment="0"/>
    <xf numFmtId="0" fontId="31" fillId="20" borderId="1" applyNumberFormat="0" applyAlignment="0" applyProtection="0"/>
    <xf numFmtId="0" fontId="31" fillId="20" borderId="1" applyNumberFormat="0" applyAlignment="0" applyProtection="0"/>
    <xf numFmtId="0" fontId="60" fillId="20" borderId="1" applyNumberFormat="0" applyAlignment="0" applyProtection="0"/>
    <xf numFmtId="0" fontId="31" fillId="20" borderId="1" applyNumberFormat="0" applyAlignment="0" applyProtection="0"/>
    <xf numFmtId="0" fontId="31" fillId="20" borderId="1" applyNumberFormat="0" applyAlignment="0" applyProtection="0"/>
    <xf numFmtId="0" fontId="60" fillId="20" borderId="1" applyNumberFormat="0" applyAlignment="0" applyProtection="0"/>
    <xf numFmtId="0" fontId="60"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60" fillId="20" borderId="1" applyNumberFormat="0" applyAlignment="0" applyProtection="0"/>
    <xf numFmtId="0" fontId="60" fillId="20" borderId="1" applyNumberFormat="0" applyAlignment="0" applyProtection="0"/>
    <xf numFmtId="0" fontId="31" fillId="20" borderId="1" applyNumberFormat="0" applyAlignment="0" applyProtection="0"/>
    <xf numFmtId="0" fontId="60" fillId="20" borderId="1" applyNumberFormat="0" applyAlignment="0" applyProtection="0"/>
    <xf numFmtId="0" fontId="60"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31" fillId="20" borderId="1" applyNumberFormat="0" applyAlignment="0" applyProtection="0"/>
    <xf numFmtId="0" fontId="44" fillId="0" borderId="2" applyNumberFormat="0" applyFill="0" applyAlignment="0" applyProtection="0"/>
    <xf numFmtId="0" fontId="19" fillId="0" borderId="0" applyNumberFormat="0" applyFont="0" applyFill="0" applyBorder="0" applyProtection="0">
      <alignment horizontal="centerContinuous" wrapText="1"/>
    </xf>
    <xf numFmtId="0" fontId="32" fillId="21" borderId="3" applyNumberFormat="0" applyAlignment="0" applyProtection="0"/>
    <xf numFmtId="0" fontId="56" fillId="21" borderId="3" applyNumberFormat="0" applyAlignment="0" applyProtection="0"/>
    <xf numFmtId="0" fontId="32" fillId="21" borderId="3" applyNumberFormat="0" applyAlignment="0" applyProtection="0"/>
    <xf numFmtId="0" fontId="32" fillId="21" borderId="3" applyNumberFormat="0" applyAlignment="0" applyProtection="0"/>
    <xf numFmtId="0" fontId="32" fillId="21" borderId="3" applyNumberFormat="0" applyAlignment="0" applyProtection="0"/>
    <xf numFmtId="0" fontId="32" fillId="21" borderId="3" applyNumberFormat="0" applyAlignment="0" applyProtection="0"/>
    <xf numFmtId="43" fontId="5" fillId="0" borderId="0" applyFont="0" applyFill="0" applyBorder="0" applyAlignment="0" applyProtection="0"/>
    <xf numFmtId="169" fontId="8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0" fillId="0" borderId="0" applyFont="0" applyFill="0" applyBorder="0" applyAlignment="0" applyProtection="0"/>
    <xf numFmtId="43" fontId="5" fillId="0" borderId="0" applyFont="0" applyFill="0" applyBorder="0" applyAlignment="0" applyProtection="0"/>
    <xf numFmtId="43" fontId="95" fillId="0" borderId="0" applyFont="0" applyFill="0" applyBorder="0" applyAlignment="0" applyProtection="0"/>
    <xf numFmtId="43" fontId="5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0" fontId="73" fillId="0" borderId="0" applyFont="0" applyFill="0" applyBorder="0" applyAlignment="0" applyProtection="0"/>
    <xf numFmtId="43" fontId="28"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95"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4" fontId="81" fillId="0" borderId="0">
      <protection locked="0"/>
    </xf>
    <xf numFmtId="0" fontId="5" fillId="22" borderId="4" applyNumberFormat="0" applyFont="0" applyAlignment="0" applyProtection="0"/>
    <xf numFmtId="172" fontId="8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95" fillId="0" borderId="0" applyFont="0" applyFill="0" applyBorder="0" applyAlignment="0" applyProtection="0"/>
    <xf numFmtId="191"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4" fontId="81" fillId="0" borderId="0">
      <protection locked="0"/>
    </xf>
    <xf numFmtId="0" fontId="82" fillId="0" borderId="5" applyNumberFormat="0" applyBorder="0">
      <alignment horizontal="centerContinuous"/>
    </xf>
    <xf numFmtId="174" fontId="81" fillId="0" borderId="0">
      <protection locked="0"/>
    </xf>
    <xf numFmtId="14" fontId="73" fillId="0" borderId="0" applyFill="0" applyBorder="0" applyAlignment="0"/>
    <xf numFmtId="0" fontId="61" fillId="0" borderId="0">
      <alignment horizontal="left"/>
    </xf>
    <xf numFmtId="0" fontId="62" fillId="23" borderId="0" applyNumberFormat="0" applyBorder="0" applyAlignment="0" applyProtection="0"/>
    <xf numFmtId="0" fontId="62" fillId="24" borderId="0" applyNumberFormat="0" applyBorder="0" applyAlignment="0" applyProtection="0"/>
    <xf numFmtId="0" fontId="62" fillId="24" borderId="0" applyNumberFormat="0" applyBorder="0" applyAlignment="0" applyProtection="0"/>
    <xf numFmtId="169" fontId="80" fillId="0" borderId="0" applyFill="0" applyBorder="0" applyAlignment="0"/>
    <xf numFmtId="172" fontId="80" fillId="0" borderId="0" applyFill="0" applyBorder="0" applyAlignment="0"/>
    <xf numFmtId="169" fontId="80" fillId="0" borderId="0" applyFill="0" applyBorder="0" applyAlignment="0"/>
    <xf numFmtId="175" fontId="80" fillId="0" borderId="0" applyFill="0" applyBorder="0" applyAlignment="0"/>
    <xf numFmtId="172" fontId="80" fillId="0" borderId="0" applyFill="0" applyBorder="0" applyAlignment="0"/>
    <xf numFmtId="0" fontId="83" fillId="7" borderId="1" applyNumberFormat="0" applyAlignment="0" applyProtection="0"/>
    <xf numFmtId="0" fontId="33" fillId="0" borderId="0" applyNumberFormat="0" applyFill="0" applyBorder="0" applyAlignment="0" applyProtection="0">
      <protection locked="0"/>
    </xf>
    <xf numFmtId="187" fontId="5" fillId="0" borderId="0" applyFont="0" applyFill="0" applyBorder="0" applyAlignment="0" applyProtection="0"/>
    <xf numFmtId="42" fontId="13" fillId="0" borderId="0" applyFont="0" applyFill="0" applyBorder="0" applyAlignment="0" applyProtection="0"/>
    <xf numFmtId="0" fontId="34" fillId="0" borderId="0" applyNumberFormat="0" applyFill="0" applyBorder="0" applyAlignment="0" applyProtection="0"/>
    <xf numFmtId="0" fontId="6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 fontId="35" fillId="0" borderId="0" applyNumberFormat="0" applyFill="0" applyBorder="0" applyAlignment="0" applyProtection="0"/>
    <xf numFmtId="0" fontId="64" fillId="0" borderId="0">
      <alignment horizontal="center" vertical="center" wrapText="1"/>
    </xf>
    <xf numFmtId="174" fontId="81" fillId="0" borderId="0">
      <protection locked="0"/>
    </xf>
    <xf numFmtId="0" fontId="65" fillId="0" borderId="6">
      <alignment vertical="center" wrapText="1"/>
    </xf>
    <xf numFmtId="0" fontId="65" fillId="0" borderId="6">
      <alignment vertical="center" wrapText="1"/>
    </xf>
    <xf numFmtId="0" fontId="65" fillId="0" borderId="6">
      <alignment vertical="center" wrapText="1"/>
    </xf>
    <xf numFmtId="0" fontId="65" fillId="0" borderId="6">
      <alignment vertical="center" wrapText="1"/>
    </xf>
    <xf numFmtId="0" fontId="65" fillId="0" borderId="6">
      <alignment vertical="center" wrapText="1"/>
    </xf>
    <xf numFmtId="0" fontId="36" fillId="4" borderId="0" applyNumberFormat="0" applyBorder="0" applyAlignment="0" applyProtection="0"/>
    <xf numFmtId="0" fontId="6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38" fontId="6" fillId="25" borderId="0" applyNumberFormat="0" applyBorder="0" applyAlignment="0" applyProtection="0"/>
    <xf numFmtId="0" fontId="37" fillId="0" borderId="0">
      <alignment horizontal="center" vertical="center" wrapText="1"/>
    </xf>
    <xf numFmtId="0" fontId="9" fillId="0" borderId="7" applyNumberFormat="0" applyAlignment="0" applyProtection="0">
      <alignment horizontal="left" vertical="center"/>
    </xf>
    <xf numFmtId="0" fontId="9" fillId="0" borderId="8">
      <alignment horizontal="left" vertical="center"/>
    </xf>
    <xf numFmtId="0" fontId="38"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6" fillId="0" borderId="8">
      <alignment horizontal="center" vertical="center" wrapText="1"/>
    </xf>
    <xf numFmtId="0" fontId="37" fillId="0" borderId="0">
      <alignment horizontal="left" wrapText="1"/>
    </xf>
    <xf numFmtId="0" fontId="39" fillId="0" borderId="9" applyNumberFormat="0" applyFill="0" applyAlignment="0" applyProtection="0"/>
    <xf numFmtId="0" fontId="67"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39" fillId="0" borderId="9" applyNumberFormat="0" applyFill="0" applyAlignment="0" applyProtection="0"/>
    <xf numFmtId="0" fontId="40" fillId="0" borderId="10" applyNumberFormat="0" applyFill="0" applyAlignment="0" applyProtection="0"/>
    <xf numFmtId="0" fontId="68" fillId="0" borderId="10" applyNumberFormat="0" applyFill="0" applyAlignment="0" applyProtection="0"/>
    <xf numFmtId="0" fontId="40" fillId="0" borderId="10" applyNumberFormat="0" applyFill="0" applyAlignment="0" applyProtection="0"/>
    <xf numFmtId="0" fontId="40" fillId="0" borderId="10" applyNumberFormat="0" applyFill="0" applyAlignment="0" applyProtection="0"/>
    <xf numFmtId="0" fontId="40" fillId="0" borderId="10" applyNumberFormat="0" applyFill="0" applyAlignment="0" applyProtection="0"/>
    <xf numFmtId="0" fontId="40" fillId="0" borderId="10" applyNumberFormat="0" applyFill="0" applyAlignment="0" applyProtection="0"/>
    <xf numFmtId="0" fontId="41" fillId="0" borderId="11" applyNumberFormat="0" applyFill="0" applyAlignment="0" applyProtection="0"/>
    <xf numFmtId="0" fontId="69"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0" applyNumberFormat="0" applyFill="0" applyBorder="0" applyAlignment="0" applyProtection="0"/>
    <xf numFmtId="0" fontId="69"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97" fillId="0" borderId="0" applyNumberFormat="0" applyFill="0" applyBorder="0" applyAlignment="0" applyProtection="0"/>
    <xf numFmtId="0" fontId="25" fillId="0" borderId="0" applyNumberFormat="0" applyFill="0" applyBorder="0" applyAlignment="0" applyProtection="0">
      <alignment vertical="top"/>
      <protection locked="0"/>
    </xf>
    <xf numFmtId="0" fontId="96" fillId="0" borderId="0" applyNumberFormat="0" applyFill="0" applyBorder="0" applyAlignment="0" applyProtection="0"/>
    <xf numFmtId="1" fontId="42" fillId="0" borderId="0" applyNumberFormat="0" applyFill="0" applyBorder="0" applyAlignment="0" applyProtection="0"/>
    <xf numFmtId="1" fontId="43" fillId="26" borderId="0" applyNumberFormat="0" applyFill="0" applyBorder="0" applyAlignment="0" applyProtection="0"/>
    <xf numFmtId="10" fontId="6" fillId="27" borderId="6" applyNumberFormat="0" applyBorder="0" applyAlignment="0" applyProtection="0"/>
    <xf numFmtId="0" fontId="70" fillId="7" borderId="1" applyNumberFormat="0" applyAlignment="0" applyProtection="0"/>
    <xf numFmtId="1" fontId="43" fillId="26" borderId="0" applyNumberFormat="0" applyFill="0" applyBorder="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83" fillId="7" borderId="1" applyNumberFormat="0" applyAlignment="0" applyProtection="0"/>
    <xf numFmtId="0" fontId="30" fillId="3" borderId="0" applyNumberFormat="0" applyBorder="0" applyAlignment="0" applyProtection="0"/>
    <xf numFmtId="0" fontId="38" fillId="0" borderId="0">
      <alignment horizontal="left" vertical="center"/>
    </xf>
    <xf numFmtId="0" fontId="6" fillId="0" borderId="0">
      <alignment horizontal="left" vertical="center"/>
    </xf>
    <xf numFmtId="0" fontId="6" fillId="0" borderId="0">
      <alignment horizontal="left" vertical="center"/>
    </xf>
    <xf numFmtId="0" fontId="38" fillId="0" borderId="0">
      <alignment horizontal="center" vertical="center"/>
    </xf>
    <xf numFmtId="0" fontId="6" fillId="0" borderId="0">
      <alignment horizontal="center" vertical="center"/>
    </xf>
    <xf numFmtId="0" fontId="6" fillId="0" borderId="0">
      <alignment horizontal="center" vertical="center"/>
    </xf>
    <xf numFmtId="169" fontId="80" fillId="0" borderId="0" applyFill="0" applyBorder="0" applyAlignment="0"/>
    <xf numFmtId="172" fontId="80" fillId="0" borderId="0" applyFill="0" applyBorder="0" applyAlignment="0"/>
    <xf numFmtId="169" fontId="80" fillId="0" borderId="0" applyFill="0" applyBorder="0" applyAlignment="0"/>
    <xf numFmtId="175" fontId="80" fillId="0" borderId="0" applyFill="0" applyBorder="0" applyAlignment="0"/>
    <xf numFmtId="172" fontId="80" fillId="0" borderId="0" applyFill="0" applyBorder="0" applyAlignment="0"/>
    <xf numFmtId="0" fontId="44" fillId="0" borderId="2" applyNumberFormat="0" applyFill="0" applyAlignment="0" applyProtection="0"/>
    <xf numFmtId="0" fontId="71" fillId="0" borderId="2" applyNumberFormat="0" applyFill="0" applyAlignment="0" applyProtection="0"/>
    <xf numFmtId="0" fontId="44" fillId="0" borderId="2" applyNumberFormat="0" applyFill="0" applyAlignment="0" applyProtection="0"/>
    <xf numFmtId="0" fontId="44" fillId="0" borderId="2" applyNumberFormat="0" applyFill="0" applyAlignment="0" applyProtection="0"/>
    <xf numFmtId="0" fontId="44" fillId="0" borderId="2" applyNumberFormat="0" applyFill="0" applyAlignment="0" applyProtection="0"/>
    <xf numFmtId="0" fontId="44" fillId="0" borderId="2" applyNumberFormat="0" applyFill="0" applyAlignment="0" applyProtection="0"/>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0" fontId="45" fillId="0" borderId="12" applyFill="0" applyAlignment="0" applyProtection="0">
      <protection locked="0"/>
    </xf>
    <xf numFmtId="176" fontId="5" fillId="0" borderId="0" applyFont="0" applyFill="0" applyBorder="0" applyAlignment="0" applyProtection="0"/>
    <xf numFmtId="177" fontId="5" fillId="0" borderId="0" applyFont="0" applyFill="0" applyBorder="0" applyAlignment="0" applyProtection="0"/>
    <xf numFmtId="178" fontId="5" fillId="0" borderId="0" applyFont="0" applyFill="0" applyBorder="0" applyAlignment="0" applyProtection="0"/>
    <xf numFmtId="179" fontId="5" fillId="0" borderId="0" applyFont="0" applyFill="0" applyBorder="0" applyAlignment="0" applyProtection="0"/>
    <xf numFmtId="0" fontId="46" fillId="28" borderId="0" applyNumberFormat="0" applyBorder="0" applyAlignment="0" applyProtection="0"/>
    <xf numFmtId="0" fontId="72"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2" fontId="61" fillId="29" borderId="0"/>
    <xf numFmtId="180" fontId="84" fillId="0" borderId="0"/>
    <xf numFmtId="0" fontId="92" fillId="0" borderId="0"/>
    <xf numFmtId="0" fontId="92" fillId="0" borderId="0"/>
    <xf numFmtId="0" fontId="92" fillId="0" borderId="0"/>
    <xf numFmtId="0" fontId="92" fillId="0" borderId="0"/>
    <xf numFmtId="0" fontId="13"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15" fillId="0" borderId="0"/>
    <xf numFmtId="0" fontId="95" fillId="0" borderId="0"/>
    <xf numFmtId="0" fontId="95" fillId="0" borderId="0"/>
    <xf numFmtId="0" fontId="95" fillId="0" borderId="0"/>
    <xf numFmtId="0" fontId="95" fillId="0" borderId="0"/>
    <xf numFmtId="0" fontId="95" fillId="0" borderId="0"/>
    <xf numFmtId="0" fontId="95" fillId="0" borderId="0"/>
    <xf numFmtId="0" fontId="5" fillId="0" borderId="0"/>
    <xf numFmtId="0" fontId="13" fillId="0" borderId="0"/>
    <xf numFmtId="0" fontId="15" fillId="0" borderId="0"/>
    <xf numFmtId="0" fontId="5" fillId="0" borderId="0"/>
    <xf numFmtId="0" fontId="5" fillId="0" borderId="0"/>
    <xf numFmtId="0" fontId="13" fillId="0" borderId="0"/>
    <xf numFmtId="0" fontId="15" fillId="0" borderId="0"/>
    <xf numFmtId="0" fontId="98" fillId="0" borderId="0"/>
    <xf numFmtId="0" fontId="5" fillId="0" borderId="0"/>
    <xf numFmtId="0" fontId="5" fillId="0" borderId="0"/>
    <xf numFmtId="0" fontId="15" fillId="0" borderId="0"/>
    <xf numFmtId="0" fontId="13" fillId="0" borderId="0"/>
    <xf numFmtId="0" fontId="15" fillId="0" borderId="0"/>
    <xf numFmtId="0" fontId="13" fillId="0" borderId="0"/>
    <xf numFmtId="0" fontId="15" fillId="0" borderId="0"/>
    <xf numFmtId="0" fontId="13" fillId="0" borderId="0"/>
    <xf numFmtId="0" fontId="15" fillId="0" borderId="0"/>
    <xf numFmtId="0" fontId="13" fillId="0" borderId="0"/>
    <xf numFmtId="0" fontId="13" fillId="0" borderId="0"/>
    <xf numFmtId="0" fontId="15" fillId="0" borderId="0"/>
    <xf numFmtId="0" fontId="4" fillId="0" borderId="0"/>
    <xf numFmtId="0" fontId="13" fillId="0" borderId="0"/>
    <xf numFmtId="0" fontId="13" fillId="0" borderId="0"/>
    <xf numFmtId="0" fontId="13" fillId="0" borderId="0"/>
    <xf numFmtId="0" fontId="13" fillId="0" borderId="0"/>
    <xf numFmtId="0" fontId="5" fillId="0" borderId="0"/>
    <xf numFmtId="0" fontId="5" fillId="0" borderId="0"/>
    <xf numFmtId="0" fontId="13" fillId="0" borderId="0"/>
    <xf numFmtId="0" fontId="98" fillId="0" borderId="0"/>
    <xf numFmtId="0" fontId="85" fillId="0" borderId="0" applyAlignment="0">
      <alignment vertical="top" wrapText="1"/>
      <protection locked="0"/>
    </xf>
    <xf numFmtId="0" fontId="2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28"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3" fillId="0" borderId="0"/>
    <xf numFmtId="0" fontId="5"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3" fillId="0" borderId="0"/>
    <xf numFmtId="0" fontId="5" fillId="0" borderId="0"/>
    <xf numFmtId="0" fontId="98" fillId="0" borderId="0"/>
    <xf numFmtId="0" fontId="1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95" fillId="0" borderId="0"/>
    <xf numFmtId="0" fontId="9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3" fillId="0" borderId="0"/>
    <xf numFmtId="0" fontId="13" fillId="0" borderId="0"/>
    <xf numFmtId="0" fontId="98" fillId="0" borderId="0"/>
    <xf numFmtId="0" fontId="28" fillId="0" borderId="0"/>
    <xf numFmtId="0" fontId="95" fillId="0" borderId="0"/>
    <xf numFmtId="0" fontId="15" fillId="0" borderId="0"/>
    <xf numFmtId="0" fontId="13" fillId="0" borderId="0"/>
    <xf numFmtId="0" fontId="13" fillId="0" borderId="0"/>
    <xf numFmtId="0" fontId="13" fillId="0" borderId="0"/>
    <xf numFmtId="0" fontId="13" fillId="0" borderId="0"/>
    <xf numFmtId="0" fontId="13" fillId="0" borderId="0"/>
    <xf numFmtId="0" fontId="5" fillId="0" borderId="0"/>
    <xf numFmtId="0" fontId="1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95" fillId="0" borderId="0"/>
    <xf numFmtId="0" fontId="5" fillId="0" borderId="0"/>
    <xf numFmtId="0" fontId="5" fillId="0" borderId="0"/>
    <xf numFmtId="0" fontId="5" fillId="0" borderId="0"/>
    <xf numFmtId="0" fontId="5" fillId="0" borderId="0"/>
    <xf numFmtId="0" fontId="1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 fillId="0" borderId="0"/>
    <xf numFmtId="0" fontId="9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73" fillId="0" borderId="0">
      <alignment vertical="top"/>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5" fillId="0" borderId="0" applyNumberFormat="0" applyFont="0" applyFill="0" applyBorder="0" applyAlignment="0" applyProtection="0"/>
    <xf numFmtId="0" fontId="5" fillId="0" borderId="0"/>
    <xf numFmtId="0" fontId="5" fillId="0" borderId="0"/>
    <xf numFmtId="0" fontId="99" fillId="0" borderId="0"/>
    <xf numFmtId="0" fontId="5" fillId="0" borderId="0"/>
    <xf numFmtId="0" fontId="98"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13"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0" fillId="0" borderId="0" applyNumberFormat="0" applyBorder="0" applyProtection="0"/>
    <xf numFmtId="4" fontId="61" fillId="0" borderId="0">
      <alignment horizontal="right"/>
    </xf>
    <xf numFmtId="0" fontId="61" fillId="0" borderId="0">
      <alignment horizontal="left"/>
    </xf>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13"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0" fontId="5" fillId="22" borderId="4" applyNumberFormat="0" applyFont="0" applyAlignment="0" applyProtection="0"/>
    <xf numFmtId="3" fontId="38" fillId="0" borderId="0">
      <alignment horizontal="right"/>
    </xf>
    <xf numFmtId="3" fontId="6" fillId="0" borderId="0">
      <alignment horizontal="right"/>
    </xf>
    <xf numFmtId="3" fontId="6" fillId="0" borderId="0">
      <alignment horizontal="right"/>
    </xf>
    <xf numFmtId="181" fontId="5" fillId="0" borderId="0" applyFont="0" applyFill="0" applyBorder="0" applyAlignment="0" applyProtection="0"/>
    <xf numFmtId="182" fontId="5" fillId="0" borderId="0" applyFont="0" applyFill="0" applyBorder="0" applyAlignment="0" applyProtection="0"/>
    <xf numFmtId="0" fontId="47" fillId="20" borderId="13" applyNumberFormat="0" applyAlignment="0" applyProtection="0"/>
    <xf numFmtId="0" fontId="74"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74" fillId="20" borderId="13" applyNumberFormat="0" applyAlignment="0" applyProtection="0"/>
    <xf numFmtId="0" fontId="74" fillId="20" borderId="13" applyNumberFormat="0" applyAlignment="0" applyProtection="0"/>
    <xf numFmtId="0" fontId="47" fillId="20" borderId="13" applyNumberFormat="0" applyAlignment="0" applyProtection="0"/>
    <xf numFmtId="0" fontId="74" fillId="20" borderId="13" applyNumberFormat="0" applyAlignment="0" applyProtection="0"/>
    <xf numFmtId="0" fontId="74"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47" fillId="20" borderId="13" applyNumberFormat="0" applyAlignment="0" applyProtection="0"/>
    <xf numFmtId="0" fontId="86" fillId="0" borderId="0" applyFill="0">
      <alignment vertical="center"/>
    </xf>
    <xf numFmtId="9" fontId="5" fillId="0" borderId="0" applyFont="0" applyFill="0" applyBorder="0" applyAlignment="0" applyProtection="0"/>
    <xf numFmtId="173" fontId="5" fillId="0" borderId="0" applyFont="0" applyFill="0" applyBorder="0" applyAlignment="0" applyProtection="0"/>
    <xf numFmtId="183" fontId="5" fillId="0" borderId="0" applyFont="0" applyFill="0" applyBorder="0" applyAlignment="0" applyProtection="0"/>
    <xf numFmtId="10" fontId="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8" fillId="0" borderId="0" applyFont="0" applyFill="0" applyBorder="0" applyAlignment="0" applyProtection="0"/>
    <xf numFmtId="169" fontId="80" fillId="0" borderId="0" applyFill="0" applyBorder="0" applyAlignment="0"/>
    <xf numFmtId="172" fontId="80" fillId="0" borderId="0" applyFill="0" applyBorder="0" applyAlignment="0"/>
    <xf numFmtId="169" fontId="80" fillId="0" borderId="0" applyFill="0" applyBorder="0" applyAlignment="0"/>
    <xf numFmtId="175" fontId="80" fillId="0" borderId="0" applyFill="0" applyBorder="0" applyAlignment="0"/>
    <xf numFmtId="172" fontId="80" fillId="0" borderId="0" applyFill="0" applyBorder="0" applyAlignment="0"/>
    <xf numFmtId="1" fontId="48" fillId="0" borderId="14" applyNumberFormat="0" applyFill="0" applyBorder="0" applyAlignment="0" applyProtection="0"/>
    <xf numFmtId="0" fontId="87" fillId="0" borderId="0" applyNumberFormat="0" applyFont="0" applyFill="0" applyBorder="0" applyAlignment="0" applyProtection="0">
      <alignment horizontal="left"/>
    </xf>
    <xf numFmtId="15" fontId="87" fillId="0" borderId="0" applyFont="0" applyFill="0" applyBorder="0" applyAlignment="0" applyProtection="0"/>
    <xf numFmtId="4" fontId="87" fillId="0" borderId="0" applyFont="0" applyFill="0" applyBorder="0" applyAlignment="0" applyProtection="0"/>
    <xf numFmtId="0" fontId="88" fillId="0" borderId="15">
      <alignment horizontal="center"/>
    </xf>
    <xf numFmtId="3" fontId="87" fillId="0" borderId="0" applyFont="0" applyFill="0" applyBorder="0" applyAlignment="0" applyProtection="0"/>
    <xf numFmtId="0" fontId="87" fillId="30" borderId="0" applyNumberFormat="0" applyFon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4" fontId="73" fillId="31" borderId="13" applyNumberFormat="0" applyProtection="0">
      <alignment horizontal="right" vertical="center"/>
    </xf>
    <xf numFmtId="4" fontId="73" fillId="31" borderId="13" applyNumberFormat="0" applyProtection="0">
      <alignment horizontal="right" vertical="center"/>
    </xf>
    <xf numFmtId="4" fontId="73" fillId="31" borderId="13" applyNumberFormat="0" applyProtection="0">
      <alignment horizontal="right" vertical="center"/>
    </xf>
    <xf numFmtId="4" fontId="73" fillId="31" borderId="13" applyNumberFormat="0" applyProtection="0">
      <alignment horizontal="right" vertical="center"/>
    </xf>
    <xf numFmtId="4" fontId="73" fillId="31" borderId="13" applyNumberFormat="0" applyProtection="0">
      <alignment horizontal="right" vertical="center"/>
    </xf>
    <xf numFmtId="4" fontId="73" fillId="31" borderId="13" applyNumberFormat="0" applyProtection="0">
      <alignment horizontal="right" vertical="center"/>
    </xf>
    <xf numFmtId="4" fontId="73" fillId="31" borderId="13" applyNumberFormat="0" applyProtection="0">
      <alignment horizontal="right" vertical="center"/>
    </xf>
    <xf numFmtId="4" fontId="73" fillId="31" borderId="13" applyNumberFormat="0" applyProtection="0">
      <alignment horizontal="right" vertical="center"/>
    </xf>
    <xf numFmtId="4" fontId="73" fillId="31" borderId="13" applyNumberFormat="0" applyProtection="0">
      <alignment horizontal="right" vertical="center"/>
    </xf>
    <xf numFmtId="4" fontId="73" fillId="31" borderId="13" applyNumberFormat="0" applyProtection="0">
      <alignment horizontal="right" vertical="center"/>
    </xf>
    <xf numFmtId="4" fontId="73" fillId="31" borderId="13" applyNumberFormat="0" applyProtection="0">
      <alignment horizontal="right" vertical="center"/>
    </xf>
    <xf numFmtId="0" fontId="36" fillId="4" borderId="0" applyNumberFormat="0" applyBorder="0" applyAlignment="0" applyProtection="0"/>
    <xf numFmtId="0" fontId="75" fillId="0" borderId="0" applyNumberFormat="0" applyFill="0" applyBorder="0" applyAlignment="0" applyProtection="0"/>
    <xf numFmtId="0" fontId="47" fillId="20" borderId="13"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49" fontId="89" fillId="0" borderId="0" applyFill="0" applyBorder="0" applyProtection="0">
      <alignment horizontal="left"/>
    </xf>
    <xf numFmtId="49" fontId="89" fillId="0" borderId="0" applyFill="0" applyBorder="0" applyProtection="0">
      <alignment horizontal="left" wrapText="1"/>
    </xf>
    <xf numFmtId="2" fontId="89" fillId="29" borderId="0" applyBorder="0" applyProtection="0">
      <alignment horizontal="left"/>
    </xf>
    <xf numFmtId="2" fontId="89" fillId="32" borderId="0" applyBorder="0" applyProtection="0">
      <alignment horizontal="left"/>
    </xf>
    <xf numFmtId="184" fontId="89" fillId="0" borderId="0" applyFill="0" applyBorder="0" applyProtection="0">
      <alignment horizontal="center" wrapText="1"/>
    </xf>
    <xf numFmtId="184" fontId="89" fillId="0" borderId="0" applyFill="0" applyBorder="0" applyProtection="0">
      <alignment horizontal="center"/>
    </xf>
    <xf numFmtId="0" fontId="6" fillId="0" borderId="16" applyBorder="0">
      <alignment horizontal="right"/>
    </xf>
    <xf numFmtId="169" fontId="4" fillId="0" borderId="0"/>
    <xf numFmtId="169" fontId="5" fillId="0" borderId="0"/>
    <xf numFmtId="169" fontId="5" fillId="0" borderId="0"/>
    <xf numFmtId="169" fontId="4" fillId="0" borderId="0"/>
    <xf numFmtId="169" fontId="5" fillId="0" borderId="0"/>
    <xf numFmtId="169" fontId="5" fillId="0" borderId="0"/>
    <xf numFmtId="169" fontId="4" fillId="0" borderId="0"/>
    <xf numFmtId="169" fontId="5" fillId="0" borderId="0"/>
    <xf numFmtId="169" fontId="5" fillId="0" borderId="0"/>
    <xf numFmtId="49" fontId="73" fillId="0" borderId="0" applyFill="0" applyBorder="0" applyAlignment="0"/>
    <xf numFmtId="185" fontId="5" fillId="0" borderId="0" applyFill="0" applyBorder="0" applyAlignment="0"/>
    <xf numFmtId="186" fontId="5" fillId="0" borderId="0" applyFill="0" applyBorder="0" applyAlignment="0"/>
    <xf numFmtId="0" fontId="34"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9" fillId="0" borderId="9" applyNumberFormat="0" applyFill="0" applyAlignment="0" applyProtection="0"/>
    <xf numFmtId="0" fontId="40" fillId="0" borderId="10" applyNumberFormat="0" applyFill="0" applyAlignment="0" applyProtection="0"/>
    <xf numFmtId="0" fontId="41" fillId="0" borderId="11" applyNumberFormat="0" applyFill="0" applyAlignment="0" applyProtection="0"/>
    <xf numFmtId="0" fontId="41" fillId="0" borderId="0" applyNumberFormat="0" applyFill="0" applyBorder="0" applyAlignment="0" applyProtection="0"/>
    <xf numFmtId="0" fontId="50" fillId="0" borderId="17" applyNumberFormat="0" applyFill="0" applyAlignment="0" applyProtection="0"/>
    <xf numFmtId="0" fontId="62"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62" fillId="0" borderId="17" applyNumberFormat="0" applyFill="0" applyAlignment="0" applyProtection="0"/>
    <xf numFmtId="0" fontId="62" fillId="0" borderId="17" applyNumberFormat="0" applyFill="0" applyAlignment="0" applyProtection="0"/>
    <xf numFmtId="0" fontId="50" fillId="0" borderId="17" applyNumberFormat="0" applyFill="0" applyAlignment="0" applyProtection="0"/>
    <xf numFmtId="0" fontId="62" fillId="0" borderId="17" applyNumberFormat="0" applyFill="0" applyAlignment="0" applyProtection="0"/>
    <xf numFmtId="0" fontId="62"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4" fontId="76" fillId="0" borderId="18">
      <alignment horizontal="right"/>
    </xf>
    <xf numFmtId="0" fontId="76" fillId="0" borderId="18">
      <alignment horizontal="left"/>
    </xf>
    <xf numFmtId="0" fontId="51" fillId="0" borderId="0" applyNumberFormat="0" applyFill="0" applyBorder="0" applyAlignment="0" applyProtection="0"/>
    <xf numFmtId="0" fontId="52" fillId="0" borderId="0" applyNumberFormat="0" applyFill="0" applyBorder="0" applyAlignment="0" applyProtection="0"/>
    <xf numFmtId="0" fontId="32" fillId="21" borderId="3" applyNumberFormat="0" applyAlignment="0" applyProtection="0"/>
    <xf numFmtId="0" fontId="53" fillId="0" borderId="0" applyNumberFormat="0" applyFill="0" applyBorder="0" applyAlignment="0" applyProtection="0"/>
    <xf numFmtId="0" fontId="77"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13" fillId="0" borderId="0"/>
    <xf numFmtId="0" fontId="3" fillId="0" borderId="0"/>
    <xf numFmtId="0" fontId="119" fillId="0" borderId="0"/>
    <xf numFmtId="0" fontId="129" fillId="0" borderId="0" applyNumberFormat="0" applyBorder="0" applyAlignment="0">
      <protection locked="0"/>
    </xf>
    <xf numFmtId="9" fontId="119" fillId="0" borderId="0" applyFont="0" applyFill="0" applyBorder="0" applyAlignment="0" applyProtection="0"/>
    <xf numFmtId="0" fontId="100" fillId="0" borderId="0">
      <alignment vertical="center"/>
    </xf>
    <xf numFmtId="0" fontId="96" fillId="0" borderId="0" applyNumberFormat="0" applyFill="0" applyBorder="0" applyAlignment="0" applyProtection="0">
      <alignment vertical="center"/>
    </xf>
    <xf numFmtId="0" fontId="100" fillId="0" borderId="0">
      <alignment vertical="center"/>
    </xf>
    <xf numFmtId="0" fontId="2" fillId="0" borderId="0"/>
    <xf numFmtId="44" fontId="2" fillId="0" borderId="0" applyFont="0" applyFill="0" applyBorder="0" applyAlignment="0" applyProtection="0"/>
    <xf numFmtId="0" fontId="100" fillId="0" borderId="0">
      <alignment vertical="center"/>
    </xf>
    <xf numFmtId="0" fontId="1" fillId="0" borderId="0"/>
    <xf numFmtId="44" fontId="1" fillId="0" borderId="0" applyFont="0" applyFill="0" applyBorder="0" applyAlignment="0" applyProtection="0"/>
  </cellStyleXfs>
  <cellXfs count="684">
    <xf numFmtId="0" fontId="0" fillId="0" borderId="0" xfId="0"/>
    <xf numFmtId="0" fontId="8" fillId="0" borderId="19" xfId="0" applyFont="1" applyBorder="1" applyAlignment="1">
      <alignment horizontal="center" vertical="center"/>
    </xf>
    <xf numFmtId="0" fontId="13" fillId="0" borderId="0" xfId="0" applyFont="1" applyAlignment="1">
      <alignment horizontal="right" vertical="center" wrapText="1" shrinkToFit="1"/>
    </xf>
    <xf numFmtId="0" fontId="13" fillId="0" borderId="0" xfId="0" applyFont="1" applyAlignment="1">
      <alignment horizontal="left" vertical="center" wrapText="1" shrinkToFit="1"/>
    </xf>
    <xf numFmtId="0" fontId="13" fillId="0" borderId="0" xfId="0" applyFont="1" applyAlignment="1">
      <alignment vertical="center" wrapText="1" shrinkToFit="1"/>
    </xf>
    <xf numFmtId="0" fontId="13" fillId="0" borderId="0" xfId="0" applyFont="1"/>
    <xf numFmtId="0" fontId="0" fillId="0" borderId="0" xfId="0" applyAlignment="1">
      <alignment horizontal="center"/>
    </xf>
    <xf numFmtId="167" fontId="0" fillId="0" borderId="0" xfId="0" applyNumberFormat="1"/>
    <xf numFmtId="0" fontId="24" fillId="25" borderId="28" xfId="0" applyFont="1" applyFill="1" applyBorder="1" applyAlignment="1">
      <alignment horizontal="center" vertical="center" wrapText="1"/>
    </xf>
    <xf numFmtId="0" fontId="24" fillId="25" borderId="29" xfId="0" applyFont="1" applyFill="1" applyBorder="1" applyAlignment="1">
      <alignment horizontal="center" vertical="center" wrapText="1"/>
    </xf>
    <xf numFmtId="0" fontId="0" fillId="0" borderId="4" xfId="0" applyBorder="1"/>
    <xf numFmtId="0" fontId="13" fillId="0" borderId="0" xfId="0" applyFont="1" applyAlignment="1">
      <alignment horizontal="left"/>
    </xf>
    <xf numFmtId="0" fontId="13" fillId="0" borderId="0" xfId="312" applyNumberFormat="1" applyFont="1" applyBorder="1" applyAlignment="1">
      <alignment horizontal="left" wrapText="1"/>
    </xf>
    <xf numFmtId="0" fontId="54" fillId="0" borderId="0" xfId="0" applyFont="1"/>
    <xf numFmtId="0" fontId="0" fillId="0" borderId="4" xfId="0" applyBorder="1" applyProtection="1">
      <protection locked="0"/>
    </xf>
    <xf numFmtId="0" fontId="5" fillId="0" borderId="0" xfId="0" applyFont="1"/>
    <xf numFmtId="0" fontId="0" fillId="0" borderId="38" xfId="0" applyBorder="1"/>
    <xf numFmtId="0" fontId="5" fillId="0" borderId="4" xfId="0" applyFont="1" applyBorder="1" applyProtection="1">
      <protection locked="0"/>
    </xf>
    <xf numFmtId="0" fontId="24" fillId="34" borderId="39" xfId="0" applyFont="1" applyFill="1" applyBorder="1" applyAlignment="1">
      <alignment horizontal="center" vertical="center" wrapText="1"/>
    </xf>
    <xf numFmtId="0" fontId="19" fillId="34" borderId="40" xfId="0" applyFont="1" applyFill="1" applyBorder="1" applyAlignment="1">
      <alignment horizontal="center" vertical="center" wrapText="1"/>
    </xf>
    <xf numFmtId="165" fontId="24" fillId="25" borderId="29" xfId="312" applyNumberFormat="1" applyFont="1" applyFill="1" applyBorder="1" applyAlignment="1">
      <alignment horizontal="center" vertical="center" wrapText="1"/>
    </xf>
    <xf numFmtId="165" fontId="0" fillId="0" borderId="4" xfId="312" applyNumberFormat="1" applyFont="1" applyBorder="1" applyAlignment="1" applyProtection="1">
      <protection locked="0"/>
    </xf>
    <xf numFmtId="165" fontId="0" fillId="0" borderId="4" xfId="0" applyNumberFormat="1" applyBorder="1" applyProtection="1">
      <protection locked="0"/>
    </xf>
    <xf numFmtId="4" fontId="0" fillId="0" borderId="4" xfId="0" applyNumberFormat="1" applyBorder="1" applyProtection="1">
      <protection locked="0"/>
    </xf>
    <xf numFmtId="3" fontId="0" fillId="34" borderId="4" xfId="0" applyNumberFormat="1" applyFill="1" applyBorder="1" applyProtection="1">
      <protection locked="0"/>
    </xf>
    <xf numFmtId="3" fontId="0" fillId="0" borderId="4" xfId="0" applyNumberFormat="1" applyBorder="1" applyProtection="1">
      <protection locked="0"/>
    </xf>
    <xf numFmtId="188" fontId="0" fillId="0" borderId="0" xfId="0" applyNumberFormat="1"/>
    <xf numFmtId="0" fontId="19" fillId="0" borderId="0" xfId="0" applyFont="1"/>
    <xf numFmtId="171" fontId="0" fillId="0" borderId="38" xfId="0" applyNumberFormat="1" applyBorder="1"/>
    <xf numFmtId="171" fontId="0" fillId="0" borderId="0" xfId="0" applyNumberFormat="1"/>
    <xf numFmtId="0" fontId="19" fillId="0" borderId="0" xfId="0" applyFont="1" applyAlignment="1">
      <alignment horizontal="center"/>
    </xf>
    <xf numFmtId="0" fontId="4" fillId="0" borderId="0" xfId="627"/>
    <xf numFmtId="190" fontId="4" fillId="0" borderId="0" xfId="627" applyNumberFormat="1"/>
    <xf numFmtId="0" fontId="101" fillId="0" borderId="0" xfId="627" applyFont="1" applyAlignment="1">
      <alignment horizontal="center"/>
    </xf>
    <xf numFmtId="190" fontId="101" fillId="0" borderId="0" xfId="627" applyNumberFormat="1" applyFont="1" applyAlignment="1">
      <alignment horizontal="left"/>
    </xf>
    <xf numFmtId="190" fontId="101" fillId="0" borderId="0" xfId="627" applyNumberFormat="1" applyFont="1" applyAlignment="1">
      <alignment horizontal="center"/>
    </xf>
    <xf numFmtId="190" fontId="101" fillId="0" borderId="0" xfId="627" applyNumberFormat="1" applyFont="1"/>
    <xf numFmtId="1" fontId="4" fillId="0" borderId="0" xfId="627" applyNumberFormat="1" applyAlignment="1">
      <alignment horizontal="center"/>
    </xf>
    <xf numFmtId="1" fontId="0" fillId="0" borderId="0" xfId="0" applyNumberFormat="1" applyAlignment="1">
      <alignment horizontal="center"/>
    </xf>
    <xf numFmtId="0" fontId="19" fillId="0" borderId="0" xfId="627" applyFont="1"/>
    <xf numFmtId="190" fontId="19" fillId="0" borderId="0" xfId="627" applyNumberFormat="1" applyFont="1"/>
    <xf numFmtId="0" fontId="5" fillId="0" borderId="0" xfId="627" applyFont="1"/>
    <xf numFmtId="0" fontId="0" fillId="35" borderId="0" xfId="0" applyFill="1"/>
    <xf numFmtId="0" fontId="105" fillId="0" borderId="0" xfId="0" applyFont="1"/>
    <xf numFmtId="166" fontId="105" fillId="0" borderId="0" xfId="0" applyNumberFormat="1" applyFont="1"/>
    <xf numFmtId="0" fontId="106" fillId="0" borderId="0" xfId="0" applyFont="1"/>
    <xf numFmtId="166" fontId="106" fillId="0" borderId="0" xfId="0" applyNumberFormat="1" applyFont="1"/>
    <xf numFmtId="166" fontId="13" fillId="0" borderId="0" xfId="0" applyNumberFormat="1" applyFont="1" applyAlignment="1">
      <alignment horizontal="center"/>
    </xf>
    <xf numFmtId="167" fontId="106" fillId="0" borderId="0" xfId="0" applyNumberFormat="1" applyFont="1"/>
    <xf numFmtId="167" fontId="105" fillId="0" borderId="0" xfId="0" applyNumberFormat="1" applyFont="1"/>
    <xf numFmtId="190" fontId="4" fillId="34" borderId="0" xfId="627" applyNumberFormat="1" applyFill="1"/>
    <xf numFmtId="0" fontId="5" fillId="0" borderId="0" xfId="632"/>
    <xf numFmtId="190" fontId="5" fillId="0" borderId="0" xfId="632" applyNumberFormat="1"/>
    <xf numFmtId="0" fontId="103" fillId="34" borderId="38" xfId="0" applyFont="1" applyFill="1" applyBorder="1"/>
    <xf numFmtId="0" fontId="109" fillId="36" borderId="77" xfId="0" applyFont="1" applyFill="1" applyBorder="1" applyAlignment="1">
      <alignment vertical="center" wrapText="1"/>
    </xf>
    <xf numFmtId="0" fontId="109" fillId="36" borderId="0" xfId="0" applyFont="1" applyFill="1" applyAlignment="1">
      <alignment vertical="center" wrapText="1"/>
    </xf>
    <xf numFmtId="0" fontId="0" fillId="37" borderId="0" xfId="0" applyFill="1"/>
    <xf numFmtId="0" fontId="101" fillId="29" borderId="0" xfId="0" applyFont="1" applyFill="1"/>
    <xf numFmtId="5" fontId="0" fillId="29" borderId="0" xfId="0" applyNumberFormat="1" applyFill="1"/>
    <xf numFmtId="165" fontId="0" fillId="29" borderId="0" xfId="0" applyNumberFormat="1" applyFill="1"/>
    <xf numFmtId="0" fontId="110" fillId="29" borderId="0" xfId="828" applyFont="1" applyFill="1" applyBorder="1" applyAlignment="1">
      <alignment horizontal="left"/>
    </xf>
    <xf numFmtId="3" fontId="0" fillId="29" borderId="0" xfId="0" applyNumberFormat="1" applyFill="1"/>
    <xf numFmtId="0" fontId="97" fillId="29" borderId="0" xfId="475" applyFill="1" applyBorder="1"/>
    <xf numFmtId="166" fontId="0" fillId="29" borderId="0" xfId="0" applyNumberFormat="1" applyFill="1"/>
    <xf numFmtId="0" fontId="97" fillId="29" borderId="46" xfId="475" applyFill="1" applyBorder="1"/>
    <xf numFmtId="0" fontId="0" fillId="29" borderId="47" xfId="0" applyFill="1" applyBorder="1"/>
    <xf numFmtId="0" fontId="0" fillId="29" borderId="48" xfId="0" applyFill="1" applyBorder="1"/>
    <xf numFmtId="0" fontId="101" fillId="29" borderId="31" xfId="0" applyFont="1" applyFill="1" applyBorder="1" applyAlignment="1">
      <alignment horizontal="left" wrapText="1"/>
    </xf>
    <xf numFmtId="0" fontId="101" fillId="29" borderId="8" xfId="0" applyFont="1" applyFill="1" applyBorder="1" applyAlignment="1">
      <alignment horizontal="left" wrapText="1"/>
    </xf>
    <xf numFmtId="0" fontId="101" fillId="29" borderId="6" xfId="0" applyFont="1" applyFill="1" applyBorder="1" applyAlignment="1">
      <alignment horizontal="left" wrapText="1"/>
    </xf>
    <xf numFmtId="0" fontId="0" fillId="29" borderId="49" xfId="0" applyFill="1" applyBorder="1"/>
    <xf numFmtId="14" fontId="0" fillId="29" borderId="0" xfId="0" applyNumberFormat="1" applyFill="1"/>
    <xf numFmtId="168" fontId="0" fillId="29" borderId="49" xfId="0" applyNumberFormat="1" applyFill="1" applyBorder="1" applyAlignment="1">
      <alignment horizontal="right"/>
    </xf>
    <xf numFmtId="168" fontId="0" fillId="29" borderId="0" xfId="0" applyNumberFormat="1" applyFill="1" applyAlignment="1">
      <alignment horizontal="right"/>
    </xf>
    <xf numFmtId="168" fontId="0" fillId="29" borderId="50" xfId="0" applyNumberFormat="1" applyFill="1" applyBorder="1" applyAlignment="1">
      <alignment horizontal="right"/>
    </xf>
    <xf numFmtId="3" fontId="0" fillId="29" borderId="49" xfId="0" applyNumberFormat="1" applyFill="1" applyBorder="1" applyAlignment="1">
      <alignment wrapText="1"/>
    </xf>
    <xf numFmtId="3" fontId="0" fillId="29" borderId="0" xfId="0" applyNumberFormat="1" applyFill="1" applyAlignment="1">
      <alignment wrapText="1"/>
    </xf>
    <xf numFmtId="3" fontId="0" fillId="29" borderId="50" xfId="0" applyNumberFormat="1" applyFill="1" applyBorder="1" applyAlignment="1">
      <alignment wrapText="1"/>
    </xf>
    <xf numFmtId="166" fontId="0" fillId="29" borderId="53" xfId="0" applyNumberFormat="1" applyFill="1" applyBorder="1" applyAlignment="1">
      <alignment wrapText="1"/>
    </xf>
    <xf numFmtId="0" fontId="0" fillId="29" borderId="51" xfId="0" applyFill="1" applyBorder="1"/>
    <xf numFmtId="0" fontId="0" fillId="29" borderId="16" xfId="0" applyFill="1" applyBorder="1"/>
    <xf numFmtId="14" fontId="0" fillId="29" borderId="16" xfId="0" applyNumberFormat="1" applyFill="1" applyBorder="1"/>
    <xf numFmtId="168" fontId="0" fillId="29" borderId="51" xfId="0" applyNumberFormat="1" applyFill="1" applyBorder="1" applyAlignment="1">
      <alignment horizontal="right"/>
    </xf>
    <xf numFmtId="168" fontId="0" fillId="29" borderId="16" xfId="0" applyNumberFormat="1" applyFill="1" applyBorder="1" applyAlignment="1">
      <alignment horizontal="right"/>
    </xf>
    <xf numFmtId="168" fontId="0" fillId="29" borderId="42" xfId="0" applyNumberFormat="1" applyFill="1" applyBorder="1" applyAlignment="1">
      <alignment horizontal="right"/>
    </xf>
    <xf numFmtId="3" fontId="0" fillId="29" borderId="51" xfId="0" applyNumberFormat="1" applyFill="1" applyBorder="1" applyAlignment="1">
      <alignment wrapText="1"/>
    </xf>
    <xf numFmtId="3" fontId="0" fillId="29" borderId="16" xfId="0" applyNumberFormat="1" applyFill="1" applyBorder="1" applyAlignment="1">
      <alignment wrapText="1"/>
    </xf>
    <xf numFmtId="3" fontId="0" fillId="29" borderId="42" xfId="0" applyNumberFormat="1" applyFill="1" applyBorder="1" applyAlignment="1">
      <alignment wrapText="1"/>
    </xf>
    <xf numFmtId="166" fontId="0" fillId="29" borderId="43" xfId="0" applyNumberFormat="1" applyFill="1" applyBorder="1" applyAlignment="1">
      <alignment wrapText="1"/>
    </xf>
    <xf numFmtId="168" fontId="0" fillId="29" borderId="0" xfId="0" applyNumberFormat="1" applyFill="1"/>
    <xf numFmtId="166" fontId="0" fillId="29" borderId="0" xfId="0" applyNumberFormat="1" applyFill="1" applyAlignment="1">
      <alignment horizontal="right"/>
    </xf>
    <xf numFmtId="0" fontId="0" fillId="29" borderId="0" xfId="0" applyFill="1" applyAlignment="1">
      <alignment horizontal="left" wrapText="1"/>
    </xf>
    <xf numFmtId="0" fontId="101" fillId="29" borderId="47" xfId="0" applyFont="1" applyFill="1" applyBorder="1" applyAlignment="1">
      <alignment horizontal="center"/>
    </xf>
    <xf numFmtId="0" fontId="0" fillId="29" borderId="0" xfId="0" applyFill="1"/>
    <xf numFmtId="0" fontId="101" fillId="29" borderId="6" xfId="0" applyFont="1" applyFill="1" applyBorder="1" applyAlignment="1">
      <alignment horizontal="left" vertical="center" wrapText="1"/>
    </xf>
    <xf numFmtId="0" fontId="101" fillId="34" borderId="6" xfId="0" applyFont="1" applyFill="1" applyBorder="1" applyAlignment="1">
      <alignment horizontal="left" vertical="center" wrapText="1"/>
    </xf>
    <xf numFmtId="166" fontId="110" fillId="29" borderId="6" xfId="637" applyNumberFormat="1" applyFont="1" applyFill="1" applyBorder="1" applyAlignment="1">
      <alignment wrapText="1"/>
    </xf>
    <xf numFmtId="0" fontId="95" fillId="0" borderId="0" xfId="801"/>
    <xf numFmtId="0" fontId="101" fillId="0" borderId="0" xfId="801" applyFont="1"/>
    <xf numFmtId="0" fontId="101" fillId="0" borderId="0" xfId="801" applyFont="1" applyAlignment="1">
      <alignment horizontal="center"/>
    </xf>
    <xf numFmtId="0" fontId="19" fillId="0" borderId="38" xfId="0" applyFont="1" applyBorder="1"/>
    <xf numFmtId="0" fontId="96" fillId="0" borderId="0" xfId="474"/>
    <xf numFmtId="0" fontId="96" fillId="29" borderId="0" xfId="474" applyFill="1"/>
    <xf numFmtId="0" fontId="19" fillId="29" borderId="6" xfId="0" applyFont="1" applyFill="1" applyBorder="1" applyAlignment="1">
      <alignment horizontal="center"/>
    </xf>
    <xf numFmtId="0" fontId="115" fillId="0" borderId="0" xfId="1068" applyFont="1"/>
    <xf numFmtId="0" fontId="116" fillId="38" borderId="78" xfId="1068" applyFont="1" applyFill="1" applyBorder="1" applyAlignment="1">
      <alignment horizontal="right" vertical="top" wrapText="1" readingOrder="1"/>
    </xf>
    <xf numFmtId="0" fontId="116" fillId="38" borderId="78" xfId="1068" applyFont="1" applyFill="1" applyBorder="1" applyAlignment="1">
      <alignment vertical="top" wrapText="1" readingOrder="1"/>
    </xf>
    <xf numFmtId="0" fontId="116" fillId="38" borderId="85" xfId="1068" applyFont="1" applyFill="1" applyBorder="1" applyAlignment="1">
      <alignment horizontal="right" vertical="top" wrapText="1" readingOrder="1"/>
    </xf>
    <xf numFmtId="0" fontId="117" fillId="34" borderId="6" xfId="1068" applyFont="1" applyFill="1" applyBorder="1" applyAlignment="1">
      <alignment wrapText="1"/>
    </xf>
    <xf numFmtId="0" fontId="118" fillId="0" borderId="78" xfId="1068" applyFont="1" applyBorder="1" applyAlignment="1">
      <alignment vertical="top" wrapText="1" readingOrder="1"/>
    </xf>
    <xf numFmtId="0" fontId="118" fillId="0" borderId="85" xfId="1068" applyFont="1" applyBorder="1" applyAlignment="1">
      <alignment vertical="top" wrapText="1" readingOrder="1"/>
    </xf>
    <xf numFmtId="188" fontId="115" fillId="0" borderId="6" xfId="1068" applyNumberFormat="1" applyFont="1" applyBorder="1"/>
    <xf numFmtId="0" fontId="115" fillId="0" borderId="0" xfId="1068" applyFont="1" applyAlignment="1">
      <alignment horizontal="center"/>
    </xf>
    <xf numFmtId="188" fontId="117" fillId="0" borderId="0" xfId="1068" applyNumberFormat="1" applyFont="1"/>
    <xf numFmtId="0" fontId="101" fillId="39" borderId="0" xfId="1069" applyFont="1" applyFill="1"/>
    <xf numFmtId="0" fontId="3" fillId="0" borderId="0" xfId="1069"/>
    <xf numFmtId="0" fontId="101" fillId="39" borderId="0" xfId="1069" applyFont="1" applyFill="1" applyAlignment="1">
      <alignment wrapText="1"/>
    </xf>
    <xf numFmtId="0" fontId="3" fillId="0" borderId="0" xfId="1069" applyAlignment="1">
      <alignment wrapText="1"/>
    </xf>
    <xf numFmtId="0" fontId="101" fillId="0" borderId="0" xfId="1069" applyFont="1"/>
    <xf numFmtId="0" fontId="120" fillId="40" borderId="0" xfId="1070" applyFont="1" applyFill="1" applyAlignment="1">
      <alignment horizontal="left"/>
    </xf>
    <xf numFmtId="0" fontId="121" fillId="40" borderId="0" xfId="1070" applyFont="1" applyFill="1" applyAlignment="1">
      <alignment horizontal="left"/>
    </xf>
    <xf numFmtId="0" fontId="121" fillId="40" borderId="0" xfId="1070" applyFont="1" applyFill="1"/>
    <xf numFmtId="0" fontId="119" fillId="40" borderId="0" xfId="1070" applyFill="1"/>
    <xf numFmtId="3" fontId="119" fillId="40" borderId="0" xfId="1070" applyNumberFormat="1" applyFill="1"/>
    <xf numFmtId="192" fontId="119" fillId="40" borderId="0" xfId="1070" applyNumberFormat="1" applyFill="1"/>
    <xf numFmtId="193" fontId="119" fillId="40" borderId="0" xfId="1070" applyNumberFormat="1" applyFill="1"/>
    <xf numFmtId="4" fontId="119" fillId="40" borderId="0" xfId="1070" applyNumberFormat="1" applyFill="1"/>
    <xf numFmtId="3" fontId="122" fillId="40" borderId="0" xfId="1070" applyNumberFormat="1" applyFont="1" applyFill="1"/>
    <xf numFmtId="193" fontId="122" fillId="40" borderId="0" xfId="1070" applyNumberFormat="1" applyFont="1" applyFill="1"/>
    <xf numFmtId="0" fontId="119" fillId="0" borderId="0" xfId="1070"/>
    <xf numFmtId="0" fontId="123" fillId="40" borderId="0" xfId="1070" applyFont="1" applyFill="1"/>
    <xf numFmtId="0" fontId="124" fillId="40" borderId="0" xfId="1070" applyFont="1" applyFill="1"/>
    <xf numFmtId="0" fontId="125" fillId="40" borderId="0" xfId="828" applyFont="1" applyFill="1"/>
    <xf numFmtId="0" fontId="126" fillId="40" borderId="0" xfId="828" applyFont="1" applyFill="1" applyAlignment="1">
      <alignment horizontal="left"/>
    </xf>
    <xf numFmtId="0" fontId="126" fillId="40" borderId="0" xfId="828" applyFont="1" applyFill="1"/>
    <xf numFmtId="3" fontId="125" fillId="40" borderId="0" xfId="828" applyNumberFormat="1" applyFont="1" applyFill="1"/>
    <xf numFmtId="192" fontId="125" fillId="40" borderId="0" xfId="828" applyNumberFormat="1" applyFont="1" applyFill="1"/>
    <xf numFmtId="0" fontId="125" fillId="40" borderId="0" xfId="828" applyFont="1" applyFill="1" applyAlignment="1">
      <alignment horizontal="left"/>
    </xf>
    <xf numFmtId="3" fontId="125" fillId="40" borderId="0" xfId="828" applyNumberFormat="1" applyFont="1" applyFill="1" applyAlignment="1">
      <alignment horizontal="left"/>
    </xf>
    <xf numFmtId="192" fontId="125" fillId="40" borderId="0" xfId="828" applyNumberFormat="1" applyFont="1" applyFill="1" applyAlignment="1">
      <alignment horizontal="left"/>
    </xf>
    <xf numFmtId="0" fontId="127" fillId="40" borderId="0" xfId="828" applyFont="1" applyFill="1"/>
    <xf numFmtId="0" fontId="128" fillId="40" borderId="0" xfId="828" applyFont="1" applyFill="1" applyAlignment="1">
      <alignment horizontal="left"/>
    </xf>
    <xf numFmtId="0" fontId="128" fillId="40" borderId="0" xfId="828" applyFont="1" applyFill="1"/>
    <xf numFmtId="3" fontId="127" fillId="40" borderId="0" xfId="828" applyNumberFormat="1" applyFont="1" applyFill="1"/>
    <xf numFmtId="192" fontId="127" fillId="40" borderId="0" xfId="828" applyNumberFormat="1" applyFont="1" applyFill="1"/>
    <xf numFmtId="0" fontId="130" fillId="40" borderId="0" xfId="1071" applyFont="1" applyFill="1" applyAlignment="1">
      <protection locked="0"/>
    </xf>
    <xf numFmtId="0" fontId="119" fillId="40" borderId="0" xfId="1070" applyFill="1" applyAlignment="1">
      <alignment wrapText="1"/>
    </xf>
    <xf numFmtId="3" fontId="131" fillId="40" borderId="0" xfId="1070" applyNumberFormat="1" applyFont="1" applyFill="1" applyAlignment="1">
      <alignment horizontal="left" vertical="top"/>
    </xf>
    <xf numFmtId="4" fontId="131" fillId="40" borderId="0" xfId="1070" applyNumberFormat="1" applyFont="1" applyFill="1" applyAlignment="1">
      <alignment horizontal="left" vertical="top"/>
    </xf>
    <xf numFmtId="0" fontId="132" fillId="40" borderId="0" xfId="1070" applyFont="1" applyFill="1" applyAlignment="1">
      <alignment horizontal="left" vertical="center"/>
    </xf>
    <xf numFmtId="3" fontId="132" fillId="40" borderId="0" xfId="1070" applyNumberFormat="1" applyFont="1" applyFill="1" applyAlignment="1">
      <alignment horizontal="left" vertical="center"/>
    </xf>
    <xf numFmtId="0" fontId="131" fillId="40" borderId="0" xfId="828" applyFont="1" applyFill="1" applyAlignment="1">
      <alignment vertical="center" wrapText="1"/>
    </xf>
    <xf numFmtId="3" fontId="131" fillId="40" borderId="0" xfId="828" applyNumberFormat="1" applyFont="1" applyFill="1" applyAlignment="1">
      <alignment vertical="center" wrapText="1"/>
    </xf>
    <xf numFmtId="193" fontId="131" fillId="40" borderId="0" xfId="828" applyNumberFormat="1" applyFont="1" applyFill="1" applyAlignment="1">
      <alignment vertical="center" wrapText="1"/>
    </xf>
    <xf numFmtId="0" fontId="131" fillId="40" borderId="0" xfId="828" applyFont="1" applyFill="1" applyAlignment="1">
      <alignment wrapText="1"/>
    </xf>
    <xf numFmtId="0" fontId="131" fillId="40" borderId="0" xfId="1070" applyFont="1" applyFill="1" applyAlignment="1">
      <alignment vertical="top" wrapText="1"/>
    </xf>
    <xf numFmtId="3" fontId="119" fillId="40" borderId="0" xfId="1070" applyNumberFormat="1" applyFill="1" applyAlignment="1">
      <alignment vertical="center" wrapText="1"/>
    </xf>
    <xf numFmtId="0" fontId="119" fillId="40" borderId="0" xfId="1070" applyFill="1" applyAlignment="1">
      <alignment vertical="center" wrapText="1"/>
    </xf>
    <xf numFmtId="193" fontId="119" fillId="40" borderId="0" xfId="1070" applyNumberFormat="1" applyFill="1" applyAlignment="1">
      <alignment vertical="center" wrapText="1"/>
    </xf>
    <xf numFmtId="3" fontId="131" fillId="40" borderId="0" xfId="1071" applyNumberFormat="1" applyFont="1" applyFill="1" applyAlignment="1">
      <alignment vertical="top"/>
      <protection locked="0"/>
    </xf>
    <xf numFmtId="4" fontId="131" fillId="40" borderId="0" xfId="1071" applyNumberFormat="1" applyFont="1" applyFill="1" applyAlignment="1">
      <alignment vertical="top"/>
      <protection locked="0"/>
    </xf>
    <xf numFmtId="0" fontId="131" fillId="40" borderId="0" xfId="1071" applyFont="1" applyFill="1" applyAlignment="1">
      <alignment horizontal="left" vertical="top" wrapText="1"/>
      <protection locked="0"/>
    </xf>
    <xf numFmtId="0" fontId="122" fillId="40" borderId="0" xfId="1070" applyFont="1" applyFill="1" applyAlignment="1">
      <alignment horizontal="center" wrapText="1"/>
    </xf>
    <xf numFmtId="0" fontId="127" fillId="40" borderId="86" xfId="828" applyFont="1" applyFill="1" applyBorder="1" applyAlignment="1">
      <alignment horizontal="center"/>
    </xf>
    <xf numFmtId="0" fontId="131" fillId="40" borderId="86" xfId="828" applyFont="1" applyFill="1" applyBorder="1" applyAlignment="1">
      <alignment horizontal="center"/>
    </xf>
    <xf numFmtId="3" fontId="131" fillId="40" borderId="86" xfId="828" applyNumberFormat="1" applyFont="1" applyFill="1" applyBorder="1" applyAlignment="1">
      <alignment horizontal="left"/>
    </xf>
    <xf numFmtId="3" fontId="131" fillId="40" borderId="86" xfId="828" applyNumberFormat="1" applyFont="1" applyFill="1" applyBorder="1" applyAlignment="1">
      <alignment horizontal="center"/>
    </xf>
    <xf numFmtId="0" fontId="119" fillId="40" borderId="86" xfId="1070" applyFill="1" applyBorder="1"/>
    <xf numFmtId="0" fontId="127" fillId="40" borderId="0" xfId="828" applyFont="1" applyFill="1" applyAlignment="1">
      <alignment horizontal="center"/>
    </xf>
    <xf numFmtId="0" fontId="131" fillId="40" borderId="0" xfId="828" applyFont="1" applyFill="1" applyAlignment="1">
      <alignment horizontal="center"/>
    </xf>
    <xf numFmtId="3" fontId="131" fillId="40" borderId="0" xfId="828" applyNumberFormat="1" applyFont="1" applyFill="1" applyAlignment="1">
      <alignment horizontal="left"/>
    </xf>
    <xf numFmtId="3" fontId="131" fillId="40" borderId="0" xfId="828" applyNumberFormat="1" applyFont="1" applyFill="1" applyAlignment="1">
      <alignment horizontal="center"/>
    </xf>
    <xf numFmtId="3" fontId="134" fillId="40" borderId="87" xfId="828" applyNumberFormat="1" applyFont="1" applyFill="1" applyBorder="1" applyAlignment="1">
      <alignment horizontal="center"/>
    </xf>
    <xf numFmtId="193" fontId="135" fillId="40" borderId="87" xfId="1070" applyNumberFormat="1" applyFont="1" applyFill="1" applyBorder="1" applyAlignment="1">
      <alignment horizontal="center"/>
    </xf>
    <xf numFmtId="0" fontId="131" fillId="40" borderId="88" xfId="1071" applyFont="1" applyFill="1" applyBorder="1" applyAlignment="1">
      <alignment horizontal="left"/>
      <protection locked="0"/>
    </xf>
    <xf numFmtId="0" fontId="131" fillId="40" borderId="88" xfId="1071" applyFont="1" applyFill="1" applyBorder="1" applyAlignment="1">
      <alignment horizontal="center"/>
      <protection locked="0"/>
    </xf>
    <xf numFmtId="0" fontId="131" fillId="40" borderId="88" xfId="1071" applyFont="1" applyFill="1" applyBorder="1" applyAlignment="1">
      <alignment horizontal="center" wrapText="1"/>
      <protection locked="0"/>
    </xf>
    <xf numFmtId="3" fontId="131" fillId="40" borderId="88" xfId="1071" applyNumberFormat="1" applyFont="1" applyFill="1" applyBorder="1" applyAlignment="1">
      <alignment horizontal="center" wrapText="1"/>
      <protection locked="0"/>
    </xf>
    <xf numFmtId="3" fontId="131" fillId="40" borderId="0" xfId="1071" applyNumberFormat="1" applyFont="1" applyFill="1" applyAlignment="1">
      <alignment horizontal="center" wrapText="1"/>
      <protection locked="0"/>
    </xf>
    <xf numFmtId="3" fontId="131" fillId="40" borderId="88" xfId="828" applyNumberFormat="1" applyFont="1" applyFill="1" applyBorder="1" applyAlignment="1">
      <alignment horizontal="center" wrapText="1"/>
    </xf>
    <xf numFmtId="192" fontId="131" fillId="40" borderId="88" xfId="828" applyNumberFormat="1" applyFont="1" applyFill="1" applyBorder="1" applyAlignment="1">
      <alignment horizontal="center" wrapText="1"/>
    </xf>
    <xf numFmtId="193" fontId="131" fillId="40" borderId="87" xfId="1071" applyNumberFormat="1" applyFont="1" applyFill="1" applyBorder="1" applyAlignment="1">
      <alignment horizontal="center" wrapText="1"/>
      <protection locked="0"/>
    </xf>
    <xf numFmtId="193" fontId="131" fillId="40" borderId="0" xfId="1071" applyNumberFormat="1" applyFont="1" applyFill="1" applyAlignment="1">
      <alignment horizontal="center" wrapText="1"/>
      <protection locked="0"/>
    </xf>
    <xf numFmtId="3" fontId="131" fillId="40" borderId="87" xfId="1071" applyNumberFormat="1" applyFont="1" applyFill="1" applyBorder="1" applyAlignment="1">
      <alignment horizontal="center" wrapText="1"/>
      <protection locked="0"/>
    </xf>
    <xf numFmtId="192" fontId="131" fillId="40" borderId="87" xfId="1071" applyNumberFormat="1" applyFont="1" applyFill="1" applyBorder="1" applyAlignment="1">
      <alignment horizontal="center" wrapText="1"/>
      <protection locked="0"/>
    </xf>
    <xf numFmtId="3" fontId="134" fillId="41" borderId="87" xfId="1070" applyNumberFormat="1" applyFont="1" applyFill="1" applyBorder="1" applyAlignment="1">
      <alignment horizontal="center" wrapText="1"/>
    </xf>
    <xf numFmtId="193" fontId="134" fillId="40" borderId="87" xfId="1070" applyNumberFormat="1" applyFont="1" applyFill="1" applyBorder="1" applyAlignment="1">
      <alignment horizontal="center" wrapText="1"/>
    </xf>
    <xf numFmtId="0" fontId="131" fillId="40" borderId="0" xfId="1070" applyFont="1" applyFill="1" applyAlignment="1">
      <alignment horizontal="right"/>
    </xf>
    <xf numFmtId="0" fontId="131" fillId="40" borderId="0" xfId="1070" applyFont="1" applyFill="1" applyAlignment="1">
      <alignment horizontal="center"/>
    </xf>
    <xf numFmtId="0" fontId="131" fillId="40" borderId="0" xfId="1070" applyFont="1" applyFill="1"/>
    <xf numFmtId="14" fontId="131" fillId="40" borderId="0" xfId="1070" applyNumberFormat="1" applyFont="1" applyFill="1"/>
    <xf numFmtId="168" fontId="131" fillId="40" borderId="0" xfId="1070" applyNumberFormat="1" applyFont="1" applyFill="1" applyAlignment="1">
      <alignment horizontal="right"/>
    </xf>
    <xf numFmtId="3" fontId="131" fillId="40" borderId="0" xfId="1070" applyNumberFormat="1" applyFont="1" applyFill="1"/>
    <xf numFmtId="167" fontId="131" fillId="40" borderId="0" xfId="1070" applyNumberFormat="1" applyFont="1" applyFill="1" applyAlignment="1">
      <alignment horizontal="right"/>
    </xf>
    <xf numFmtId="166" fontId="131" fillId="40" borderId="0" xfId="1070" applyNumberFormat="1" applyFont="1" applyFill="1" applyAlignment="1">
      <alignment horizontal="right"/>
    </xf>
    <xf numFmtId="4" fontId="131" fillId="40" borderId="0" xfId="1070" applyNumberFormat="1" applyFont="1" applyFill="1" applyAlignment="1">
      <alignment horizontal="right"/>
    </xf>
    <xf numFmtId="3" fontId="134" fillId="40" borderId="0" xfId="1070" applyNumberFormat="1" applyFont="1" applyFill="1" applyAlignment="1">
      <alignment horizontal="right"/>
    </xf>
    <xf numFmtId="166" fontId="134" fillId="40" borderId="0" xfId="1070" applyNumberFormat="1" applyFont="1" applyFill="1" applyAlignment="1">
      <alignment horizontal="right"/>
    </xf>
    <xf numFmtId="0" fontId="134" fillId="40" borderId="0" xfId="1070" applyFont="1" applyFill="1" applyAlignment="1">
      <alignment horizontal="right"/>
    </xf>
    <xf numFmtId="0" fontId="134" fillId="40" borderId="0" xfId="1070" applyFont="1" applyFill="1" applyAlignment="1">
      <alignment horizontal="center"/>
    </xf>
    <xf numFmtId="0" fontId="134" fillId="40" borderId="0" xfId="1070" applyFont="1" applyFill="1"/>
    <xf numFmtId="14" fontId="134" fillId="40" borderId="0" xfId="1070" applyNumberFormat="1" applyFont="1" applyFill="1"/>
    <xf numFmtId="168" fontId="134" fillId="40" borderId="0" xfId="1070" applyNumberFormat="1" applyFont="1" applyFill="1" applyAlignment="1">
      <alignment horizontal="right"/>
    </xf>
    <xf numFmtId="3" fontId="134" fillId="40" borderId="0" xfId="1070" applyNumberFormat="1" applyFont="1" applyFill="1"/>
    <xf numFmtId="167" fontId="134" fillId="40" borderId="0" xfId="1072" applyNumberFormat="1" applyFont="1" applyFill="1" applyAlignment="1">
      <alignment horizontal="right"/>
    </xf>
    <xf numFmtId="4" fontId="134" fillId="40" borderId="0" xfId="1070" applyNumberFormat="1" applyFont="1" applyFill="1" applyAlignment="1">
      <alignment horizontal="right"/>
    </xf>
    <xf numFmtId="167" fontId="134" fillId="40" borderId="0" xfId="1070" applyNumberFormat="1" applyFont="1" applyFill="1" applyAlignment="1">
      <alignment horizontal="right"/>
    </xf>
    <xf numFmtId="0" fontId="122" fillId="0" borderId="0" xfId="1070" applyFont="1"/>
    <xf numFmtId="0" fontId="27" fillId="0" borderId="0" xfId="0" applyFont="1"/>
    <xf numFmtId="0" fontId="139" fillId="0" borderId="0" xfId="0" applyFont="1"/>
    <xf numFmtId="166" fontId="139" fillId="0" borderId="0" xfId="0" applyNumberFormat="1" applyFont="1"/>
    <xf numFmtId="0" fontId="4" fillId="0" borderId="0" xfId="0" applyFont="1"/>
    <xf numFmtId="0" fontId="7" fillId="0" borderId="0" xfId="0" applyFont="1" applyAlignment="1">
      <alignment horizontal="center" vertical="center"/>
    </xf>
    <xf numFmtId="0" fontId="8" fillId="0" borderId="0" xfId="0" applyFont="1" applyAlignment="1">
      <alignment horizontal="right"/>
    </xf>
    <xf numFmtId="0" fontId="19" fillId="0" borderId="0" xfId="0" applyFont="1" applyAlignment="1">
      <alignment horizontal="right"/>
    </xf>
    <xf numFmtId="0" fontId="0" fillId="0" borderId="20" xfId="0" applyBorder="1"/>
    <xf numFmtId="0" fontId="0" fillId="0" borderId="30" xfId="0" applyBorder="1"/>
    <xf numFmtId="0" fontId="0" fillId="0" borderId="41" xfId="0" applyBorder="1"/>
    <xf numFmtId="0" fontId="11" fillId="0" borderId="21" xfId="0" applyFont="1" applyBorder="1"/>
    <xf numFmtId="0" fontId="0" fillId="0" borderId="31" xfId="0" applyBorder="1"/>
    <xf numFmtId="0" fontId="12" fillId="0" borderId="35" xfId="0" applyFont="1" applyBorder="1"/>
    <xf numFmtId="0" fontId="0" fillId="0" borderId="42" xfId="0" applyBorder="1"/>
    <xf numFmtId="0" fontId="0" fillId="0" borderId="43" xfId="0" applyBorder="1"/>
    <xf numFmtId="0" fontId="0" fillId="0" borderId="44" xfId="0" applyBorder="1"/>
    <xf numFmtId="0" fontId="14" fillId="0" borderId="21" xfId="0" applyFont="1" applyBorder="1"/>
    <xf numFmtId="0" fontId="13" fillId="0" borderId="31" xfId="0" applyFont="1" applyBorder="1" applyAlignment="1">
      <alignment horizontal="left" wrapText="1"/>
    </xf>
    <xf numFmtId="10" fontId="16" fillId="0" borderId="35" xfId="931" applyNumberFormat="1" applyFont="1" applyBorder="1" applyProtection="1"/>
    <xf numFmtId="10" fontId="13" fillId="0" borderId="33" xfId="931" applyNumberFormat="1" applyFont="1" applyBorder="1" applyProtection="1"/>
    <xf numFmtId="10" fontId="14" fillId="0" borderId="6" xfId="931" applyNumberFormat="1" applyFont="1" applyBorder="1" applyProtection="1"/>
    <xf numFmtId="10" fontId="14" fillId="0" borderId="22" xfId="931" applyNumberFormat="1" applyFont="1" applyBorder="1" applyProtection="1"/>
    <xf numFmtId="0" fontId="13" fillId="0" borderId="31" xfId="0" applyFont="1" applyBorder="1" applyAlignment="1">
      <alignment horizontal="left" vertical="top" wrapText="1"/>
    </xf>
    <xf numFmtId="164" fontId="16" fillId="0" borderId="35" xfId="931" applyNumberFormat="1" applyFont="1" applyBorder="1" applyProtection="1"/>
    <xf numFmtId="164" fontId="14" fillId="0" borderId="33" xfId="931" applyNumberFormat="1" applyFont="1" applyBorder="1" applyProtection="1"/>
    <xf numFmtId="164" fontId="14" fillId="0" borderId="6" xfId="931" applyNumberFormat="1" applyFont="1" applyBorder="1" applyProtection="1"/>
    <xf numFmtId="164" fontId="14" fillId="0" borderId="22" xfId="931" applyNumberFormat="1" applyFont="1" applyBorder="1" applyProtection="1"/>
    <xf numFmtId="0" fontId="0" fillId="0" borderId="33" xfId="0" applyBorder="1"/>
    <xf numFmtId="0" fontId="0" fillId="0" borderId="6" xfId="0" applyBorder="1"/>
    <xf numFmtId="0" fontId="0" fillId="0" borderId="22" xfId="0" applyBorder="1"/>
    <xf numFmtId="10" fontId="14" fillId="0" borderId="33" xfId="931" applyNumberFormat="1" applyFont="1" applyFill="1" applyBorder="1" applyProtection="1"/>
    <xf numFmtId="10" fontId="14" fillId="0" borderId="6" xfId="931" applyNumberFormat="1" applyFont="1" applyFill="1" applyBorder="1" applyProtection="1"/>
    <xf numFmtId="10" fontId="14" fillId="0" borderId="22" xfId="931" applyNumberFormat="1" applyFont="1" applyFill="1" applyBorder="1" applyProtection="1"/>
    <xf numFmtId="164" fontId="14" fillId="0" borderId="33" xfId="931" applyNumberFormat="1" applyFont="1" applyFill="1" applyBorder="1" applyProtection="1"/>
    <xf numFmtId="164" fontId="14" fillId="0" borderId="6" xfId="931" applyNumberFormat="1" applyFont="1" applyFill="1" applyBorder="1" applyProtection="1"/>
    <xf numFmtId="164" fontId="14" fillId="0" borderId="22" xfId="931" applyNumberFormat="1" applyFont="1" applyFill="1" applyBorder="1" applyProtection="1"/>
    <xf numFmtId="0" fontId="0" fillId="0" borderId="35" xfId="0" applyBorder="1"/>
    <xf numFmtId="0" fontId="13" fillId="0" borderId="21" xfId="0" applyFont="1" applyBorder="1" applyAlignment="1">
      <alignment wrapText="1"/>
    </xf>
    <xf numFmtId="0" fontId="13" fillId="0" borderId="31" xfId="0" applyFont="1" applyBorder="1"/>
    <xf numFmtId="0" fontId="13" fillId="0" borderId="21" xfId="0" applyFont="1" applyBorder="1"/>
    <xf numFmtId="0" fontId="17" fillId="0" borderId="35" xfId="0" applyFont="1" applyBorder="1"/>
    <xf numFmtId="0" fontId="13" fillId="0" borderId="33" xfId="0" applyFont="1" applyBorder="1"/>
    <xf numFmtId="0" fontId="13" fillId="0" borderId="6" xfId="0" applyFont="1" applyBorder="1"/>
    <xf numFmtId="0" fontId="13" fillId="0" borderId="22" xfId="0" applyFont="1" applyBorder="1"/>
    <xf numFmtId="0" fontId="9" fillId="0" borderId="21" xfId="0" applyFont="1" applyBorder="1"/>
    <xf numFmtId="164" fontId="13" fillId="0" borderId="33" xfId="931" applyNumberFormat="1" applyFont="1" applyFill="1" applyBorder="1" applyProtection="1"/>
    <xf numFmtId="164" fontId="13" fillId="0" borderId="6" xfId="931" applyNumberFormat="1" applyFont="1" applyFill="1" applyBorder="1" applyProtection="1"/>
    <xf numFmtId="164" fontId="13" fillId="0" borderId="22" xfId="931" applyNumberFormat="1" applyFont="1" applyFill="1" applyBorder="1" applyProtection="1"/>
    <xf numFmtId="10" fontId="16" fillId="0" borderId="35" xfId="931" applyNumberFormat="1" applyFont="1" applyFill="1" applyBorder="1" applyProtection="1"/>
    <xf numFmtId="164" fontId="16" fillId="0" borderId="35" xfId="931" applyNumberFormat="1" applyFont="1" applyFill="1" applyBorder="1" applyProtection="1"/>
    <xf numFmtId="0" fontId="18" fillId="0" borderId="35" xfId="0" applyFont="1" applyBorder="1"/>
    <xf numFmtId="164" fontId="102" fillId="0" borderId="35" xfId="931" applyNumberFormat="1" applyFont="1" applyBorder="1" applyProtection="1"/>
    <xf numFmtId="0" fontId="13" fillId="0" borderId="23" xfId="0" applyFont="1" applyBorder="1"/>
    <xf numFmtId="0" fontId="13" fillId="0" borderId="32" xfId="0" applyFont="1" applyBorder="1"/>
    <xf numFmtId="0" fontId="13" fillId="0" borderId="36" xfId="0" applyFont="1" applyBorder="1"/>
    <xf numFmtId="0" fontId="13" fillId="0" borderId="34" xfId="0" applyFont="1" applyBorder="1"/>
    <xf numFmtId="0" fontId="13" fillId="0" borderId="24" xfId="0" applyFont="1" applyBorder="1"/>
    <xf numFmtId="0" fontId="13" fillId="0" borderId="25" xfId="0" applyFont="1" applyBorder="1"/>
    <xf numFmtId="0" fontId="9" fillId="0" borderId="0" xfId="0" applyFont="1" applyAlignment="1">
      <alignment horizontal="left"/>
    </xf>
    <xf numFmtId="0" fontId="0" fillId="0" borderId="0" xfId="0" applyAlignment="1">
      <alignment horizontal="left"/>
    </xf>
    <xf numFmtId="166" fontId="13" fillId="0" borderId="45" xfId="0" applyNumberFormat="1" applyFont="1" applyBorder="1" applyAlignment="1">
      <alignment horizontal="center"/>
    </xf>
    <xf numFmtId="167" fontId="21" fillId="0" borderId="26" xfId="0" applyNumberFormat="1" applyFont="1" applyBorder="1" applyAlignment="1">
      <alignment horizontal="left" vertical="top" wrapText="1"/>
    </xf>
    <xf numFmtId="166" fontId="21" fillId="0" borderId="27" xfId="0" applyNumberFormat="1" applyFont="1" applyBorder="1" applyAlignment="1">
      <alignment horizontal="left" vertical="top" wrapText="1"/>
    </xf>
    <xf numFmtId="167" fontId="137" fillId="0" borderId="26" xfId="0" applyNumberFormat="1" applyFont="1" applyBorder="1" applyAlignment="1">
      <alignment horizontal="left" vertical="top" wrapText="1"/>
    </xf>
    <xf numFmtId="166" fontId="137" fillId="0" borderId="27" xfId="0" applyNumberFormat="1" applyFont="1" applyBorder="1" applyAlignment="1">
      <alignment horizontal="left" vertical="top" wrapText="1"/>
    </xf>
    <xf numFmtId="166" fontId="137" fillId="0" borderId="54" xfId="0" applyNumberFormat="1" applyFont="1" applyBorder="1" applyAlignment="1">
      <alignment horizontal="left" vertical="top" wrapText="1"/>
    </xf>
    <xf numFmtId="167" fontId="103" fillId="0" borderId="26" xfId="0" applyNumberFormat="1" applyFont="1" applyBorder="1" applyAlignment="1">
      <alignment horizontal="left" vertical="top" wrapText="1"/>
    </xf>
    <xf numFmtId="166" fontId="103" fillId="0" borderId="27" xfId="0" applyNumberFormat="1" applyFont="1" applyBorder="1" applyAlignment="1">
      <alignment horizontal="left" vertical="top" wrapText="1"/>
    </xf>
    <xf numFmtId="167" fontId="103" fillId="0" borderId="26" xfId="0" applyNumberFormat="1" applyFont="1" applyBorder="1" applyAlignment="1">
      <alignment horizontal="center" vertical="top" wrapText="1"/>
    </xf>
    <xf numFmtId="167" fontId="103" fillId="0" borderId="15" xfId="0" applyNumberFormat="1" applyFont="1" applyBorder="1" applyAlignment="1">
      <alignment horizontal="left" vertical="top" wrapText="1"/>
    </xf>
    <xf numFmtId="0" fontId="103" fillId="0" borderId="27" xfId="0" applyFont="1" applyBorder="1" applyAlignment="1">
      <alignment horizontal="left" vertical="top" wrapText="1"/>
    </xf>
    <xf numFmtId="167" fontId="137" fillId="0" borderId="15" xfId="0" applyNumberFormat="1" applyFont="1" applyBorder="1" applyAlignment="1">
      <alignment horizontal="left" vertical="top" wrapText="1"/>
    </xf>
    <xf numFmtId="0" fontId="137" fillId="0" borderId="27" xfId="0" applyFont="1" applyBorder="1" applyAlignment="1">
      <alignment horizontal="left" vertical="top" wrapText="1"/>
    </xf>
    <xf numFmtId="0" fontId="137" fillId="0" borderId="26" xfId="0" applyFont="1" applyBorder="1" applyAlignment="1">
      <alignment horizontal="left" vertical="top" wrapText="1"/>
    </xf>
    <xf numFmtId="0" fontId="137" fillId="0" borderId="15" xfId="0" applyFont="1" applyBorder="1" applyAlignment="1">
      <alignment horizontal="left" vertical="top" wrapText="1"/>
    </xf>
    <xf numFmtId="0" fontId="103" fillId="0" borderId="26" xfId="0" applyFont="1" applyBorder="1" applyAlignment="1">
      <alignment horizontal="left" vertical="top" wrapText="1"/>
    </xf>
    <xf numFmtId="0" fontId="103" fillId="0" borderId="15" xfId="0" applyFont="1" applyBorder="1" applyAlignment="1">
      <alignment horizontal="left" vertical="top" wrapText="1"/>
    </xf>
    <xf numFmtId="0" fontId="137" fillId="0" borderId="26" xfId="0" applyFont="1" applyBorder="1" applyAlignment="1">
      <alignment horizontal="center" vertical="top" wrapText="1"/>
    </xf>
    <xf numFmtId="0" fontId="137" fillId="0" borderId="58" xfId="0" applyFont="1" applyBorder="1" applyAlignment="1">
      <alignment horizontal="left" vertical="top" wrapText="1"/>
    </xf>
    <xf numFmtId="0" fontId="4" fillId="0" borderId="0" xfId="312" applyNumberFormat="1" applyFont="1" applyFill="1" applyBorder="1" applyAlignment="1" applyProtection="1">
      <alignment horizontal="center" wrapText="1"/>
    </xf>
    <xf numFmtId="0" fontId="4" fillId="0" borderId="0" xfId="0" applyFont="1" applyAlignment="1">
      <alignment vertical="center" wrapText="1" shrinkToFit="1"/>
    </xf>
    <xf numFmtId="188" fontId="93" fillId="0" borderId="75" xfId="0" applyNumberFormat="1" applyFont="1" applyBorder="1" applyAlignment="1">
      <alignment vertical="top" wrapText="1" readingOrder="1"/>
    </xf>
    <xf numFmtId="188" fontId="4" fillId="0" borderId="0" xfId="0" applyNumberFormat="1" applyFont="1"/>
    <xf numFmtId="188" fontId="4" fillId="0" borderId="0" xfId="312" applyNumberFormat="1" applyFont="1" applyFill="1" applyProtection="1"/>
    <xf numFmtId="1" fontId="4" fillId="0" borderId="0" xfId="0" applyNumberFormat="1" applyFont="1"/>
    <xf numFmtId="10" fontId="22" fillId="0" borderId="59" xfId="931" applyNumberFormat="1" applyFont="1" applyFill="1" applyBorder="1" applyProtection="1"/>
    <xf numFmtId="164" fontId="22" fillId="0" borderId="54" xfId="0" applyNumberFormat="1" applyFont="1" applyBorder="1"/>
    <xf numFmtId="10" fontId="138" fillId="0" borderId="59" xfId="931" applyNumberFormat="1" applyFont="1" applyFill="1" applyBorder="1" applyProtection="1"/>
    <xf numFmtId="164" fontId="138" fillId="0" borderId="54" xfId="0" applyNumberFormat="1" applyFont="1" applyBorder="1"/>
    <xf numFmtId="164" fontId="138" fillId="0" borderId="0" xfId="931" applyNumberFormat="1" applyFont="1" applyFill="1" applyBorder="1" applyProtection="1"/>
    <xf numFmtId="10" fontId="104" fillId="0" borderId="0" xfId="931" applyNumberFormat="1" applyFont="1" applyFill="1" applyBorder="1" applyProtection="1"/>
    <xf numFmtId="164" fontId="104" fillId="0" borderId="54" xfId="0" applyNumberFormat="1" applyFont="1" applyBorder="1"/>
    <xf numFmtId="10" fontId="104" fillId="0" borderId="59" xfId="931" applyNumberFormat="1" applyFont="1" applyFill="1" applyBorder="1" applyProtection="1"/>
    <xf numFmtId="10" fontId="138" fillId="0" borderId="0" xfId="931" applyNumberFormat="1" applyFont="1" applyFill="1" applyBorder="1" applyProtection="1"/>
    <xf numFmtId="194" fontId="138" fillId="0" borderId="54" xfId="0" applyNumberFormat="1" applyFont="1" applyBorder="1"/>
    <xf numFmtId="164" fontId="104" fillId="0" borderId="54" xfId="931" applyNumberFormat="1" applyFont="1" applyFill="1" applyBorder="1" applyProtection="1"/>
    <xf numFmtId="1" fontId="4" fillId="0" borderId="0" xfId="0" applyNumberFormat="1" applyFont="1" applyAlignment="1">
      <alignment horizontal="center"/>
    </xf>
    <xf numFmtId="0" fontId="0" fillId="0" borderId="0" xfId="0" applyAlignment="1">
      <alignment vertical="center" wrapText="1" shrinkToFit="1"/>
    </xf>
    <xf numFmtId="0" fontId="103" fillId="0" borderId="38" xfId="0" applyFont="1" applyBorder="1"/>
    <xf numFmtId="0" fontId="23" fillId="0" borderId="38" xfId="0" applyFont="1" applyBorder="1"/>
    <xf numFmtId="0" fontId="23" fillId="0" borderId="38" xfId="0" applyFont="1" applyBorder="1" applyAlignment="1">
      <alignment horizontal="right"/>
    </xf>
    <xf numFmtId="188" fontId="19" fillId="0" borderId="38" xfId="312" applyNumberFormat="1" applyFont="1" applyFill="1" applyBorder="1" applyProtection="1"/>
    <xf numFmtId="10" fontId="10" fillId="0" borderId="60" xfId="931" applyNumberFormat="1" applyFont="1" applyFill="1" applyBorder="1" applyProtection="1"/>
    <xf numFmtId="164" fontId="10" fillId="0" borderId="61" xfId="931" applyNumberFormat="1" applyFont="1" applyFill="1" applyBorder="1" applyProtection="1"/>
    <xf numFmtId="10" fontId="136" fillId="0" borderId="60" xfId="931" applyNumberFormat="1" applyFont="1" applyFill="1" applyBorder="1" applyProtection="1"/>
    <xf numFmtId="164" fontId="136" fillId="0" borderId="61" xfId="931" applyNumberFormat="1" applyFont="1" applyFill="1" applyBorder="1" applyProtection="1"/>
    <xf numFmtId="164" fontId="136" fillId="0" borderId="38" xfId="931" applyNumberFormat="1" applyFont="1" applyFill="1" applyBorder="1" applyProtection="1"/>
    <xf numFmtId="10" fontId="102" fillId="0" borderId="38" xfId="931" applyNumberFormat="1" applyFont="1" applyFill="1" applyBorder="1" applyProtection="1"/>
    <xf numFmtId="164" fontId="102" fillId="0" borderId="61" xfId="0" applyNumberFormat="1" applyFont="1" applyBorder="1"/>
    <xf numFmtId="164" fontId="136" fillId="0" borderId="61" xfId="0" applyNumberFormat="1" applyFont="1" applyBorder="1"/>
    <xf numFmtId="10" fontId="102" fillId="0" borderId="60" xfId="931" applyNumberFormat="1" applyFont="1" applyFill="1" applyBorder="1" applyProtection="1"/>
    <xf numFmtId="10" fontId="136" fillId="0" borderId="38" xfId="931" applyNumberFormat="1" applyFont="1" applyFill="1" applyBorder="1" applyProtection="1"/>
    <xf numFmtId="194" fontId="136" fillId="0" borderId="61" xfId="0" applyNumberFormat="1" applyFont="1" applyBorder="1"/>
    <xf numFmtId="188" fontId="19" fillId="0" borderId="38" xfId="312" applyNumberFormat="1" applyFont="1" applyFill="1" applyBorder="1" applyAlignment="1" applyProtection="1">
      <alignment horizontal="center"/>
    </xf>
    <xf numFmtId="0" fontId="26" fillId="0" borderId="0" xfId="0" applyFont="1"/>
    <xf numFmtId="0" fontId="26" fillId="0" borderId="0" xfId="312" applyNumberFormat="1" applyFont="1" applyFill="1" applyBorder="1" applyAlignment="1" applyProtection="1">
      <alignment horizontal="center" wrapText="1"/>
    </xf>
    <xf numFmtId="0" fontId="26" fillId="0" borderId="0" xfId="0" applyFont="1" applyAlignment="1">
      <alignment vertical="center" wrapText="1" shrinkToFit="1"/>
    </xf>
    <xf numFmtId="188" fontId="26" fillId="0" borderId="0" xfId="0" applyNumberFormat="1" applyFont="1"/>
    <xf numFmtId="0" fontId="27" fillId="0" borderId="0" xfId="312" applyNumberFormat="1" applyFont="1" applyFill="1" applyBorder="1" applyAlignment="1" applyProtection="1">
      <alignment horizontal="center" wrapText="1"/>
    </xf>
    <xf numFmtId="188" fontId="27" fillId="0" borderId="0" xfId="0" applyNumberFormat="1" applyFont="1"/>
    <xf numFmtId="0" fontId="5" fillId="0" borderId="4" xfId="0" applyFont="1" applyBorder="1"/>
    <xf numFmtId="0" fontId="112" fillId="0" borderId="78" xfId="0" applyFont="1" applyBorder="1" applyAlignment="1">
      <alignment vertical="top" wrapText="1" readingOrder="1"/>
    </xf>
    <xf numFmtId="164" fontId="138" fillId="0" borderId="27" xfId="0" applyNumberFormat="1" applyFont="1" applyBorder="1"/>
    <xf numFmtId="1" fontId="19" fillId="0" borderId="38" xfId="0" applyNumberFormat="1" applyFont="1" applyBorder="1" applyAlignment="1">
      <alignment horizontal="center"/>
    </xf>
    <xf numFmtId="0" fontId="27" fillId="0" borderId="38" xfId="312" applyNumberFormat="1" applyFont="1" applyFill="1" applyBorder="1" applyAlignment="1" applyProtection="1">
      <alignment horizontal="center" wrapText="1"/>
    </xf>
    <xf numFmtId="188" fontId="94" fillId="0" borderId="76" xfId="0" applyNumberFormat="1" applyFont="1" applyBorder="1" applyAlignment="1">
      <alignment vertical="top" wrapText="1" readingOrder="1"/>
    </xf>
    <xf numFmtId="0" fontId="5" fillId="0" borderId="38" xfId="0" applyFont="1" applyBorder="1"/>
    <xf numFmtId="164" fontId="102" fillId="0" borderId="62" xfId="931" applyNumberFormat="1" applyFont="1" applyFill="1" applyBorder="1" applyProtection="1"/>
    <xf numFmtId="164" fontId="136" fillId="0" borderId="62" xfId="931" applyNumberFormat="1" applyFont="1" applyFill="1" applyBorder="1" applyProtection="1"/>
    <xf numFmtId="164" fontId="102" fillId="0" borderId="38" xfId="931" applyNumberFormat="1" applyFont="1" applyFill="1" applyBorder="1" applyProtection="1"/>
    <xf numFmtId="194" fontId="136" fillId="0" borderId="38" xfId="931" applyNumberFormat="1" applyFont="1" applyFill="1" applyBorder="1" applyProtection="1"/>
    <xf numFmtId="10" fontId="102" fillId="0" borderId="32" xfId="931" applyNumberFormat="1" applyFont="1" applyFill="1" applyBorder="1" applyProtection="1"/>
    <xf numFmtId="164" fontId="102" fillId="0" borderId="61" xfId="931" applyNumberFormat="1" applyFont="1" applyFill="1" applyBorder="1" applyProtection="1"/>
    <xf numFmtId="188" fontId="94" fillId="0" borderId="38" xfId="0" applyNumberFormat="1" applyFont="1" applyBorder="1" applyAlignment="1">
      <alignment horizontal="center" vertical="top" wrapText="1" readingOrder="1"/>
    </xf>
    <xf numFmtId="0" fontId="19" fillId="0" borderId="4" xfId="0" applyFont="1" applyBorder="1"/>
    <xf numFmtId="0" fontId="19" fillId="0" borderId="38" xfId="0" applyFont="1" applyBorder="1" applyAlignment="1">
      <alignment horizontal="right"/>
    </xf>
    <xf numFmtId="43" fontId="19" fillId="0" borderId="38" xfId="312" applyFont="1" applyFill="1" applyBorder="1" applyProtection="1"/>
    <xf numFmtId="10" fontId="10" fillId="0" borderId="63" xfId="931" applyNumberFormat="1" applyFont="1" applyFill="1" applyBorder="1" applyProtection="1"/>
    <xf numFmtId="164" fontId="10" fillId="0" borderId="64" xfId="931" applyNumberFormat="1" applyFont="1" applyFill="1" applyBorder="1" applyProtection="1"/>
    <xf numFmtId="10" fontId="136" fillId="0" borderId="63" xfId="931" applyNumberFormat="1" applyFont="1" applyFill="1" applyBorder="1" applyProtection="1"/>
    <xf numFmtId="164" fontId="136" fillId="0" borderId="64" xfId="931" applyNumberFormat="1" applyFont="1" applyFill="1" applyBorder="1" applyProtection="1"/>
    <xf numFmtId="164" fontId="136" fillId="0" borderId="15" xfId="931" applyNumberFormat="1" applyFont="1" applyFill="1" applyBorder="1" applyProtection="1"/>
    <xf numFmtId="10" fontId="102" fillId="0" borderId="65" xfId="931" applyNumberFormat="1" applyFont="1" applyFill="1" applyBorder="1" applyProtection="1"/>
    <xf numFmtId="164" fontId="102" fillId="0" borderId="64" xfId="0" applyNumberFormat="1" applyFont="1" applyBorder="1"/>
    <xf numFmtId="164" fontId="136" fillId="0" borderId="64" xfId="0" applyNumberFormat="1" applyFont="1" applyBorder="1"/>
    <xf numFmtId="10" fontId="102" fillId="0" borderId="63" xfId="931" applyNumberFormat="1" applyFont="1" applyFill="1" applyBorder="1" applyProtection="1"/>
    <xf numFmtId="10" fontId="136" fillId="0" borderId="65" xfId="931" applyNumberFormat="1" applyFont="1" applyFill="1" applyBorder="1" applyProtection="1"/>
    <xf numFmtId="194" fontId="136" fillId="0" borderId="64" xfId="0" applyNumberFormat="1" applyFont="1" applyBorder="1"/>
    <xf numFmtId="3" fontId="9" fillId="0" borderId="38" xfId="931" applyNumberFormat="1" applyFont="1" applyFill="1" applyBorder="1" applyAlignment="1" applyProtection="1">
      <alignment horizontal="center"/>
    </xf>
    <xf numFmtId="40" fontId="0" fillId="0" borderId="0" xfId="0" applyNumberFormat="1"/>
    <xf numFmtId="10" fontId="0" fillId="0" borderId="0" xfId="0" applyNumberFormat="1"/>
    <xf numFmtId="164" fontId="0" fillId="0" borderId="0" xfId="0" applyNumberFormat="1"/>
    <xf numFmtId="10" fontId="139" fillId="0" borderId="0" xfId="0" applyNumberFormat="1" applyFont="1"/>
    <xf numFmtId="164" fontId="139" fillId="0" borderId="0" xfId="0" applyNumberFormat="1" applyFont="1"/>
    <xf numFmtId="10" fontId="105" fillId="0" borderId="0" xfId="0" applyNumberFormat="1" applyFont="1"/>
    <xf numFmtId="164" fontId="105" fillId="0" borderId="0" xfId="0" applyNumberFormat="1" applyFont="1"/>
    <xf numFmtId="194" fontId="139" fillId="0" borderId="0" xfId="0" applyNumberFormat="1" applyFont="1"/>
    <xf numFmtId="166" fontId="4" fillId="0" borderId="0" xfId="0" applyNumberFormat="1" applyFont="1" applyAlignment="1">
      <alignment horizontal="center"/>
    </xf>
    <xf numFmtId="188" fontId="0" fillId="33" borderId="0" xfId="0" applyNumberFormat="1" applyFill="1"/>
    <xf numFmtId="10" fontId="22" fillId="0" borderId="46" xfId="931" applyNumberFormat="1" applyFont="1" applyBorder="1" applyProtection="1"/>
    <xf numFmtId="164" fontId="22" fillId="0" borderId="48" xfId="0" applyNumberFormat="1" applyFont="1" applyBorder="1"/>
    <xf numFmtId="10" fontId="138" fillId="0" borderId="46" xfId="931" applyNumberFormat="1" applyFont="1" applyBorder="1" applyProtection="1"/>
    <xf numFmtId="164" fontId="138" fillId="0" borderId="48" xfId="0" applyNumberFormat="1" applyFont="1" applyBorder="1"/>
    <xf numFmtId="10" fontId="104" fillId="0" borderId="46" xfId="931" applyNumberFormat="1" applyFont="1" applyBorder="1" applyProtection="1"/>
    <xf numFmtId="164" fontId="104" fillId="0" borderId="48" xfId="0" applyNumberFormat="1" applyFont="1" applyBorder="1"/>
    <xf numFmtId="10" fontId="104" fillId="0" borderId="47" xfId="931" applyNumberFormat="1" applyFont="1" applyBorder="1" applyProtection="1"/>
    <xf numFmtId="10" fontId="138" fillId="0" borderId="47" xfId="931" applyNumberFormat="1" applyFont="1" applyBorder="1" applyProtection="1"/>
    <xf numFmtId="194" fontId="138" fillId="0" borderId="48" xfId="0" applyNumberFormat="1" applyFont="1" applyBorder="1"/>
    <xf numFmtId="10" fontId="104" fillId="0" borderId="46" xfId="931" applyNumberFormat="1" applyFont="1" applyFill="1" applyBorder="1" applyProtection="1"/>
    <xf numFmtId="10" fontId="138" fillId="0" borderId="46" xfId="931" applyNumberFormat="1" applyFont="1" applyFill="1" applyBorder="1" applyProtection="1"/>
    <xf numFmtId="188" fontId="13" fillId="0" borderId="52" xfId="0" applyNumberFormat="1" applyFont="1" applyBorder="1" applyAlignment="1">
      <alignment horizontal="center"/>
    </xf>
    <xf numFmtId="10" fontId="22" fillId="0" borderId="49" xfId="931" applyNumberFormat="1" applyFont="1" applyBorder="1" applyProtection="1"/>
    <xf numFmtId="164" fontId="22" fillId="0" borderId="50" xfId="0" applyNumberFormat="1" applyFont="1" applyBorder="1"/>
    <xf numFmtId="10" fontId="138" fillId="0" borderId="49" xfId="931" applyNumberFormat="1" applyFont="1" applyBorder="1" applyProtection="1"/>
    <xf numFmtId="164" fontId="138" fillId="0" borderId="50" xfId="0" applyNumberFormat="1" applyFont="1" applyBorder="1"/>
    <xf numFmtId="10" fontId="104" fillId="0" borderId="49" xfId="931" applyNumberFormat="1" applyFont="1" applyBorder="1" applyProtection="1"/>
    <xf numFmtId="164" fontId="104" fillId="0" borderId="50" xfId="0" applyNumberFormat="1" applyFont="1" applyBorder="1"/>
    <xf numFmtId="10" fontId="104" fillId="0" borderId="0" xfId="931" applyNumberFormat="1" applyFont="1" applyBorder="1" applyProtection="1"/>
    <xf numFmtId="10" fontId="138" fillId="0" borderId="0" xfId="931" applyNumberFormat="1" applyFont="1" applyBorder="1" applyProtection="1"/>
    <xf numFmtId="194" fontId="138" fillId="0" borderId="50" xfId="0" applyNumberFormat="1" applyFont="1" applyBorder="1"/>
    <xf numFmtId="10" fontId="104" fillId="0" borderId="49" xfId="931" applyNumberFormat="1" applyFont="1" applyFill="1" applyBorder="1" applyProtection="1"/>
    <xf numFmtId="10" fontId="138" fillId="0" borderId="49" xfId="931" applyNumberFormat="1" applyFont="1" applyFill="1" applyBorder="1" applyProtection="1"/>
    <xf numFmtId="188" fontId="13" fillId="0" borderId="53" xfId="0" applyNumberFormat="1" applyFont="1" applyBorder="1" applyAlignment="1">
      <alignment horizontal="center"/>
    </xf>
    <xf numFmtId="188" fontId="105" fillId="0" borderId="0" xfId="0" applyNumberFormat="1" applyFont="1"/>
    <xf numFmtId="10" fontId="104" fillId="0" borderId="49" xfId="0" applyNumberFormat="1" applyFont="1" applyBorder="1"/>
    <xf numFmtId="10" fontId="138" fillId="0" borderId="49" xfId="0" applyNumberFormat="1" applyFont="1" applyBorder="1"/>
    <xf numFmtId="10" fontId="104" fillId="0" borderId="0" xfId="0" applyNumberFormat="1" applyFont="1"/>
    <xf numFmtId="10" fontId="138" fillId="0" borderId="0" xfId="0" applyNumberFormat="1" applyFont="1"/>
    <xf numFmtId="165" fontId="0" fillId="33" borderId="0" xfId="0" applyNumberFormat="1" applyFill="1"/>
    <xf numFmtId="164" fontId="138" fillId="0" borderId="50" xfId="931" applyNumberFormat="1" applyFont="1" applyBorder="1" applyProtection="1"/>
    <xf numFmtId="164" fontId="104" fillId="0" borderId="50" xfId="931" applyNumberFormat="1" applyFont="1" applyBorder="1" applyProtection="1"/>
    <xf numFmtId="10" fontId="22" fillId="0" borderId="51" xfId="931" applyNumberFormat="1" applyFont="1" applyBorder="1" applyProtection="1"/>
    <xf numFmtId="164" fontId="22" fillId="0" borderId="42" xfId="0" applyNumberFormat="1" applyFont="1" applyBorder="1"/>
    <xf numFmtId="10" fontId="138" fillId="0" borderId="51" xfId="931" applyNumberFormat="1" applyFont="1" applyBorder="1" applyProtection="1"/>
    <xf numFmtId="164" fontId="138" fillId="0" borderId="42" xfId="0" applyNumberFormat="1" applyFont="1" applyBorder="1"/>
    <xf numFmtId="10" fontId="104" fillId="0" borderId="51" xfId="931" applyNumberFormat="1" applyFont="1" applyBorder="1" applyProtection="1"/>
    <xf numFmtId="164" fontId="104" fillId="0" borderId="42" xfId="0" applyNumberFormat="1" applyFont="1" applyBorder="1"/>
    <xf numFmtId="10" fontId="104" fillId="0" borderId="16" xfId="931" applyNumberFormat="1" applyFont="1" applyBorder="1" applyProtection="1"/>
    <xf numFmtId="10" fontId="138" fillId="0" borderId="16" xfId="931" applyNumberFormat="1" applyFont="1" applyBorder="1" applyProtection="1"/>
    <xf numFmtId="194" fontId="138" fillId="0" borderId="42" xfId="0" applyNumberFormat="1" applyFont="1" applyBorder="1"/>
    <xf numFmtId="164" fontId="138" fillId="0" borderId="42" xfId="931" applyNumberFormat="1" applyFont="1" applyBorder="1" applyProtection="1"/>
    <xf numFmtId="164" fontId="104" fillId="0" borderId="42" xfId="931" applyNumberFormat="1" applyFont="1" applyBorder="1" applyProtection="1"/>
    <xf numFmtId="188" fontId="13" fillId="0" borderId="43" xfId="0" applyNumberFormat="1" applyFont="1" applyBorder="1" applyAlignment="1">
      <alignment horizontal="center"/>
    </xf>
    <xf numFmtId="189" fontId="19" fillId="33" borderId="38" xfId="0" applyNumberFormat="1" applyFont="1" applyFill="1" applyBorder="1"/>
    <xf numFmtId="188" fontId="19" fillId="33" borderId="38" xfId="0" applyNumberFormat="1" applyFont="1" applyFill="1" applyBorder="1"/>
    <xf numFmtId="188" fontId="19" fillId="0" borderId="24" xfId="0" applyNumberFormat="1" applyFont="1" applyBorder="1" applyAlignment="1">
      <alignment horizontal="center"/>
    </xf>
    <xf numFmtId="171" fontId="4" fillId="0" borderId="38" xfId="0" applyNumberFormat="1" applyFont="1" applyBorder="1"/>
    <xf numFmtId="171" fontId="23" fillId="0" borderId="38" xfId="0" applyNumberFormat="1" applyFont="1" applyBorder="1"/>
    <xf numFmtId="171" fontId="23" fillId="0" borderId="38" xfId="0" applyNumberFormat="1" applyFont="1" applyBorder="1" applyAlignment="1">
      <alignment horizontal="right"/>
    </xf>
    <xf numFmtId="189" fontId="19" fillId="0" borderId="38" xfId="312" applyNumberFormat="1" applyFont="1" applyBorder="1" applyProtection="1"/>
    <xf numFmtId="171" fontId="19" fillId="0" borderId="38" xfId="312" applyNumberFormat="1" applyFont="1" applyBorder="1" applyProtection="1"/>
    <xf numFmtId="188" fontId="19" fillId="0" borderId="38" xfId="0" applyNumberFormat="1" applyFont="1" applyBorder="1"/>
    <xf numFmtId="190" fontId="101" fillId="0" borderId="38" xfId="627" applyNumberFormat="1" applyFont="1" applyBorder="1"/>
    <xf numFmtId="171" fontId="10" fillId="0" borderId="0" xfId="931" applyNumberFormat="1" applyFont="1" applyBorder="1" applyProtection="1"/>
    <xf numFmtId="171" fontId="107" fillId="0" borderId="0" xfId="931" applyNumberFormat="1" applyFont="1" applyBorder="1" applyProtection="1"/>
    <xf numFmtId="171" fontId="102" fillId="0" borderId="0" xfId="931" applyNumberFormat="1" applyFont="1" applyBorder="1" applyProtection="1"/>
    <xf numFmtId="171" fontId="102" fillId="0" borderId="0" xfId="0" applyNumberFormat="1" applyFont="1"/>
    <xf numFmtId="171" fontId="107" fillId="0" borderId="0" xfId="0" applyNumberFormat="1" applyFont="1"/>
    <xf numFmtId="171" fontId="102" fillId="0" borderId="0" xfId="931" applyNumberFormat="1" applyFont="1" applyFill="1" applyBorder="1" applyProtection="1"/>
    <xf numFmtId="171" fontId="136" fillId="0" borderId="0" xfId="931" applyNumberFormat="1" applyFont="1" applyFill="1" applyBorder="1" applyProtection="1"/>
    <xf numFmtId="171" fontId="136" fillId="0" borderId="0" xfId="0" applyNumberFormat="1" applyFont="1"/>
    <xf numFmtId="171" fontId="4" fillId="0" borderId="0" xfId="312" applyNumberFormat="1" applyFont="1" applyBorder="1" applyAlignment="1" applyProtection="1">
      <alignment horizontal="center"/>
    </xf>
    <xf numFmtId="43" fontId="0" fillId="0" borderId="0" xfId="0" applyNumberFormat="1"/>
    <xf numFmtId="189" fontId="0" fillId="0" borderId="0" xfId="0" applyNumberFormat="1"/>
    <xf numFmtId="0" fontId="142" fillId="0" borderId="0" xfId="1068" applyFont="1"/>
    <xf numFmtId="0" fontId="143" fillId="38" borderId="78" xfId="1068" applyFont="1" applyFill="1" applyBorder="1" applyAlignment="1">
      <alignment horizontal="right" vertical="top" wrapText="1" readingOrder="1"/>
    </xf>
    <xf numFmtId="0" fontId="143" fillId="38" borderId="78" xfId="1068" applyFont="1" applyFill="1" applyBorder="1" applyAlignment="1">
      <alignment vertical="top" wrapText="1" readingOrder="1"/>
    </xf>
    <xf numFmtId="0" fontId="112" fillId="0" borderId="78" xfId="1068" applyFont="1" applyBorder="1" applyAlignment="1">
      <alignment vertical="top" wrapText="1" readingOrder="1"/>
    </xf>
    <xf numFmtId="0" fontId="142" fillId="0" borderId="6" xfId="1068" applyFont="1" applyBorder="1" applyAlignment="1">
      <alignment horizontal="center"/>
    </xf>
    <xf numFmtId="0" fontId="141" fillId="0" borderId="0" xfId="1068" applyFont="1" applyAlignment="1">
      <alignment horizontal="center" vertical="top" wrapText="1" readingOrder="1"/>
    </xf>
    <xf numFmtId="188" fontId="112" fillId="0" borderId="78" xfId="1068" applyNumberFormat="1" applyFont="1" applyBorder="1" applyAlignment="1">
      <alignment vertical="top" wrapText="1" readingOrder="1"/>
    </xf>
    <xf numFmtId="188" fontId="142" fillId="0" borderId="0" xfId="1068" applyNumberFormat="1" applyFont="1"/>
    <xf numFmtId="0" fontId="144" fillId="0" borderId="0" xfId="1073" applyFont="1">
      <alignment vertical="center"/>
    </xf>
    <xf numFmtId="0" fontId="145" fillId="0" borderId="0" xfId="1074" applyFont="1">
      <alignment vertical="center"/>
    </xf>
    <xf numFmtId="0" fontId="100" fillId="0" borderId="0" xfId="1073">
      <alignment vertical="center"/>
    </xf>
    <xf numFmtId="0" fontId="135" fillId="0" borderId="0" xfId="1073" applyFont="1">
      <alignment vertical="center"/>
    </xf>
    <xf numFmtId="0" fontId="100" fillId="0" borderId="89" xfId="1073" applyBorder="1">
      <alignment vertical="center"/>
    </xf>
    <xf numFmtId="0" fontId="100" fillId="0" borderId="89" xfId="1073" applyBorder="1" applyAlignment="1">
      <alignment horizontal="center" vertical="center" wrapText="1"/>
    </xf>
    <xf numFmtId="0" fontId="135" fillId="34" borderId="89" xfId="1073" applyFont="1" applyFill="1" applyBorder="1" applyAlignment="1">
      <alignment horizontal="center" vertical="center" wrapText="1"/>
    </xf>
    <xf numFmtId="0" fontId="100" fillId="0" borderId="89" xfId="1073" applyBorder="1" applyAlignment="1">
      <alignment horizontal="left" vertical="center"/>
    </xf>
    <xf numFmtId="192" fontId="100" fillId="0" borderId="89" xfId="1073" applyNumberFormat="1" applyBorder="1">
      <alignment vertical="center"/>
    </xf>
    <xf numFmtId="3" fontId="100" fillId="0" borderId="89" xfId="1073" applyNumberFormat="1" applyBorder="1">
      <alignment vertical="center"/>
    </xf>
    <xf numFmtId="0" fontId="135" fillId="0" borderId="89" xfId="1073" applyFont="1" applyBorder="1">
      <alignment vertical="center"/>
    </xf>
    <xf numFmtId="0" fontId="100" fillId="34" borderId="89" xfId="1073" applyFill="1" applyBorder="1" applyAlignment="1">
      <alignment horizontal="left" vertical="center"/>
    </xf>
    <xf numFmtId="0" fontId="100" fillId="34" borderId="89" xfId="1073" applyFill="1" applyBorder="1">
      <alignment vertical="center"/>
    </xf>
    <xf numFmtId="192" fontId="100" fillId="34" borderId="89" xfId="1073" applyNumberFormat="1" applyFill="1" applyBorder="1">
      <alignment vertical="center"/>
    </xf>
    <xf numFmtId="3" fontId="100" fillId="34" borderId="89" xfId="1073" applyNumberFormat="1" applyFill="1" applyBorder="1">
      <alignment vertical="center"/>
    </xf>
    <xf numFmtId="0" fontId="135" fillId="34" borderId="89" xfId="1073" applyFont="1" applyFill="1" applyBorder="1">
      <alignment vertical="center"/>
    </xf>
    <xf numFmtId="3" fontId="135" fillId="34" borderId="89" xfId="1073" applyNumberFormat="1" applyFont="1" applyFill="1" applyBorder="1">
      <alignment vertical="center"/>
    </xf>
    <xf numFmtId="3" fontId="100" fillId="0" borderId="0" xfId="1073" applyNumberFormat="1">
      <alignment vertical="center"/>
    </xf>
    <xf numFmtId="0" fontId="100" fillId="0" borderId="0" xfId="1073" applyAlignment="1">
      <alignment horizontal="center" vertical="center"/>
    </xf>
    <xf numFmtId="192" fontId="100" fillId="0" borderId="0" xfId="1073" applyNumberFormat="1">
      <alignment vertical="center"/>
    </xf>
    <xf numFmtId="0" fontId="135" fillId="0" borderId="90" xfId="1073" applyFont="1" applyBorder="1" applyAlignment="1">
      <alignment horizontal="center" vertical="center" wrapText="1"/>
    </xf>
    <xf numFmtId="3" fontId="135" fillId="0" borderId="90" xfId="1073" applyNumberFormat="1" applyFont="1" applyBorder="1">
      <alignment vertical="center"/>
    </xf>
    <xf numFmtId="3" fontId="135" fillId="34" borderId="90" xfId="1073" applyNumberFormat="1" applyFont="1" applyFill="1" applyBorder="1">
      <alignment vertical="center"/>
    </xf>
    <xf numFmtId="0" fontId="111" fillId="42" borderId="0" xfId="0" applyFont="1" applyFill="1" applyAlignment="1">
      <alignment horizontal="center" vertical="top" wrapText="1"/>
    </xf>
    <xf numFmtId="0" fontId="148" fillId="0" borderId="0" xfId="0" applyFont="1" applyAlignment="1">
      <alignment horizontal="left" vertical="center"/>
    </xf>
    <xf numFmtId="0" fontId="102" fillId="0" borderId="35" xfId="0" applyFont="1" applyBorder="1" applyAlignment="1">
      <alignment horizontal="center" vertical="center" wrapText="1"/>
    </xf>
    <xf numFmtId="0" fontId="111" fillId="43" borderId="35" xfId="931" applyNumberFormat="1" applyFont="1" applyFill="1" applyBorder="1" applyAlignment="1" applyProtection="1">
      <alignment horizontal="center"/>
    </xf>
    <xf numFmtId="0" fontId="111" fillId="43" borderId="21" xfId="0" applyFont="1" applyFill="1" applyBorder="1" applyAlignment="1">
      <alignment horizontal="center" vertical="center"/>
    </xf>
    <xf numFmtId="0" fontId="111" fillId="43" borderId="31" xfId="0" applyFont="1" applyFill="1" applyBorder="1" applyAlignment="1">
      <alignment horizontal="center" vertical="center"/>
    </xf>
    <xf numFmtId="0" fontId="111" fillId="43" borderId="55" xfId="0" applyFont="1" applyFill="1" applyBorder="1" applyAlignment="1">
      <alignment horizontal="center" vertical="center"/>
    </xf>
    <xf numFmtId="0" fontId="111" fillId="43" borderId="56" xfId="0" applyFont="1" applyFill="1" applyBorder="1" applyAlignment="1">
      <alignment horizontal="center" vertical="center"/>
    </xf>
    <xf numFmtId="0" fontId="111" fillId="43" borderId="57" xfId="0" applyFont="1" applyFill="1" applyBorder="1" applyAlignment="1">
      <alignment horizontal="center" vertical="center" wrapText="1"/>
    </xf>
    <xf numFmtId="1" fontId="102" fillId="0" borderId="35" xfId="931" applyNumberFormat="1" applyFont="1" applyFill="1" applyBorder="1" applyAlignment="1" applyProtection="1">
      <alignment horizontal="center"/>
    </xf>
    <xf numFmtId="1" fontId="102" fillId="0" borderId="33" xfId="931" applyNumberFormat="1" applyFont="1" applyFill="1" applyBorder="1" applyProtection="1"/>
    <xf numFmtId="1" fontId="102" fillId="0" borderId="6" xfId="931" applyNumberFormat="1" applyFont="1" applyFill="1" applyBorder="1" applyProtection="1"/>
    <xf numFmtId="1" fontId="102" fillId="0" borderId="22" xfId="931" applyNumberFormat="1" applyFont="1" applyFill="1" applyBorder="1" applyProtection="1"/>
    <xf numFmtId="0" fontId="19" fillId="39" borderId="37" xfId="0" applyFont="1" applyFill="1" applyBorder="1" applyAlignment="1" applyProtection="1">
      <alignment horizontal="center" wrapText="1"/>
      <protection locked="0"/>
    </xf>
    <xf numFmtId="0" fontId="140" fillId="43" borderId="6" xfId="0" applyFont="1" applyFill="1" applyBorder="1" applyAlignment="1">
      <alignment vertical="center" wrapText="1" shrinkToFit="1"/>
    </xf>
    <xf numFmtId="0" fontId="140" fillId="43" borderId="6" xfId="0" applyFont="1" applyFill="1" applyBorder="1" applyAlignment="1">
      <alignment horizontal="center" vertical="center" wrapText="1" shrinkToFit="1"/>
    </xf>
    <xf numFmtId="188" fontId="111" fillId="43" borderId="0" xfId="0" applyNumberFormat="1" applyFont="1" applyFill="1" applyAlignment="1">
      <alignment horizontal="center" vertical="top" wrapText="1"/>
    </xf>
    <xf numFmtId="166" fontId="111" fillId="43" borderId="45" xfId="0" applyNumberFormat="1" applyFont="1" applyFill="1" applyBorder="1" applyAlignment="1">
      <alignment horizontal="center" wrapText="1"/>
    </xf>
    <xf numFmtId="0" fontId="108" fillId="43" borderId="6" xfId="0" applyFont="1" applyFill="1" applyBorder="1" applyAlignment="1">
      <alignment horizontal="center" vertical="center" wrapText="1" shrinkToFit="1"/>
    </xf>
    <xf numFmtId="0" fontId="19" fillId="39" borderId="0" xfId="0" applyFont="1" applyFill="1" applyAlignment="1">
      <alignment horizontal="center" vertical="center" wrapText="1"/>
    </xf>
    <xf numFmtId="0" fontId="9" fillId="39" borderId="0" xfId="0" applyFont="1" applyFill="1" applyAlignment="1">
      <alignment horizontal="center" vertical="center" wrapText="1" shrinkToFit="1"/>
    </xf>
    <xf numFmtId="190" fontId="150" fillId="0" borderId="0" xfId="0" applyNumberFormat="1" applyFont="1"/>
    <xf numFmtId="0" fontId="151" fillId="0" borderId="0" xfId="1068" applyFont="1"/>
    <xf numFmtId="0" fontId="151" fillId="0" borderId="6" xfId="1068" applyFont="1" applyBorder="1" applyAlignment="1">
      <alignment horizontal="center"/>
    </xf>
    <xf numFmtId="0" fontId="152" fillId="44" borderId="89" xfId="1068" applyFont="1" applyFill="1" applyBorder="1" applyAlignment="1">
      <alignment horizontal="center" vertical="center" wrapText="1" readingOrder="1"/>
    </xf>
    <xf numFmtId="0" fontId="152" fillId="44" borderId="89" xfId="1068" applyFont="1" applyFill="1" applyBorder="1" applyAlignment="1">
      <alignment horizontal="left" vertical="center" wrapText="1" readingOrder="1"/>
    </xf>
    <xf numFmtId="0" fontId="152" fillId="44" borderId="90" xfId="1068" applyFont="1" applyFill="1" applyBorder="1" applyAlignment="1">
      <alignment horizontal="left" vertical="center" wrapText="1" readingOrder="1"/>
    </xf>
    <xf numFmtId="0" fontId="151" fillId="0" borderId="0" xfId="1068" applyFont="1" applyAlignment="1">
      <alignment wrapText="1"/>
    </xf>
    <xf numFmtId="0" fontId="153" fillId="0" borderId="89" xfId="1068" applyFont="1" applyBorder="1" applyAlignment="1">
      <alignment horizontal="center" vertical="center" wrapText="1" readingOrder="1"/>
    </xf>
    <xf numFmtId="0" fontId="153" fillId="0" borderId="89" xfId="1068" applyFont="1" applyBorder="1" applyAlignment="1">
      <alignment horizontal="left" vertical="center" wrapText="1" readingOrder="1"/>
    </xf>
    <xf numFmtId="190" fontId="153" fillId="0" borderId="89" xfId="1068" applyNumberFormat="1" applyFont="1" applyBorder="1" applyAlignment="1">
      <alignment horizontal="center" vertical="center" wrapText="1" readingOrder="1"/>
    </xf>
    <xf numFmtId="190" fontId="153" fillId="0" borderId="90" xfId="1068" applyNumberFormat="1" applyFont="1" applyBorder="1" applyAlignment="1">
      <alignment horizontal="left" vertical="center" wrapText="1" readingOrder="1"/>
    </xf>
    <xf numFmtId="188" fontId="142" fillId="0" borderId="6" xfId="1068" applyNumberFormat="1" applyFont="1" applyBorder="1"/>
    <xf numFmtId="0" fontId="151" fillId="0" borderId="0" xfId="1068" applyFont="1" applyAlignment="1">
      <alignment horizontal="left"/>
    </xf>
    <xf numFmtId="190" fontId="149" fillId="0" borderId="0" xfId="1068" applyNumberFormat="1" applyFont="1"/>
    <xf numFmtId="190" fontId="151" fillId="0" borderId="0" xfId="1068" applyNumberFormat="1" applyFont="1"/>
    <xf numFmtId="0" fontId="100" fillId="0" borderId="0" xfId="1075">
      <alignment vertical="center"/>
    </xf>
    <xf numFmtId="3" fontId="135" fillId="0" borderId="89" xfId="1075" applyNumberFormat="1" applyFont="1" applyBorder="1">
      <alignment vertical="center"/>
    </xf>
    <xf numFmtId="0" fontId="135" fillId="0" borderId="89" xfId="1075" applyFont="1" applyBorder="1">
      <alignment vertical="center"/>
    </xf>
    <xf numFmtId="3" fontId="100" fillId="0" borderId="89" xfId="1075" applyNumberFormat="1" applyBorder="1">
      <alignment vertical="center"/>
    </xf>
    <xf numFmtId="192" fontId="100" fillId="0" borderId="89" xfId="1075" applyNumberFormat="1" applyBorder="1">
      <alignment vertical="center"/>
    </xf>
    <xf numFmtId="0" fontId="100" fillId="0" borderId="89" xfId="1075" applyBorder="1">
      <alignment vertical="center"/>
    </xf>
    <xf numFmtId="0" fontId="100" fillId="0" borderId="89" xfId="1075" applyBorder="1" applyAlignment="1">
      <alignment horizontal="left" vertical="center"/>
    </xf>
    <xf numFmtId="0" fontId="135" fillId="0" borderId="89" xfId="1075" applyFont="1" applyBorder="1" applyAlignment="1">
      <alignment horizontal="center" vertical="center" wrapText="1"/>
    </xf>
    <xf numFmtId="0" fontId="100" fillId="0" borderId="89" xfId="1075" applyBorder="1" applyAlignment="1">
      <alignment horizontal="center" vertical="center" wrapText="1"/>
    </xf>
    <xf numFmtId="0" fontId="154" fillId="0" borderId="0" xfId="1075" applyFont="1" applyAlignment="1">
      <alignment horizontal="center" vertical="center" wrapText="1"/>
    </xf>
    <xf numFmtId="0" fontId="155" fillId="0" borderId="0" xfId="1075" applyFont="1" applyAlignment="1">
      <alignment horizontal="center" vertical="center"/>
    </xf>
    <xf numFmtId="0" fontId="135" fillId="0" borderId="0" xfId="1075" applyFont="1" applyAlignment="1">
      <alignment vertical="center" wrapText="1"/>
    </xf>
    <xf numFmtId="0" fontId="156" fillId="0" borderId="0" xfId="1074" applyFont="1">
      <alignment vertical="center"/>
    </xf>
    <xf numFmtId="0" fontId="157" fillId="0" borderId="0" xfId="1075" applyFont="1" applyAlignment="1">
      <alignment vertical="center" wrapText="1"/>
    </xf>
    <xf numFmtId="0" fontId="2" fillId="0" borderId="0" xfId="1076"/>
    <xf numFmtId="0" fontId="158" fillId="0" borderId="0" xfId="1076" applyFont="1"/>
    <xf numFmtId="0" fontId="159" fillId="0" borderId="0" xfId="1076" applyFont="1"/>
    <xf numFmtId="0" fontId="160" fillId="0" borderId="0" xfId="1076" applyFont="1"/>
    <xf numFmtId="44" fontId="159" fillId="0" borderId="0" xfId="1077" applyFont="1"/>
    <xf numFmtId="0" fontId="101" fillId="0" borderId="0" xfId="1076" applyFont="1"/>
    <xf numFmtId="0" fontId="101" fillId="0" borderId="0" xfId="1076" applyFont="1" applyAlignment="1">
      <alignment horizontal="center" wrapText="1"/>
    </xf>
    <xf numFmtId="0" fontId="101" fillId="0" borderId="0" xfId="1076" applyFont="1" applyAlignment="1">
      <alignment horizontal="center" vertical="center" wrapText="1"/>
    </xf>
    <xf numFmtId="0" fontId="110" fillId="45" borderId="91" xfId="1076" applyFont="1" applyFill="1" applyBorder="1" applyAlignment="1">
      <alignment horizontal="center" vertical="center" wrapText="1"/>
    </xf>
    <xf numFmtId="0" fontId="110" fillId="46" borderId="5" xfId="1076" applyFont="1" applyFill="1" applyBorder="1" applyAlignment="1">
      <alignment vertical="center" wrapText="1"/>
    </xf>
    <xf numFmtId="0" fontId="110" fillId="46" borderId="5" xfId="1076" applyFont="1" applyFill="1" applyBorder="1" applyAlignment="1">
      <alignment horizontal="center" vertical="center" wrapText="1"/>
    </xf>
    <xf numFmtId="0" fontId="110" fillId="0" borderId="92" xfId="1076" applyFont="1" applyBorder="1" applyAlignment="1">
      <alignment horizontal="center" vertical="center" wrapText="1"/>
    </xf>
    <xf numFmtId="0" fontId="110" fillId="47" borderId="0" xfId="1076" applyFont="1" applyFill="1" applyAlignment="1">
      <alignment horizontal="center" vertical="center" wrapText="1"/>
    </xf>
    <xf numFmtId="44" fontId="110" fillId="46" borderId="54" xfId="1077" applyFont="1" applyFill="1" applyBorder="1" applyAlignment="1">
      <alignment horizontal="center" vertical="center" wrapText="1"/>
    </xf>
    <xf numFmtId="44" fontId="110" fillId="0" borderId="92" xfId="1077" applyFont="1" applyFill="1" applyBorder="1" applyAlignment="1">
      <alignment horizontal="center" vertical="center" wrapText="1"/>
    </xf>
    <xf numFmtId="0" fontId="110" fillId="48" borderId="0" xfId="1076" applyFont="1" applyFill="1" applyAlignment="1">
      <alignment horizontal="center" wrapText="1"/>
    </xf>
    <xf numFmtId="0" fontId="110" fillId="48" borderId="0" xfId="1076" applyFont="1" applyFill="1" applyAlignment="1">
      <alignment wrapText="1"/>
    </xf>
    <xf numFmtId="0" fontId="110" fillId="48" borderId="5" xfId="1076" applyFont="1" applyFill="1" applyBorder="1" applyAlignment="1">
      <alignment vertical="top" wrapText="1"/>
    </xf>
    <xf numFmtId="44" fontId="110" fillId="48" borderId="5" xfId="1077" applyFont="1" applyFill="1" applyBorder="1" applyAlignment="1">
      <alignment horizontal="center" vertical="center" wrapText="1"/>
    </xf>
    <xf numFmtId="44" fontId="110" fillId="48" borderId="92" xfId="1077" applyFont="1" applyFill="1" applyBorder="1" applyAlignment="1">
      <alignment horizontal="center" vertical="center" wrapText="1"/>
    </xf>
    <xf numFmtId="44" fontId="110" fillId="39" borderId="0" xfId="1077" applyFont="1" applyFill="1" applyBorder="1" applyAlignment="1">
      <alignment horizontal="center" vertical="center" wrapText="1"/>
    </xf>
    <xf numFmtId="44" fontId="110" fillId="49" borderId="0" xfId="1077" applyFont="1" applyFill="1" applyBorder="1" applyAlignment="1">
      <alignment horizontal="center" vertical="center" wrapText="1"/>
    </xf>
    <xf numFmtId="164" fontId="110" fillId="50" borderId="0" xfId="1076" applyNumberFormat="1" applyFont="1" applyFill="1" applyAlignment="1">
      <alignment horizontal="center" vertical="center" wrapText="1"/>
    </xf>
    <xf numFmtId="0" fontId="110" fillId="48" borderId="0" xfId="1076" applyFont="1" applyFill="1" applyAlignment="1">
      <alignment horizontal="center" vertical="center" wrapText="1"/>
    </xf>
    <xf numFmtId="44" fontId="110" fillId="49" borderId="6" xfId="1077" applyFont="1" applyFill="1" applyBorder="1" applyAlignment="1">
      <alignment horizontal="center" vertical="center" wrapText="1"/>
    </xf>
    <xf numFmtId="0" fontId="2" fillId="0" borderId="39" xfId="1076" applyBorder="1" applyAlignment="1">
      <alignment horizontal="center"/>
    </xf>
    <xf numFmtId="164" fontId="159" fillId="46" borderId="0" xfId="1076" applyNumberFormat="1" applyFont="1" applyFill="1" applyAlignment="1">
      <alignment wrapText="1"/>
    </xf>
    <xf numFmtId="44" fontId="110" fillId="0" borderId="54" xfId="1077" applyFont="1" applyFill="1" applyBorder="1"/>
    <xf numFmtId="0" fontId="159" fillId="47" borderId="0" xfId="1076" applyFont="1" applyFill="1"/>
    <xf numFmtId="44" fontId="110" fillId="46" borderId="54" xfId="1077" applyFont="1" applyFill="1" applyBorder="1"/>
    <xf numFmtId="44" fontId="110" fillId="0" borderId="39" xfId="1077" applyFont="1" applyFill="1" applyBorder="1" applyAlignment="1">
      <alignment wrapText="1"/>
    </xf>
    <xf numFmtId="44" fontId="159" fillId="39" borderId="0" xfId="1077" applyFont="1" applyFill="1"/>
    <xf numFmtId="164" fontId="159" fillId="39" borderId="0" xfId="1076" applyNumberFormat="1" applyFont="1" applyFill="1"/>
    <xf numFmtId="44" fontId="159" fillId="0" borderId="0" xfId="1076" applyNumberFormat="1" applyFont="1"/>
    <xf numFmtId="164" fontId="159" fillId="39" borderId="0" xfId="1077" applyNumberFormat="1" applyFont="1" applyFill="1"/>
    <xf numFmtId="0" fontId="2" fillId="34" borderId="0" xfId="1076" applyFill="1"/>
    <xf numFmtId="0" fontId="2" fillId="34" borderId="39" xfId="1076" applyFill="1" applyBorder="1" applyAlignment="1">
      <alignment horizontal="center"/>
    </xf>
    <xf numFmtId="164" fontId="159" fillId="34" borderId="0" xfId="1076" applyNumberFormat="1" applyFont="1" applyFill="1" applyAlignment="1">
      <alignment wrapText="1"/>
    </xf>
    <xf numFmtId="44" fontId="110" fillId="34" borderId="54" xfId="1077" applyFont="1" applyFill="1" applyBorder="1"/>
    <xf numFmtId="0" fontId="159" fillId="34" borderId="0" xfId="1076" applyFont="1" applyFill="1"/>
    <xf numFmtId="44" fontId="110" fillId="34" borderId="39" xfId="1077" applyFont="1" applyFill="1" applyBorder="1" applyAlignment="1">
      <alignment wrapText="1"/>
    </xf>
    <xf numFmtId="44" fontId="159" fillId="34" borderId="0" xfId="1077" applyFont="1" applyFill="1"/>
    <xf numFmtId="164" fontId="159" fillId="34" borderId="0" xfId="1076" applyNumberFormat="1" applyFont="1" applyFill="1"/>
    <xf numFmtId="44" fontId="159" fillId="34" borderId="0" xfId="1076" applyNumberFormat="1" applyFont="1" applyFill="1"/>
    <xf numFmtId="0" fontId="160" fillId="34" borderId="0" xfId="1076" applyFont="1" applyFill="1"/>
    <xf numFmtId="0" fontId="2" fillId="0" borderId="54" xfId="1076" applyBorder="1"/>
    <xf numFmtId="0" fontId="2" fillId="0" borderId="54" xfId="1076" applyBorder="1" applyAlignment="1">
      <alignment horizontal="center"/>
    </xf>
    <xf numFmtId="0" fontId="2" fillId="0" borderId="59" xfId="1076" applyBorder="1"/>
    <xf numFmtId="0" fontId="159" fillId="47" borderId="59" xfId="1076" applyFont="1" applyFill="1" applyBorder="1"/>
    <xf numFmtId="0" fontId="2" fillId="0" borderId="93" xfId="1076" applyBorder="1" applyAlignment="1">
      <alignment horizontal="center"/>
    </xf>
    <xf numFmtId="0" fontId="158" fillId="0" borderId="15" xfId="1076" applyFont="1" applyBorder="1"/>
    <xf numFmtId="164" fontId="159" fillId="46" borderId="15" xfId="1076" applyNumberFormat="1" applyFont="1" applyFill="1" applyBorder="1" applyAlignment="1">
      <alignment wrapText="1"/>
    </xf>
    <xf numFmtId="44" fontId="110" fillId="0" borderId="27" xfId="1077" applyFont="1" applyFill="1" applyBorder="1"/>
    <xf numFmtId="0" fontId="159" fillId="47" borderId="26" xfId="1076" applyFont="1" applyFill="1" applyBorder="1"/>
    <xf numFmtId="44" fontId="110" fillId="46" borderId="27" xfId="1077" applyFont="1" applyFill="1" applyBorder="1"/>
    <xf numFmtId="44" fontId="110" fillId="0" borderId="93" xfId="1077" applyFont="1" applyFill="1" applyBorder="1" applyAlignment="1">
      <alignment wrapText="1"/>
    </xf>
    <xf numFmtId="0" fontId="110" fillId="0" borderId="0" xfId="1076" applyFont="1"/>
    <xf numFmtId="44" fontId="110" fillId="0" borderId="0" xfId="1076" applyNumberFormat="1" applyFont="1"/>
    <xf numFmtId="164" fontId="159" fillId="0" borderId="0" xfId="1077" applyNumberFormat="1" applyFont="1"/>
    <xf numFmtId="44" fontId="161" fillId="0" borderId="0" xfId="1076" applyNumberFormat="1" applyFont="1"/>
    <xf numFmtId="190" fontId="151" fillId="0" borderId="6" xfId="1068" applyNumberFormat="1" applyFont="1" applyBorder="1"/>
    <xf numFmtId="0" fontId="117" fillId="34" borderId="0" xfId="0" applyFont="1" applyFill="1" applyAlignment="1">
      <alignment horizontal="center" vertical="center" wrapText="1" shrinkToFit="1"/>
    </xf>
    <xf numFmtId="0" fontId="163" fillId="44" borderId="89" xfId="1068" applyFont="1" applyFill="1" applyBorder="1" applyAlignment="1">
      <alignment horizontal="center" vertical="center" wrapText="1" readingOrder="1"/>
    </xf>
    <xf numFmtId="0" fontId="164" fillId="0" borderId="89" xfId="1068" applyFont="1" applyBorder="1" applyAlignment="1">
      <alignment horizontal="center" vertical="center" wrapText="1" readingOrder="1"/>
    </xf>
    <xf numFmtId="195" fontId="164" fillId="0" borderId="89" xfId="1068" applyNumberFormat="1" applyFont="1" applyBorder="1" applyAlignment="1">
      <alignment horizontal="center" vertical="center" wrapText="1" readingOrder="1"/>
    </xf>
    <xf numFmtId="195" fontId="115" fillId="0" borderId="0" xfId="1068" applyNumberFormat="1" applyFont="1"/>
    <xf numFmtId="0" fontId="163" fillId="51" borderId="89" xfId="1068" applyFont="1" applyFill="1" applyBorder="1" applyAlignment="1">
      <alignment horizontal="center" vertical="center" wrapText="1" readingOrder="1"/>
    </xf>
    <xf numFmtId="195" fontId="164" fillId="34" borderId="89" xfId="1068" applyNumberFormat="1" applyFont="1" applyFill="1" applyBorder="1" applyAlignment="1">
      <alignment horizontal="center" vertical="center" wrapText="1" readingOrder="1"/>
    </xf>
    <xf numFmtId="0" fontId="0" fillId="0" borderId="0" xfId="0" applyAlignment="1">
      <alignment vertical="center"/>
    </xf>
    <xf numFmtId="0" fontId="135" fillId="0" borderId="89" xfId="0" applyFont="1" applyBorder="1" applyAlignment="1">
      <alignment horizontal="center" vertical="center" wrapText="1"/>
    </xf>
    <xf numFmtId="0" fontId="0" fillId="0" borderId="89" xfId="0" applyBorder="1" applyAlignment="1">
      <alignment vertical="center"/>
    </xf>
    <xf numFmtId="0" fontId="0" fillId="0" borderId="89" xfId="0" applyBorder="1" applyAlignment="1">
      <alignment horizontal="center" vertical="center" wrapText="1"/>
    </xf>
    <xf numFmtId="0" fontId="101" fillId="0" borderId="0" xfId="1079" applyFont="1"/>
    <xf numFmtId="0" fontId="101" fillId="45" borderId="45" xfId="1079" applyFont="1" applyFill="1" applyBorder="1" applyAlignment="1">
      <alignment horizontal="center" vertical="center" wrapText="1"/>
    </xf>
    <xf numFmtId="0" fontId="101" fillId="46" borderId="5" xfId="1079" applyFont="1" applyFill="1" applyBorder="1" applyAlignment="1">
      <alignment horizontal="center" vertical="center" wrapText="1"/>
    </xf>
    <xf numFmtId="0" fontId="101" fillId="0" borderId="92" xfId="1079" applyFont="1" applyBorder="1" applyAlignment="1">
      <alignment horizontal="center" vertical="center" wrapText="1"/>
    </xf>
    <xf numFmtId="0" fontId="101" fillId="45" borderId="0" xfId="1079" applyFont="1" applyFill="1" applyAlignment="1">
      <alignment horizontal="center" vertical="center" wrapText="1"/>
    </xf>
    <xf numFmtId="44" fontId="110" fillId="46" borderId="0" xfId="1080" applyFont="1" applyFill="1" applyAlignment="1">
      <alignment horizontal="center" vertical="center" wrapText="1"/>
    </xf>
    <xf numFmtId="44" fontId="101" fillId="46" borderId="92" xfId="1080" applyFont="1" applyFill="1" applyBorder="1" applyAlignment="1">
      <alignment horizontal="center" vertical="center" wrapText="1"/>
    </xf>
    <xf numFmtId="0" fontId="101" fillId="48" borderId="6" xfId="1079" applyFont="1" applyFill="1" applyBorder="1" applyAlignment="1">
      <alignment horizontal="center" vertical="center" wrapText="1"/>
    </xf>
    <xf numFmtId="44" fontId="101" fillId="48" borderId="6" xfId="1080" applyFont="1" applyFill="1" applyBorder="1" applyAlignment="1">
      <alignment horizontal="center" vertical="center" wrapText="1"/>
    </xf>
    <xf numFmtId="44" fontId="110" fillId="39" borderId="6" xfId="1080" applyFont="1" applyFill="1" applyBorder="1" applyAlignment="1">
      <alignment horizontal="center" vertical="center" wrapText="1"/>
    </xf>
    <xf numFmtId="44" fontId="101" fillId="50" borderId="0" xfId="1079" applyNumberFormat="1" applyFont="1" applyFill="1" applyAlignment="1">
      <alignment horizontal="center" vertical="center" wrapText="1"/>
    </xf>
    <xf numFmtId="44" fontId="101" fillId="48" borderId="0" xfId="1079" applyNumberFormat="1" applyFont="1" applyFill="1" applyAlignment="1">
      <alignment horizontal="center" vertical="center" wrapText="1"/>
    </xf>
    <xf numFmtId="44" fontId="110" fillId="49" borderId="6" xfId="1080" applyFont="1" applyFill="1" applyBorder="1" applyAlignment="1">
      <alignment horizontal="center" vertical="center" wrapText="1"/>
    </xf>
    <xf numFmtId="0" fontId="1" fillId="0" borderId="0" xfId="1079"/>
    <xf numFmtId="0" fontId="1" fillId="0" borderId="54" xfId="1079" applyBorder="1"/>
    <xf numFmtId="0" fontId="1" fillId="0" borderId="39" xfId="1079" applyBorder="1"/>
    <xf numFmtId="0" fontId="159" fillId="46" borderId="0" xfId="1079" applyFont="1" applyFill="1" applyAlignment="1">
      <alignment wrapText="1"/>
    </xf>
    <xf numFmtId="44" fontId="110" fillId="0" borderId="54" xfId="1080" applyFont="1" applyBorder="1"/>
    <xf numFmtId="0" fontId="159" fillId="47" borderId="0" xfId="1079" applyFont="1" applyFill="1"/>
    <xf numFmtId="44" fontId="110" fillId="46" borderId="54" xfId="1080" applyFont="1" applyFill="1" applyBorder="1"/>
    <xf numFmtId="44" fontId="110" fillId="46" borderId="54" xfId="1080" applyFont="1" applyFill="1" applyBorder="1" applyAlignment="1">
      <alignment wrapText="1"/>
    </xf>
    <xf numFmtId="44" fontId="1" fillId="0" borderId="0" xfId="1079" applyNumberFormat="1"/>
    <xf numFmtId="44" fontId="159" fillId="39" borderId="0" xfId="1080" applyFont="1" applyFill="1"/>
    <xf numFmtId="0" fontId="1" fillId="0" borderId="93" xfId="1079" applyBorder="1"/>
    <xf numFmtId="0" fontId="159" fillId="46" borderId="15" xfId="1079" applyFont="1" applyFill="1" applyBorder="1" applyAlignment="1">
      <alignment wrapText="1"/>
    </xf>
    <xf numFmtId="44" fontId="110" fillId="0" borderId="27" xfId="1080" applyFont="1" applyBorder="1"/>
    <xf numFmtId="0" fontId="159" fillId="47" borderId="15" xfId="1079" applyFont="1" applyFill="1" applyBorder="1"/>
    <xf numFmtId="44" fontId="110" fillId="46" borderId="27" xfId="1080" applyFont="1" applyFill="1" applyBorder="1"/>
    <xf numFmtId="0" fontId="166" fillId="0" borderId="0" xfId="1079" applyFont="1"/>
    <xf numFmtId="0" fontId="167" fillId="0" borderId="0" xfId="1079" applyFont="1"/>
    <xf numFmtId="0" fontId="166" fillId="0" borderId="5" xfId="1079" applyFont="1" applyBorder="1"/>
    <xf numFmtId="0" fontId="110" fillId="0" borderId="0" xfId="1079" applyFont="1"/>
    <xf numFmtId="0" fontId="159" fillId="0" borderId="0" xfId="1079" applyFont="1"/>
    <xf numFmtId="44" fontId="166" fillId="0" borderId="0" xfId="1080" applyFont="1"/>
    <xf numFmtId="44" fontId="159" fillId="0" borderId="0" xfId="1080" applyFont="1"/>
    <xf numFmtId="44" fontId="110" fillId="0" borderId="0" xfId="1080" applyFont="1"/>
    <xf numFmtId="44" fontId="159" fillId="0" borderId="0" xfId="1079" applyNumberFormat="1" applyFont="1"/>
    <xf numFmtId="44" fontId="110" fillId="0" borderId="0" xfId="1079" applyNumberFormat="1" applyFont="1"/>
    <xf numFmtId="44" fontId="166" fillId="0" borderId="0" xfId="1079" applyNumberFormat="1" applyFont="1"/>
    <xf numFmtId="44" fontId="161" fillId="0" borderId="0" xfId="1079" applyNumberFormat="1" applyFont="1"/>
    <xf numFmtId="44" fontId="159" fillId="0" borderId="16" xfId="1079" applyNumberFormat="1" applyFont="1" applyBorder="1"/>
    <xf numFmtId="44" fontId="159" fillId="0" borderId="94" xfId="1079" applyNumberFormat="1" applyFont="1" applyBorder="1"/>
    <xf numFmtId="44" fontId="0" fillId="0" borderId="0" xfId="1080" applyFont="1"/>
    <xf numFmtId="0" fontId="8" fillId="0" borderId="0" xfId="0" applyFont="1" applyAlignment="1">
      <alignment horizontal="center"/>
    </xf>
    <xf numFmtId="0" fontId="8" fillId="0" borderId="66" xfId="0" applyFont="1" applyBorder="1" applyAlignment="1">
      <alignment horizontal="center"/>
    </xf>
    <xf numFmtId="0" fontId="9" fillId="39" borderId="67" xfId="0" applyFont="1" applyFill="1" applyBorder="1" applyAlignment="1">
      <alignment horizontal="center"/>
    </xf>
    <xf numFmtId="0" fontId="9" fillId="39" borderId="68" xfId="0" applyFont="1" applyFill="1" applyBorder="1" applyAlignment="1">
      <alignment horizontal="center"/>
    </xf>
    <xf numFmtId="0" fontId="9" fillId="39" borderId="69" xfId="0" applyFont="1" applyFill="1" applyBorder="1" applyAlignment="1">
      <alignment horizontal="center"/>
    </xf>
    <xf numFmtId="0" fontId="136" fillId="0" borderId="70" xfId="0" applyFont="1" applyBorder="1" applyAlignment="1">
      <alignment horizontal="center"/>
    </xf>
    <xf numFmtId="0" fontId="136" fillId="0" borderId="7" xfId="0" applyFont="1" applyBorder="1" applyAlignment="1">
      <alignment horizontal="center"/>
    </xf>
    <xf numFmtId="0" fontId="136" fillId="0" borderId="58" xfId="0" applyFont="1" applyBorder="1" applyAlignment="1">
      <alignment horizontal="center"/>
    </xf>
    <xf numFmtId="0" fontId="10" fillId="0" borderId="70" xfId="0" applyFont="1" applyBorder="1" applyAlignment="1">
      <alignment horizontal="center"/>
    </xf>
    <xf numFmtId="0" fontId="10" fillId="0" borderId="58" xfId="0" applyFont="1" applyBorder="1" applyAlignment="1">
      <alignment horizontal="center"/>
    </xf>
    <xf numFmtId="0" fontId="136" fillId="0" borderId="70" xfId="0" applyFont="1" applyBorder="1" applyAlignment="1">
      <alignment horizontal="center" wrapText="1"/>
    </xf>
    <xf numFmtId="0" fontId="136" fillId="0" borderId="58" xfId="0" applyFont="1" applyBorder="1" applyAlignment="1">
      <alignment horizontal="center" wrapText="1"/>
    </xf>
    <xf numFmtId="0" fontId="102" fillId="0" borderId="70" xfId="0" applyFont="1" applyBorder="1" applyAlignment="1">
      <alignment horizontal="center"/>
    </xf>
    <xf numFmtId="0" fontId="102" fillId="0" borderId="7" xfId="0" applyFont="1" applyBorder="1" applyAlignment="1">
      <alignment horizontal="center"/>
    </xf>
    <xf numFmtId="0" fontId="102" fillId="0" borderId="58" xfId="0" applyFont="1" applyBorder="1" applyAlignment="1">
      <alignment horizontal="center"/>
    </xf>
    <xf numFmtId="0" fontId="102" fillId="0" borderId="70" xfId="0" applyFont="1" applyBorder="1" applyAlignment="1">
      <alignment horizontal="center" wrapText="1"/>
    </xf>
    <xf numFmtId="0" fontId="102" fillId="0" borderId="58" xfId="0" applyFont="1" applyBorder="1" applyAlignment="1">
      <alignment horizontal="center" wrapText="1"/>
    </xf>
    <xf numFmtId="0" fontId="136" fillId="0" borderId="7" xfId="0" applyFont="1" applyBorder="1" applyAlignment="1">
      <alignment horizontal="center" wrapText="1"/>
    </xf>
    <xf numFmtId="0" fontId="141" fillId="0" borderId="0" xfId="1068" applyFont="1" applyAlignment="1">
      <alignment vertical="top" wrapText="1" readingOrder="1"/>
    </xf>
    <xf numFmtId="0" fontId="142" fillId="0" borderId="0" xfId="1068" applyFont="1"/>
    <xf numFmtId="0" fontId="162" fillId="0" borderId="0" xfId="1068" applyFont="1" applyAlignment="1">
      <alignment vertical="top" wrapText="1" readingOrder="1"/>
    </xf>
    <xf numFmtId="0" fontId="115" fillId="0" borderId="0" xfId="1068" applyFont="1"/>
    <xf numFmtId="0" fontId="120" fillId="0" borderId="0" xfId="0" applyFont="1" applyAlignment="1">
      <alignment vertical="center" wrapText="1"/>
    </xf>
    <xf numFmtId="0" fontId="0" fillId="0" borderId="0" xfId="0" applyAlignment="1">
      <alignment vertical="center"/>
    </xf>
    <xf numFmtId="0" fontId="135" fillId="0" borderId="89" xfId="0" applyFont="1" applyBorder="1" applyAlignment="1">
      <alignment horizontal="center" vertical="center" wrapText="1"/>
    </xf>
    <xf numFmtId="0" fontId="135" fillId="0" borderId="0" xfId="1075" applyFont="1" applyAlignment="1">
      <alignment vertical="center" wrapText="1"/>
    </xf>
    <xf numFmtId="0" fontId="100" fillId="0" borderId="0" xfId="1075">
      <alignment vertical="center"/>
    </xf>
    <xf numFmtId="0" fontId="135" fillId="0" borderId="89" xfId="1075" applyFont="1" applyBorder="1" applyAlignment="1">
      <alignment horizontal="center" vertical="center" wrapText="1"/>
    </xf>
    <xf numFmtId="0" fontId="100" fillId="0" borderId="0" xfId="1073">
      <alignment vertical="center"/>
    </xf>
    <xf numFmtId="0" fontId="135" fillId="0" borderId="89" xfId="1073" applyFont="1" applyBorder="1" applyAlignment="1">
      <alignment horizontal="center" vertical="center" wrapText="1"/>
    </xf>
    <xf numFmtId="0" fontId="118" fillId="0" borderId="78" xfId="1068" applyFont="1" applyBorder="1" applyAlignment="1">
      <alignment vertical="top" wrapText="1" readingOrder="1"/>
    </xf>
    <xf numFmtId="0" fontId="115" fillId="0" borderId="84" xfId="1068" applyFont="1" applyBorder="1" applyAlignment="1">
      <alignment vertical="top" wrapText="1"/>
    </xf>
    <xf numFmtId="0" fontId="114" fillId="0" borderId="0" xfId="1068" applyFont="1" applyAlignment="1">
      <alignment vertical="top" wrapText="1" readingOrder="1"/>
    </xf>
    <xf numFmtId="0" fontId="116" fillId="38" borderId="78" xfId="1068" applyFont="1" applyFill="1" applyBorder="1" applyAlignment="1">
      <alignment horizontal="right" vertical="top" wrapText="1" readingOrder="1"/>
    </xf>
    <xf numFmtId="3" fontId="131" fillId="40" borderId="87" xfId="828" applyNumberFormat="1" applyFont="1" applyFill="1" applyBorder="1" applyAlignment="1">
      <alignment horizontal="center"/>
    </xf>
    <xf numFmtId="0" fontId="134" fillId="40" borderId="87" xfId="828" applyFont="1" applyFill="1" applyBorder="1" applyAlignment="1">
      <alignment horizontal="center"/>
    </xf>
    <xf numFmtId="0" fontId="131" fillId="40" borderId="87" xfId="828" applyFont="1" applyFill="1" applyBorder="1" applyAlignment="1">
      <alignment horizontal="center" vertical="center" wrapText="1"/>
    </xf>
    <xf numFmtId="0" fontId="131" fillId="40" borderId="0" xfId="828" applyFont="1" applyFill="1" applyAlignment="1">
      <alignment horizontal="left" vertical="center" wrapText="1"/>
    </xf>
    <xf numFmtId="0" fontId="131" fillId="40" borderId="0" xfId="1071" applyFont="1" applyFill="1" applyAlignment="1">
      <alignment horizontal="left" vertical="top" wrapText="1"/>
      <protection locked="0"/>
    </xf>
    <xf numFmtId="0" fontId="131" fillId="40" borderId="0" xfId="828" applyFont="1" applyFill="1" applyAlignment="1">
      <alignment horizontal="left" wrapText="1"/>
    </xf>
    <xf numFmtId="0" fontId="131" fillId="40" borderId="0" xfId="1070" applyFont="1" applyFill="1" applyAlignment="1">
      <alignment horizontal="left" vertical="top" wrapText="1"/>
    </xf>
    <xf numFmtId="0" fontId="133" fillId="40" borderId="0" xfId="828" applyFont="1" applyFill="1" applyAlignment="1">
      <alignment horizontal="left" vertical="center" wrapText="1"/>
    </xf>
    <xf numFmtId="0" fontId="24" fillId="25" borderId="71" xfId="0" applyFont="1" applyFill="1" applyBorder="1" applyAlignment="1">
      <alignment horizontal="center" vertical="center" wrapText="1"/>
    </xf>
    <xf numFmtId="0" fontId="24" fillId="25" borderId="72" xfId="0" applyFont="1" applyFill="1" applyBorder="1" applyAlignment="1">
      <alignment horizontal="center" vertical="center" wrapText="1"/>
    </xf>
    <xf numFmtId="0" fontId="24" fillId="25" borderId="73" xfId="0" applyFont="1" applyFill="1" applyBorder="1" applyAlignment="1">
      <alignment horizontal="center" vertical="center" wrapText="1"/>
    </xf>
    <xf numFmtId="0" fontId="24" fillId="25" borderId="79" xfId="0" applyFont="1" applyFill="1" applyBorder="1" applyAlignment="1">
      <alignment horizontal="center" vertical="center" wrapText="1"/>
    </xf>
    <xf numFmtId="0" fontId="24" fillId="25" borderId="80" xfId="0" applyFont="1" applyFill="1" applyBorder="1" applyAlignment="1">
      <alignment horizontal="center" vertical="center" wrapText="1"/>
    </xf>
    <xf numFmtId="0" fontId="0" fillId="0" borderId="81" xfId="0" applyBorder="1" applyAlignment="1">
      <alignment wrapText="1"/>
    </xf>
    <xf numFmtId="0" fontId="24" fillId="25" borderId="82" xfId="0" applyFont="1" applyFill="1"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24" fillId="25" borderId="74" xfId="0" applyFont="1" applyFill="1" applyBorder="1" applyAlignment="1">
      <alignment horizontal="center" vertical="center" wrapText="1"/>
    </xf>
    <xf numFmtId="0" fontId="0" fillId="29" borderId="0" xfId="0" applyFill="1" applyAlignment="1">
      <alignment horizontal="left" wrapText="1"/>
    </xf>
    <xf numFmtId="0" fontId="101" fillId="29" borderId="46" xfId="0" applyFont="1" applyFill="1" applyBorder="1" applyAlignment="1">
      <alignment horizontal="center"/>
    </xf>
    <xf numFmtId="0" fontId="101" fillId="29" borderId="47" xfId="0" applyFont="1" applyFill="1" applyBorder="1" applyAlignment="1">
      <alignment horizontal="center"/>
    </xf>
    <xf numFmtId="0" fontId="101" fillId="29" borderId="48" xfId="0" applyFont="1" applyFill="1" applyBorder="1" applyAlignment="1">
      <alignment horizontal="center"/>
    </xf>
  </cellXfs>
  <cellStyles count="1081">
    <cellStyle name=" 1" xfId="1" xr:uid="{00000000-0005-0000-0000-000000000000}"/>
    <cellStyle name=" 2" xfId="2" xr:uid="{00000000-0005-0000-0000-000001000000}"/>
    <cellStyle name=" 3" xfId="3" xr:uid="{00000000-0005-0000-0000-000002000000}"/>
    <cellStyle name="_x000d__x000a_JournalTemplate=C:\COMFO\CTALK\JOURSTD.TPL_x000d__x000a_LbStateAddress=3 3 0 251 1 89 2 311_x000d__x000a_LbStateJou" xfId="4" xr:uid="{00000000-0005-0000-0000-000003000000}"/>
    <cellStyle name="%" xfId="5" xr:uid="{00000000-0005-0000-0000-000004000000}"/>
    <cellStyle name="% 2" xfId="6" xr:uid="{00000000-0005-0000-0000-000005000000}"/>
    <cellStyle name="% 2 2" xfId="7" xr:uid="{00000000-0005-0000-0000-000006000000}"/>
    <cellStyle name="% 3" xfId="8" xr:uid="{00000000-0005-0000-0000-000007000000}"/>
    <cellStyle name="% 3 2" xfId="9" xr:uid="{00000000-0005-0000-0000-000008000000}"/>
    <cellStyle name="% 4" xfId="10" xr:uid="{00000000-0005-0000-0000-000009000000}"/>
    <cellStyle name="%_302_Baselines_Oct12 (Revised) (2)" xfId="11" xr:uid="{00000000-0005-0000-0000-00000A000000}"/>
    <cellStyle name="%_302_Baselines_Oct12 (Revised) (2) 2" xfId="12" xr:uid="{00000000-0005-0000-0000-00000B000000}"/>
    <cellStyle name="%_Book1" xfId="13" xr:uid="{00000000-0005-0000-0000-00000C000000}"/>
    <cellStyle name="%_Copy of Copy of SEN_Questionnaire_2013" xfId="14" xr:uid="{00000000-0005-0000-0000-00000D000000}"/>
    <cellStyle name="%_Copy of Copy of SEN_Questionnaire_2013 (2)" xfId="15" xr:uid="{00000000-0005-0000-0000-00000E000000}"/>
    <cellStyle name="%_DSG Cost centres from LBurbidge 16Oct12" xfId="16" xr:uid="{00000000-0005-0000-0000-00000F000000}"/>
    <cellStyle name="%_DSG Cost centres from LBurbidge 16Oct12 2" xfId="17" xr:uid="{00000000-0005-0000-0000-000010000000}"/>
    <cellStyle name="%_DSG Cost centres from LBurbidge 16Oct12_Schools Budget Plan 2013-14 V4 @ 14Jan2013" xfId="18" xr:uid="{00000000-0005-0000-0000-000011000000}"/>
    <cellStyle name="%_DSG Cost centres from LBurbidge 16Oct12_Schools Budget Plan 2013-14 V4 @ 14Jan2013 2" xfId="19" xr:uid="{00000000-0005-0000-0000-000012000000}"/>
    <cellStyle name="%_DSG Cost centres from LBurbidge 16Oct12_Schools Budget Plan 2013-14 V4 @ 14Jan2013 2 2" xfId="20" xr:uid="{00000000-0005-0000-0000-000013000000}"/>
    <cellStyle name="%_Reconciliation since 26042013" xfId="21" xr:uid="{00000000-0005-0000-0000-000014000000}"/>
    <cellStyle name="%_Reconciliation since 26042013 2" xfId="22" xr:uid="{00000000-0005-0000-0000-000015000000}"/>
    <cellStyle name="%_Restatement of baselines - CB" xfId="23" xr:uid="{00000000-0005-0000-0000-000016000000}"/>
    <cellStyle name="%_Restatement of baselines - CB 2" xfId="24" xr:uid="{00000000-0005-0000-0000-000017000000}"/>
    <cellStyle name="%_Schools Budget Plan 2013-14 V1 sent to group - SS" xfId="25" xr:uid="{00000000-0005-0000-0000-000018000000}"/>
    <cellStyle name="%_Schools Budget Plan 2013-14 V1 sent to group - SS 2" xfId="26" xr:uid="{00000000-0005-0000-0000-000019000000}"/>
    <cellStyle name="%_Schools Budget Plan 2013-14 V1 sent to group - SS_Schools Budget Plan 2013-14 V4 @ 14Jan2013" xfId="27" xr:uid="{00000000-0005-0000-0000-00001A000000}"/>
    <cellStyle name="%_Schools Budget Plan 2013-14 V1 sent to group - SS_Schools Budget Plan 2013-14 V4 @ 14Jan2013 2" xfId="28" xr:uid="{00000000-0005-0000-0000-00001B000000}"/>
    <cellStyle name="%_Schools Budget Plan 2013-14 V1 sent to group - SS_Schools Budget Plan 2013-14 V4 @ 14Jan2013 2 2" xfId="29" xr:uid="{00000000-0005-0000-0000-00001C000000}"/>
    <cellStyle name="%_Schools Budget Plan 2013-14 V4 @ 14Jan2013" xfId="30" xr:uid="{00000000-0005-0000-0000-00001D000000}"/>
    <cellStyle name="%_Schools Budget Plan 2013-14 V4 @ 14Jan2013 2" xfId="31" xr:uid="{00000000-0005-0000-0000-00001E000000}"/>
    <cellStyle name="%_Schools Budget Plan 2013-14 V4 @ 14Jan2013 2 2" xfId="32" xr:uid="{00000000-0005-0000-0000-00001F000000}"/>
    <cellStyle name="]_x000a__x000a_Width=797_x000a__x000a_Height=554_x000a__x000a__x000a__x000a_[Code]_x000a__x000a_Code0=/nyf50_x000a__x000a_Code1=4500000136_x000a__x000a_Code2=ME23_x000a__x000a_Code3=4500002322_x000a__x000a_Code4=#_x000a__x000a_Code5=MB01_x000a__x000a_" xfId="33" xr:uid="{00000000-0005-0000-0000-000020000000}"/>
    <cellStyle name="]_x000d__x000a_Width=797_x000d__x000a_Height=554_x000d__x000a__x000d__x000a_[Code]_x000d__x000a_Code0=/nyf50_x000d__x000a_Code1=4500000136_x000d__x000a_Code2=ME23_x000d__x000a_Code3=4500002322_x000d__x000a_Code4=#_x000d__x000a_Code5=MB01_x000d__x000a_" xfId="34" xr:uid="{00000000-0005-0000-0000-000021000000}"/>
    <cellStyle name="]_x000d__x000a_Width=797_x000d__x000a_Height=554_x000d__x000a__x000d__x000a_[Code]_x000d__x000a_Code0=/nyf50_x000d__x000a_Code1=4500000136_x000d__x000a_Code2=ME23_x000d__x000a_Code3=4500002322_x000d__x000a_Code4=#_x000d__x000a_Code5=MB01_x000d__x000a_ 2" xfId="35" xr:uid="{00000000-0005-0000-0000-000022000000}"/>
    <cellStyle name="]_x000d__x000a_Width=797_x000d__x000a_Height=554_x000d__x000a__x000d__x000a_[Code]_x000d__x000a_Code0=/nyf50_x000d__x000a_Code1=4500000136_x000d__x000a_Code2=ME23_x000d__x000a_Code3=4500002322_x000d__x000a_Code4=#_x000d__x000a_Code5=MB01_x000d__x000a_ 2 2" xfId="36" xr:uid="{00000000-0005-0000-0000-000023000000}"/>
    <cellStyle name="]_x000d__x000a_Width=797_x000d__x000a_Height=554_x000d__x000a__x000d__x000a_[Code]_x000d__x000a_Code0=/nyf50_x000d__x000a_Code1=4500000136_x000d__x000a_Code2=ME23_x000d__x000a_Code3=4500002322_x000d__x000a_Code4=#_x000d__x000a_Code5=MB01_x000d__x000a_ 3" xfId="37" xr:uid="{00000000-0005-0000-0000-000024000000}"/>
    <cellStyle name="]_x000d__x000a_Width=797_x000d__x000a_Height=554_x000d__x000a__x000d__x000a_[Code]_x000d__x000a_Code0=/nyf50_x000d__x000a_Code1=4500000136_x000d__x000a_Code2=ME23_x000d__x000a_Code3=4500002322_x000d__x000a_Code4=#_x000d__x000a_Code5=MB01_x000d__x000a_ 3 2" xfId="38" xr:uid="{00000000-0005-0000-0000-000025000000}"/>
    <cellStyle name="]_x000d__x000a_Width=797_x000d__x000a_Height=554_x000d__x000a__x000d__x000a_[Code]_x000d__x000a_Code0=/nyf50_x000d__x000a_Code1=4500000136_x000d__x000a_Code2=ME23_x000d__x000a_Code3=4500002322_x000d__x000a_Code4=#_x000d__x000a_Code5=MB01_x000d__x000a_ 4" xfId="39" xr:uid="{00000000-0005-0000-0000-000026000000}"/>
    <cellStyle name="]_x000d__x000a_Width=797_x000d__x000a_Height=554_x000d__x000a__x000d__x000a_[Code]_x000d__x000a_Code0=/nyf50_x000d__x000a_Code1=4500000136_x000d__x000a_Code2=ME23_x000d__x000a_Code3=4500002322_x000d__x000a_Code4=#_x000d__x000a_Code5=MB01_x000d__x000a__Copy of Capital Programme 2013-14  (to services) for Cabinet 2" xfId="40" xr:uid="{00000000-0005-0000-0000-000027000000}"/>
    <cellStyle name="]_x000d__x000a_Zoomed=1_x000d__x000a_Row=0_x000d__x000a_Column=0_x000d__x000a_Height=0_x000d__x000a_Width=0_x000d__x000a_FontName=FoxFont_x000d__x000a_FontStyle=0_x000d__x000a_FontSize=9_x000d__x000a_PrtFontName=FoxPrin" xfId="41" xr:uid="{00000000-0005-0000-0000-000028000000}"/>
    <cellStyle name="]_x000d__x000a_Zoomed=1_x000d__x000a_Row=0_x000d__x000a_Column=0_x000d__x000a_Height=0_x000d__x000a_Width=0_x000d__x000a_FontName=FoxFont_x000d__x000a_FontStyle=0_x000d__x000a_FontSize=9_x000d__x000a_PrtFontName=FoxPrin 2" xfId="42" xr:uid="{00000000-0005-0000-0000-000029000000}"/>
    <cellStyle name="]_x000d__x000a_Zoomed=1_x000d__x000a_Row=0_x000d__x000a_Column=0_x000d__x000a_Height=0_x000d__x000a_Width=0_x000d__x000a_FontName=FoxFont_x000d__x000a_FontStyle=0_x000d__x000a_FontSize=9_x000d__x000a_PrtFontName=FoxPrin 2 2" xfId="43" xr:uid="{00000000-0005-0000-0000-00002A000000}"/>
    <cellStyle name="]_x000d__x000a_Zoomed=1_x000d__x000a_Row=0_x000d__x000a_Column=0_x000d__x000a_Height=0_x000d__x000a_Width=0_x000d__x000a_FontName=FoxFont_x000d__x000a_FontStyle=0_x000d__x000a_FontSize=9_x000d__x000a_PrtFontName=FoxPrin 2 2 2" xfId="44" xr:uid="{00000000-0005-0000-0000-00002B000000}"/>
    <cellStyle name="]_x000d__x000a_Zoomed=1_x000d__x000a_Row=0_x000d__x000a_Column=0_x000d__x000a_Height=0_x000d__x000a_Width=0_x000d__x000a_FontName=FoxFont_x000d__x000a_FontStyle=0_x000d__x000a_FontSize=9_x000d__x000a_PrtFontName=FoxPrin 2 3" xfId="45" xr:uid="{00000000-0005-0000-0000-00002C000000}"/>
    <cellStyle name="]_x000d__x000a_Zoomed=1_x000d__x000a_Row=0_x000d__x000a_Column=0_x000d__x000a_Height=0_x000d__x000a_Width=0_x000d__x000a_FontName=FoxFont_x000d__x000a_FontStyle=0_x000d__x000a_FontSize=9_x000d__x000a_PrtFontName=FoxPrin 3" xfId="46" xr:uid="{00000000-0005-0000-0000-00002D000000}"/>
    <cellStyle name="]_x000d__x000a_Zoomed=1_x000d__x000a_Row=0_x000d__x000a_Column=0_x000d__x000a_Height=0_x000d__x000a_Width=0_x000d__x000a_FontName=FoxFont_x000d__x000a_FontStyle=0_x000d__x000a_FontSize=9_x000d__x000a_PrtFontName=FoxPrin 3 2" xfId="47" xr:uid="{00000000-0005-0000-0000-00002E000000}"/>
    <cellStyle name="]_x000d__x000a_Zoomed=1_x000d__x000a_Row=0_x000d__x000a_Column=0_x000d__x000a_Height=0_x000d__x000a_Width=0_x000d__x000a_FontName=FoxFont_x000d__x000a_FontStyle=0_x000d__x000a_FontSize=9_x000d__x000a_PrtFontName=FoxPrin 3_All Schools2" xfId="48" xr:uid="{00000000-0005-0000-0000-00002F000000}"/>
    <cellStyle name="]_x000d__x000a_Zoomed=1_x000d__x000a_Row=0_x000d__x000a_Column=0_x000d__x000a_Height=0_x000d__x000a_Width=0_x000d__x000a_FontName=FoxFont_x000d__x000a_FontStyle=0_x000d__x000a_FontSize=9_x000d__x000a_PrtFontName=FoxPrin 4" xfId="49" xr:uid="{00000000-0005-0000-0000-000030000000}"/>
    <cellStyle name="]_x000d__x000a_Zoomed=1_x000d__x000a_Row=0_x000d__x000a_Column=0_x000d__x000a_Height=0_x000d__x000a_Width=0_x000d__x000a_FontName=FoxFont_x000d__x000a_FontStyle=0_x000d__x000a_FontSize=9_x000d__x000a_PrtFontName=FoxPrin_All Schools2" xfId="50" xr:uid="{00000000-0005-0000-0000-000031000000}"/>
    <cellStyle name="_38006 University Academy Keighley MFG Calculation" xfId="51" xr:uid="{00000000-0005-0000-0000-000032000000}"/>
    <cellStyle name="~Product" xfId="52" xr:uid="{00000000-0005-0000-0000-000033000000}"/>
    <cellStyle name="~subhead" xfId="53" xr:uid="{00000000-0005-0000-0000-000034000000}"/>
    <cellStyle name="20 % - Accent1" xfId="54" xr:uid="{00000000-0005-0000-0000-000035000000}"/>
    <cellStyle name="20 % - Accent1 2" xfId="55" xr:uid="{00000000-0005-0000-0000-000036000000}"/>
    <cellStyle name="20 % - Accent2" xfId="56" xr:uid="{00000000-0005-0000-0000-000037000000}"/>
    <cellStyle name="20 % - Accent2 2" xfId="57" xr:uid="{00000000-0005-0000-0000-000038000000}"/>
    <cellStyle name="20 % - Accent3" xfId="58" xr:uid="{00000000-0005-0000-0000-000039000000}"/>
    <cellStyle name="20 % - Accent3 2" xfId="59" xr:uid="{00000000-0005-0000-0000-00003A000000}"/>
    <cellStyle name="20 % - Accent4" xfId="60" xr:uid="{00000000-0005-0000-0000-00003B000000}"/>
    <cellStyle name="20 % - Accent4 2" xfId="61" xr:uid="{00000000-0005-0000-0000-00003C000000}"/>
    <cellStyle name="20 % - Accent5" xfId="62" xr:uid="{00000000-0005-0000-0000-00003D000000}"/>
    <cellStyle name="20 % - Accent5 2" xfId="63" xr:uid="{00000000-0005-0000-0000-00003E000000}"/>
    <cellStyle name="20 % - Accent6" xfId="64" xr:uid="{00000000-0005-0000-0000-00003F000000}"/>
    <cellStyle name="20 % - Accent6 2" xfId="65" xr:uid="{00000000-0005-0000-0000-000040000000}"/>
    <cellStyle name="20% - Accent1" xfId="66" builtinId="30" customBuiltin="1"/>
    <cellStyle name="20% - Accent1 2" xfId="67" xr:uid="{00000000-0005-0000-0000-000042000000}"/>
    <cellStyle name="20% - Accent1 2 2" xfId="68" xr:uid="{00000000-0005-0000-0000-000043000000}"/>
    <cellStyle name="20% - Accent1 3" xfId="69" xr:uid="{00000000-0005-0000-0000-000044000000}"/>
    <cellStyle name="20% - Accent1 4" xfId="70" xr:uid="{00000000-0005-0000-0000-000045000000}"/>
    <cellStyle name="20% - Accent1 5" xfId="71" xr:uid="{00000000-0005-0000-0000-000046000000}"/>
    <cellStyle name="20% - Accent2" xfId="72" builtinId="34" customBuiltin="1"/>
    <cellStyle name="20% - Accent2 2" xfId="73" xr:uid="{00000000-0005-0000-0000-000048000000}"/>
    <cellStyle name="20% - Accent2 2 2" xfId="74" xr:uid="{00000000-0005-0000-0000-000049000000}"/>
    <cellStyle name="20% - Accent2 3" xfId="75" xr:uid="{00000000-0005-0000-0000-00004A000000}"/>
    <cellStyle name="20% - Accent2 4" xfId="76" xr:uid="{00000000-0005-0000-0000-00004B000000}"/>
    <cellStyle name="20% - Accent2 5" xfId="77" xr:uid="{00000000-0005-0000-0000-00004C000000}"/>
    <cellStyle name="20% - Accent3" xfId="78" builtinId="38" customBuiltin="1"/>
    <cellStyle name="20% - Accent3 2" xfId="79" xr:uid="{00000000-0005-0000-0000-00004E000000}"/>
    <cellStyle name="20% - Accent3 2 2" xfId="80" xr:uid="{00000000-0005-0000-0000-00004F000000}"/>
    <cellStyle name="20% - Accent3 3" xfId="81" xr:uid="{00000000-0005-0000-0000-000050000000}"/>
    <cellStyle name="20% - Accent3 4" xfId="82" xr:uid="{00000000-0005-0000-0000-000051000000}"/>
    <cellStyle name="20% - Accent3 5" xfId="83" xr:uid="{00000000-0005-0000-0000-000052000000}"/>
    <cellStyle name="20% - Accent4" xfId="84" builtinId="42" customBuiltin="1"/>
    <cellStyle name="20% - Accent4 2" xfId="85" xr:uid="{00000000-0005-0000-0000-000054000000}"/>
    <cellStyle name="20% - Accent4 2 2" xfId="86" xr:uid="{00000000-0005-0000-0000-000055000000}"/>
    <cellStyle name="20% - Accent4 3" xfId="87" xr:uid="{00000000-0005-0000-0000-000056000000}"/>
    <cellStyle name="20% - Accent4 4" xfId="88" xr:uid="{00000000-0005-0000-0000-000057000000}"/>
    <cellStyle name="20% - Accent4 5" xfId="89" xr:uid="{00000000-0005-0000-0000-000058000000}"/>
    <cellStyle name="20% - Accent5" xfId="90" builtinId="46" customBuiltin="1"/>
    <cellStyle name="20% - Accent5 2" xfId="91" xr:uid="{00000000-0005-0000-0000-00005A000000}"/>
    <cellStyle name="20% - Accent5 2 2" xfId="92" xr:uid="{00000000-0005-0000-0000-00005B000000}"/>
    <cellStyle name="20% - Accent5 3" xfId="93" xr:uid="{00000000-0005-0000-0000-00005C000000}"/>
    <cellStyle name="20% - Accent5 4" xfId="94" xr:uid="{00000000-0005-0000-0000-00005D000000}"/>
    <cellStyle name="20% - Accent5 5" xfId="95" xr:uid="{00000000-0005-0000-0000-00005E000000}"/>
    <cellStyle name="20% - Accent6" xfId="96" builtinId="50" customBuiltin="1"/>
    <cellStyle name="20% - Accent6 2" xfId="97" xr:uid="{00000000-0005-0000-0000-000060000000}"/>
    <cellStyle name="20% - Accent6 2 2" xfId="98" xr:uid="{00000000-0005-0000-0000-000061000000}"/>
    <cellStyle name="20% - Accent6 3" xfId="99" xr:uid="{00000000-0005-0000-0000-000062000000}"/>
    <cellStyle name="20% - Accent6 4" xfId="100" xr:uid="{00000000-0005-0000-0000-000063000000}"/>
    <cellStyle name="20% - Accent6 5" xfId="101" xr:uid="{00000000-0005-0000-0000-000064000000}"/>
    <cellStyle name="40 % - Accent1" xfId="102" xr:uid="{00000000-0005-0000-0000-000065000000}"/>
    <cellStyle name="40 % - Accent1 2" xfId="103" xr:uid="{00000000-0005-0000-0000-000066000000}"/>
    <cellStyle name="40 % - Accent2" xfId="104" xr:uid="{00000000-0005-0000-0000-000067000000}"/>
    <cellStyle name="40 % - Accent2 2" xfId="105" xr:uid="{00000000-0005-0000-0000-000068000000}"/>
    <cellStyle name="40 % - Accent3" xfId="106" xr:uid="{00000000-0005-0000-0000-000069000000}"/>
    <cellStyle name="40 % - Accent3 2" xfId="107" xr:uid="{00000000-0005-0000-0000-00006A000000}"/>
    <cellStyle name="40 % - Accent4" xfId="108" xr:uid="{00000000-0005-0000-0000-00006B000000}"/>
    <cellStyle name="40 % - Accent4 2" xfId="109" xr:uid="{00000000-0005-0000-0000-00006C000000}"/>
    <cellStyle name="40 % - Accent5" xfId="110" xr:uid="{00000000-0005-0000-0000-00006D000000}"/>
    <cellStyle name="40 % - Accent5 2" xfId="111" xr:uid="{00000000-0005-0000-0000-00006E000000}"/>
    <cellStyle name="40 % - Accent6" xfId="112" xr:uid="{00000000-0005-0000-0000-00006F000000}"/>
    <cellStyle name="40 % - Accent6 2" xfId="113" xr:uid="{00000000-0005-0000-0000-000070000000}"/>
    <cellStyle name="40% - Accent1" xfId="114" builtinId="31" customBuiltin="1"/>
    <cellStyle name="40% - Accent1 2" xfId="115" xr:uid="{00000000-0005-0000-0000-000072000000}"/>
    <cellStyle name="40% - Accent1 2 2" xfId="116" xr:uid="{00000000-0005-0000-0000-000073000000}"/>
    <cellStyle name="40% - Accent1 3" xfId="117" xr:uid="{00000000-0005-0000-0000-000074000000}"/>
    <cellStyle name="40% - Accent1 4" xfId="118" xr:uid="{00000000-0005-0000-0000-000075000000}"/>
    <cellStyle name="40% - Accent1 5" xfId="119" xr:uid="{00000000-0005-0000-0000-000076000000}"/>
    <cellStyle name="40% - Accent2" xfId="120" builtinId="35" customBuiltin="1"/>
    <cellStyle name="40% - Accent2 2" xfId="121" xr:uid="{00000000-0005-0000-0000-000078000000}"/>
    <cellStyle name="40% - Accent2 2 2" xfId="122" xr:uid="{00000000-0005-0000-0000-000079000000}"/>
    <cellStyle name="40% - Accent2 3" xfId="123" xr:uid="{00000000-0005-0000-0000-00007A000000}"/>
    <cellStyle name="40% - Accent2 4" xfId="124" xr:uid="{00000000-0005-0000-0000-00007B000000}"/>
    <cellStyle name="40% - Accent2 5" xfId="125" xr:uid="{00000000-0005-0000-0000-00007C000000}"/>
    <cellStyle name="40% - Accent3" xfId="126" builtinId="39" customBuiltin="1"/>
    <cellStyle name="40% - Accent3 2" xfId="127" xr:uid="{00000000-0005-0000-0000-00007E000000}"/>
    <cellStyle name="40% - Accent3 2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4" xfId="132" builtinId="43" customBuiltin="1"/>
    <cellStyle name="40% - Accent4 2" xfId="133" xr:uid="{00000000-0005-0000-0000-000084000000}"/>
    <cellStyle name="40% - Accent4 2 2" xfId="134" xr:uid="{00000000-0005-0000-0000-000085000000}"/>
    <cellStyle name="40% - Accent4 3" xfId="135" xr:uid="{00000000-0005-0000-0000-000086000000}"/>
    <cellStyle name="40% - Accent4 4" xfId="136" xr:uid="{00000000-0005-0000-0000-000087000000}"/>
    <cellStyle name="40% - Accent4 5" xfId="137" xr:uid="{00000000-0005-0000-0000-000088000000}"/>
    <cellStyle name="40% - Accent5" xfId="138" builtinId="47" customBuiltin="1"/>
    <cellStyle name="40% - Accent5 2" xfId="139" xr:uid="{00000000-0005-0000-0000-00008A000000}"/>
    <cellStyle name="40% - Accent5 2 2" xfId="140" xr:uid="{00000000-0005-0000-0000-00008B000000}"/>
    <cellStyle name="40% - Accent5 3" xfId="141" xr:uid="{00000000-0005-0000-0000-00008C000000}"/>
    <cellStyle name="40% - Accent5 4" xfId="142" xr:uid="{00000000-0005-0000-0000-00008D000000}"/>
    <cellStyle name="40% - Accent5 5" xfId="143" xr:uid="{00000000-0005-0000-0000-00008E000000}"/>
    <cellStyle name="40% - Accent6" xfId="144" builtinId="51" customBuiltin="1"/>
    <cellStyle name="40% - Accent6 2" xfId="145" xr:uid="{00000000-0005-0000-0000-000090000000}"/>
    <cellStyle name="40% - Accent6 2 2" xfId="146" xr:uid="{00000000-0005-0000-0000-000091000000}"/>
    <cellStyle name="40% - Accent6 3" xfId="147" xr:uid="{00000000-0005-0000-0000-000092000000}"/>
    <cellStyle name="40% - Accent6 4" xfId="148" xr:uid="{00000000-0005-0000-0000-000093000000}"/>
    <cellStyle name="40% - Accent6 5" xfId="149" xr:uid="{00000000-0005-0000-0000-000094000000}"/>
    <cellStyle name="60 % - Accent1" xfId="150" xr:uid="{00000000-0005-0000-0000-000095000000}"/>
    <cellStyle name="60 % - Accent2" xfId="151" xr:uid="{00000000-0005-0000-0000-000096000000}"/>
    <cellStyle name="60 % - Accent3" xfId="152" xr:uid="{00000000-0005-0000-0000-000097000000}"/>
    <cellStyle name="60 % - Accent4" xfId="153" xr:uid="{00000000-0005-0000-0000-000098000000}"/>
    <cellStyle name="60 % - Accent5" xfId="154" xr:uid="{00000000-0005-0000-0000-000099000000}"/>
    <cellStyle name="60 % - Accent6" xfId="155" xr:uid="{00000000-0005-0000-0000-00009A000000}"/>
    <cellStyle name="60% - Accent1" xfId="156" builtinId="32" customBuiltin="1"/>
    <cellStyle name="60% - Accent1 2" xfId="157" xr:uid="{00000000-0005-0000-0000-00009C000000}"/>
    <cellStyle name="60% - Accent1 2 2" xfId="158" xr:uid="{00000000-0005-0000-0000-00009D000000}"/>
    <cellStyle name="60% - Accent1 3" xfId="159" xr:uid="{00000000-0005-0000-0000-00009E000000}"/>
    <cellStyle name="60% - Accent1 4" xfId="160" xr:uid="{00000000-0005-0000-0000-00009F000000}"/>
    <cellStyle name="60% - Accent1 5" xfId="161" xr:uid="{00000000-0005-0000-0000-0000A0000000}"/>
    <cellStyle name="60% - Accent2" xfId="162" builtinId="36" customBuiltin="1"/>
    <cellStyle name="60% - Accent2 2" xfId="163" xr:uid="{00000000-0005-0000-0000-0000A2000000}"/>
    <cellStyle name="60% - Accent2 2 2" xfId="164" xr:uid="{00000000-0005-0000-0000-0000A3000000}"/>
    <cellStyle name="60% - Accent2 3" xfId="165" xr:uid="{00000000-0005-0000-0000-0000A4000000}"/>
    <cellStyle name="60% - Accent2 4" xfId="166" xr:uid="{00000000-0005-0000-0000-0000A5000000}"/>
    <cellStyle name="60% - Accent2 5" xfId="167" xr:uid="{00000000-0005-0000-0000-0000A6000000}"/>
    <cellStyle name="60% - Accent3" xfId="168" builtinId="40" customBuiltin="1"/>
    <cellStyle name="60% - Accent3 2" xfId="169" xr:uid="{00000000-0005-0000-0000-0000A8000000}"/>
    <cellStyle name="60% - Accent3 2 2" xfId="170" xr:uid="{00000000-0005-0000-0000-0000A9000000}"/>
    <cellStyle name="60% - Accent3 3" xfId="171" xr:uid="{00000000-0005-0000-0000-0000AA000000}"/>
    <cellStyle name="60% - Accent3 4" xfId="172" xr:uid="{00000000-0005-0000-0000-0000AB000000}"/>
    <cellStyle name="60% - Accent3 5" xfId="173" xr:uid="{00000000-0005-0000-0000-0000AC000000}"/>
    <cellStyle name="60% - Accent4" xfId="174" builtinId="44" customBuiltin="1"/>
    <cellStyle name="60% - Accent4 2" xfId="175" xr:uid="{00000000-0005-0000-0000-0000AE000000}"/>
    <cellStyle name="60% - Accent4 2 2" xfId="176" xr:uid="{00000000-0005-0000-0000-0000AF000000}"/>
    <cellStyle name="60% - Accent4 3" xfId="177" xr:uid="{00000000-0005-0000-0000-0000B0000000}"/>
    <cellStyle name="60% - Accent4 4" xfId="178" xr:uid="{00000000-0005-0000-0000-0000B1000000}"/>
    <cellStyle name="60% - Accent4 5" xfId="179" xr:uid="{00000000-0005-0000-0000-0000B2000000}"/>
    <cellStyle name="60% - Accent5" xfId="180" builtinId="48" customBuiltin="1"/>
    <cellStyle name="60% - Accent5 2" xfId="181" xr:uid="{00000000-0005-0000-0000-0000B4000000}"/>
    <cellStyle name="60% - Accent5 2 2" xfId="182" xr:uid="{00000000-0005-0000-0000-0000B5000000}"/>
    <cellStyle name="60% - Accent5 3" xfId="183" xr:uid="{00000000-0005-0000-0000-0000B6000000}"/>
    <cellStyle name="60% - Accent5 4" xfId="184" xr:uid="{00000000-0005-0000-0000-0000B7000000}"/>
    <cellStyle name="60% - Accent5 5" xfId="185" xr:uid="{00000000-0005-0000-0000-0000B8000000}"/>
    <cellStyle name="60% - Accent6" xfId="186" builtinId="52" customBuiltin="1"/>
    <cellStyle name="60% - Accent6 2" xfId="187" xr:uid="{00000000-0005-0000-0000-0000BA000000}"/>
    <cellStyle name="60% - Accent6 2 2" xfId="188" xr:uid="{00000000-0005-0000-0000-0000BB000000}"/>
    <cellStyle name="60% - Accent6 3" xfId="189" xr:uid="{00000000-0005-0000-0000-0000BC000000}"/>
    <cellStyle name="60% - Accent6 4" xfId="190" xr:uid="{00000000-0005-0000-0000-0000BD000000}"/>
    <cellStyle name="60% - Accent6 5" xfId="191" xr:uid="{00000000-0005-0000-0000-0000BE000000}"/>
    <cellStyle name="Accent1" xfId="192" builtinId="29" customBuiltin="1"/>
    <cellStyle name="Accent1 2" xfId="193" xr:uid="{00000000-0005-0000-0000-0000C0000000}"/>
    <cellStyle name="Accent1 2 2" xfId="194" xr:uid="{00000000-0005-0000-0000-0000C1000000}"/>
    <cellStyle name="Accent1 3" xfId="195" xr:uid="{00000000-0005-0000-0000-0000C2000000}"/>
    <cellStyle name="Accent1 4" xfId="196" xr:uid="{00000000-0005-0000-0000-0000C3000000}"/>
    <cellStyle name="Accent1 5" xfId="197" xr:uid="{00000000-0005-0000-0000-0000C4000000}"/>
    <cellStyle name="Accent2" xfId="198" builtinId="33" customBuiltin="1"/>
    <cellStyle name="Accent2 2" xfId="199" xr:uid="{00000000-0005-0000-0000-0000C6000000}"/>
    <cellStyle name="Accent2 2 2" xfId="200" xr:uid="{00000000-0005-0000-0000-0000C7000000}"/>
    <cellStyle name="Accent2 3" xfId="201" xr:uid="{00000000-0005-0000-0000-0000C8000000}"/>
    <cellStyle name="Accent2 4" xfId="202" xr:uid="{00000000-0005-0000-0000-0000C9000000}"/>
    <cellStyle name="Accent2 5" xfId="203" xr:uid="{00000000-0005-0000-0000-0000CA000000}"/>
    <cellStyle name="Accent3" xfId="204" builtinId="37" customBuiltin="1"/>
    <cellStyle name="Accent3 2" xfId="205" xr:uid="{00000000-0005-0000-0000-0000CC000000}"/>
    <cellStyle name="Accent3 2 2" xfId="206" xr:uid="{00000000-0005-0000-0000-0000CD000000}"/>
    <cellStyle name="Accent3 3" xfId="207" xr:uid="{00000000-0005-0000-0000-0000CE000000}"/>
    <cellStyle name="Accent3 4" xfId="208" xr:uid="{00000000-0005-0000-0000-0000CF000000}"/>
    <cellStyle name="Accent3 5" xfId="209" xr:uid="{00000000-0005-0000-0000-0000D0000000}"/>
    <cellStyle name="Accent4" xfId="210" builtinId="41" customBuiltin="1"/>
    <cellStyle name="Accent4 2" xfId="211" xr:uid="{00000000-0005-0000-0000-0000D2000000}"/>
    <cellStyle name="Accent4 2 2" xfId="212" xr:uid="{00000000-0005-0000-0000-0000D3000000}"/>
    <cellStyle name="Accent4 3" xfId="213" xr:uid="{00000000-0005-0000-0000-0000D4000000}"/>
    <cellStyle name="Accent4 4" xfId="214" xr:uid="{00000000-0005-0000-0000-0000D5000000}"/>
    <cellStyle name="Accent4 5" xfId="215" xr:uid="{00000000-0005-0000-0000-0000D6000000}"/>
    <cellStyle name="Accent5" xfId="216" builtinId="45" customBuiltin="1"/>
    <cellStyle name="Accent5 2" xfId="217" xr:uid="{00000000-0005-0000-0000-0000D8000000}"/>
    <cellStyle name="Accent5 2 2" xfId="218" xr:uid="{00000000-0005-0000-0000-0000D9000000}"/>
    <cellStyle name="Accent5 3" xfId="219" xr:uid="{00000000-0005-0000-0000-0000DA000000}"/>
    <cellStyle name="Accent5 4" xfId="220" xr:uid="{00000000-0005-0000-0000-0000DB000000}"/>
    <cellStyle name="Accent5 5" xfId="221" xr:uid="{00000000-0005-0000-0000-0000DC000000}"/>
    <cellStyle name="Accent6" xfId="222" builtinId="49" customBuiltin="1"/>
    <cellStyle name="Accent6 2" xfId="223" xr:uid="{00000000-0005-0000-0000-0000DE000000}"/>
    <cellStyle name="Accent6 2 2" xfId="224" xr:uid="{00000000-0005-0000-0000-0000DF000000}"/>
    <cellStyle name="Accent6 3" xfId="225" xr:uid="{00000000-0005-0000-0000-0000E0000000}"/>
    <cellStyle name="Accent6 4" xfId="226" xr:uid="{00000000-0005-0000-0000-0000E1000000}"/>
    <cellStyle name="Accent6 5" xfId="227" xr:uid="{00000000-0005-0000-0000-0000E2000000}"/>
    <cellStyle name="active" xfId="228" xr:uid="{00000000-0005-0000-0000-0000E3000000}"/>
    <cellStyle name="Avertissement" xfId="229" xr:uid="{00000000-0005-0000-0000-0000E4000000}"/>
    <cellStyle name="Bad" xfId="230" builtinId="27" customBuiltin="1"/>
    <cellStyle name="Bad 2" xfId="231" xr:uid="{00000000-0005-0000-0000-0000E6000000}"/>
    <cellStyle name="Bad 2 2" xfId="232" xr:uid="{00000000-0005-0000-0000-0000E7000000}"/>
    <cellStyle name="Bad 3" xfId="233" xr:uid="{00000000-0005-0000-0000-0000E8000000}"/>
    <cellStyle name="Bad 4" xfId="234" xr:uid="{00000000-0005-0000-0000-0000E9000000}"/>
    <cellStyle name="Bad 5" xfId="235" xr:uid="{00000000-0005-0000-0000-0000EA000000}"/>
    <cellStyle name="Calc Currency (0)" xfId="236" xr:uid="{00000000-0005-0000-0000-0000EB000000}"/>
    <cellStyle name="Calc Currency (2)" xfId="237" xr:uid="{00000000-0005-0000-0000-0000EC000000}"/>
    <cellStyle name="Calc Percent (0)" xfId="238" xr:uid="{00000000-0005-0000-0000-0000ED000000}"/>
    <cellStyle name="Calc Percent (1)" xfId="239" xr:uid="{00000000-0005-0000-0000-0000EE000000}"/>
    <cellStyle name="Calc Percent (2)" xfId="240" xr:uid="{00000000-0005-0000-0000-0000EF000000}"/>
    <cellStyle name="Calc Units (0)" xfId="241" xr:uid="{00000000-0005-0000-0000-0000F0000000}"/>
    <cellStyle name="Calc Units (1)" xfId="242" xr:uid="{00000000-0005-0000-0000-0000F1000000}"/>
    <cellStyle name="Calc Units (2)" xfId="243" xr:uid="{00000000-0005-0000-0000-0000F2000000}"/>
    <cellStyle name="Calcul" xfId="244" xr:uid="{00000000-0005-0000-0000-0000F3000000}"/>
    <cellStyle name="Calculation" xfId="245" builtinId="22" customBuiltin="1"/>
    <cellStyle name="Calculation 2" xfId="246" xr:uid="{00000000-0005-0000-0000-0000F5000000}"/>
    <cellStyle name="Calculation 2 2" xfId="247" xr:uid="{00000000-0005-0000-0000-0000F6000000}"/>
    <cellStyle name="Calculation 2 2 2" xfId="248" xr:uid="{00000000-0005-0000-0000-0000F7000000}"/>
    <cellStyle name="Calculation 2 2 2 2" xfId="249" xr:uid="{00000000-0005-0000-0000-0000F8000000}"/>
    <cellStyle name="Calculation 2 2 2 3" xfId="250" xr:uid="{00000000-0005-0000-0000-0000F9000000}"/>
    <cellStyle name="Calculation 2 2 3" xfId="251" xr:uid="{00000000-0005-0000-0000-0000FA000000}"/>
    <cellStyle name="Calculation 2 2 4" xfId="252" xr:uid="{00000000-0005-0000-0000-0000FB000000}"/>
    <cellStyle name="Calculation 2 3" xfId="253" xr:uid="{00000000-0005-0000-0000-0000FC000000}"/>
    <cellStyle name="Calculation 2 3 2" xfId="254" xr:uid="{00000000-0005-0000-0000-0000FD000000}"/>
    <cellStyle name="Calculation 2 3 3" xfId="255" xr:uid="{00000000-0005-0000-0000-0000FE000000}"/>
    <cellStyle name="Calculation 2 4" xfId="256" xr:uid="{00000000-0005-0000-0000-0000FF000000}"/>
    <cellStyle name="Calculation 2 4 2" xfId="257" xr:uid="{00000000-0005-0000-0000-000000010000}"/>
    <cellStyle name="Calculation 2 4 3" xfId="258" xr:uid="{00000000-0005-0000-0000-000001010000}"/>
    <cellStyle name="Calculation 2 5" xfId="259" xr:uid="{00000000-0005-0000-0000-000002010000}"/>
    <cellStyle name="Calculation 3" xfId="260" xr:uid="{00000000-0005-0000-0000-000003010000}"/>
    <cellStyle name="Calculation 3 2" xfId="261" xr:uid="{00000000-0005-0000-0000-000004010000}"/>
    <cellStyle name="Calculation 3 2 2" xfId="262" xr:uid="{00000000-0005-0000-0000-000005010000}"/>
    <cellStyle name="Calculation 3 2 2 2" xfId="263" xr:uid="{00000000-0005-0000-0000-000006010000}"/>
    <cellStyle name="Calculation 3 2 2 3" xfId="264" xr:uid="{00000000-0005-0000-0000-000007010000}"/>
    <cellStyle name="Calculation 3 2 3" xfId="265" xr:uid="{00000000-0005-0000-0000-000008010000}"/>
    <cellStyle name="Calculation 3 2 4" xfId="266" xr:uid="{00000000-0005-0000-0000-000009010000}"/>
    <cellStyle name="Calculation 3 3" xfId="267" xr:uid="{00000000-0005-0000-0000-00000A010000}"/>
    <cellStyle name="Calculation 3 3 2" xfId="268" xr:uid="{00000000-0005-0000-0000-00000B010000}"/>
    <cellStyle name="Calculation 3 3 3" xfId="269" xr:uid="{00000000-0005-0000-0000-00000C010000}"/>
    <cellStyle name="Calculation 3 4" xfId="270" xr:uid="{00000000-0005-0000-0000-00000D010000}"/>
    <cellStyle name="Calculation 3 4 2" xfId="271" xr:uid="{00000000-0005-0000-0000-00000E010000}"/>
    <cellStyle name="Calculation 3 4 3" xfId="272" xr:uid="{00000000-0005-0000-0000-00000F010000}"/>
    <cellStyle name="Calculation 3 5" xfId="273" xr:uid="{00000000-0005-0000-0000-000010010000}"/>
    <cellStyle name="Calculation 4" xfId="274" xr:uid="{00000000-0005-0000-0000-000011010000}"/>
    <cellStyle name="Calculation 4 2" xfId="275" xr:uid="{00000000-0005-0000-0000-000012010000}"/>
    <cellStyle name="Calculation 4 2 2" xfId="276" xr:uid="{00000000-0005-0000-0000-000013010000}"/>
    <cellStyle name="Calculation 4 2 2 2" xfId="277" xr:uid="{00000000-0005-0000-0000-000014010000}"/>
    <cellStyle name="Calculation 4 2 2 3" xfId="278" xr:uid="{00000000-0005-0000-0000-000015010000}"/>
    <cellStyle name="Calculation 4 2 3" xfId="279" xr:uid="{00000000-0005-0000-0000-000016010000}"/>
    <cellStyle name="Calculation 4 2 4" xfId="280" xr:uid="{00000000-0005-0000-0000-000017010000}"/>
    <cellStyle name="Calculation 4 3" xfId="281" xr:uid="{00000000-0005-0000-0000-000018010000}"/>
    <cellStyle name="Calculation 4 3 2" xfId="282" xr:uid="{00000000-0005-0000-0000-000019010000}"/>
    <cellStyle name="Calculation 4 3 3" xfId="283" xr:uid="{00000000-0005-0000-0000-00001A010000}"/>
    <cellStyle name="Calculation 4 4" xfId="284" xr:uid="{00000000-0005-0000-0000-00001B010000}"/>
    <cellStyle name="Calculation 4 4 2" xfId="285" xr:uid="{00000000-0005-0000-0000-00001C010000}"/>
    <cellStyle name="Calculation 4 4 3" xfId="286" xr:uid="{00000000-0005-0000-0000-00001D010000}"/>
    <cellStyle name="Calculation 4 5" xfId="287" xr:uid="{00000000-0005-0000-0000-00001E010000}"/>
    <cellStyle name="Calculation 5" xfId="288" xr:uid="{00000000-0005-0000-0000-00001F010000}"/>
    <cellStyle name="Calculation 5 2" xfId="289" xr:uid="{00000000-0005-0000-0000-000020010000}"/>
    <cellStyle name="Calculation 5 2 2" xfId="290" xr:uid="{00000000-0005-0000-0000-000021010000}"/>
    <cellStyle name="Calculation 5 2 3" xfId="291" xr:uid="{00000000-0005-0000-0000-000022010000}"/>
    <cellStyle name="Calculation 5 3" xfId="292" xr:uid="{00000000-0005-0000-0000-000023010000}"/>
    <cellStyle name="Calculation 5 4" xfId="293" xr:uid="{00000000-0005-0000-0000-000024010000}"/>
    <cellStyle name="Calculation 6" xfId="294" xr:uid="{00000000-0005-0000-0000-000025010000}"/>
    <cellStyle name="Calculation 6 2" xfId="295" xr:uid="{00000000-0005-0000-0000-000026010000}"/>
    <cellStyle name="Calculation 6 2 2" xfId="296" xr:uid="{00000000-0005-0000-0000-000027010000}"/>
    <cellStyle name="Calculation 6 2 3" xfId="297" xr:uid="{00000000-0005-0000-0000-000028010000}"/>
    <cellStyle name="Calculation 6 3" xfId="298" xr:uid="{00000000-0005-0000-0000-000029010000}"/>
    <cellStyle name="Calculation 6 4" xfId="299" xr:uid="{00000000-0005-0000-0000-00002A010000}"/>
    <cellStyle name="Calculation 7" xfId="300" xr:uid="{00000000-0005-0000-0000-00002B010000}"/>
    <cellStyle name="Calculation 7 2" xfId="301" xr:uid="{00000000-0005-0000-0000-00002C010000}"/>
    <cellStyle name="Calculation 7 3" xfId="302" xr:uid="{00000000-0005-0000-0000-00002D010000}"/>
    <cellStyle name="Calculation 8" xfId="303" xr:uid="{00000000-0005-0000-0000-00002E010000}"/>
    <cellStyle name="Cellule liée" xfId="304" xr:uid="{00000000-0005-0000-0000-00002F010000}"/>
    <cellStyle name="centre across selection" xfId="305" xr:uid="{00000000-0005-0000-0000-000030010000}"/>
    <cellStyle name="Check Cell" xfId="306" builtinId="23" customBuiltin="1"/>
    <cellStyle name="Check Cell 2" xfId="307" xr:uid="{00000000-0005-0000-0000-000032010000}"/>
    <cellStyle name="Check Cell 2 2" xfId="308" xr:uid="{00000000-0005-0000-0000-000033010000}"/>
    <cellStyle name="Check Cell 3" xfId="309" xr:uid="{00000000-0005-0000-0000-000034010000}"/>
    <cellStyle name="Check Cell 4" xfId="310" xr:uid="{00000000-0005-0000-0000-000035010000}"/>
    <cellStyle name="Check Cell 5" xfId="311" xr:uid="{00000000-0005-0000-0000-000036010000}"/>
    <cellStyle name="Comma" xfId="312" builtinId="3"/>
    <cellStyle name="Comma [00]" xfId="313" xr:uid="{00000000-0005-0000-0000-000038010000}"/>
    <cellStyle name="Comma 10" xfId="314" xr:uid="{00000000-0005-0000-0000-000039010000}"/>
    <cellStyle name="Comma 10 2" xfId="315" xr:uid="{00000000-0005-0000-0000-00003A010000}"/>
    <cellStyle name="Comma 11" xfId="316" xr:uid="{00000000-0005-0000-0000-00003B010000}"/>
    <cellStyle name="Comma 12" xfId="317" xr:uid="{00000000-0005-0000-0000-00003C010000}"/>
    <cellStyle name="Comma 13" xfId="318" xr:uid="{00000000-0005-0000-0000-00003D010000}"/>
    <cellStyle name="Comma 2" xfId="319" xr:uid="{00000000-0005-0000-0000-00003E010000}"/>
    <cellStyle name="Comma 2 10" xfId="320" xr:uid="{00000000-0005-0000-0000-00003F010000}"/>
    <cellStyle name="Comma 2 11" xfId="321" xr:uid="{00000000-0005-0000-0000-000040010000}"/>
    <cellStyle name="Comma 2 12" xfId="322" xr:uid="{00000000-0005-0000-0000-000041010000}"/>
    <cellStyle name="Comma 2 12 2" xfId="323" xr:uid="{00000000-0005-0000-0000-000042010000}"/>
    <cellStyle name="Comma 2 13" xfId="324" xr:uid="{00000000-0005-0000-0000-000043010000}"/>
    <cellStyle name="Comma 2 13 2" xfId="325" xr:uid="{00000000-0005-0000-0000-000044010000}"/>
    <cellStyle name="Comma 2 14" xfId="326" xr:uid="{00000000-0005-0000-0000-000045010000}"/>
    <cellStyle name="Comma 2 2" xfId="327" xr:uid="{00000000-0005-0000-0000-000046010000}"/>
    <cellStyle name="Comma 2 2 2" xfId="328" xr:uid="{00000000-0005-0000-0000-000047010000}"/>
    <cellStyle name="Comma 2 2 2 2" xfId="329" xr:uid="{00000000-0005-0000-0000-000048010000}"/>
    <cellStyle name="Comma 2 3" xfId="330" xr:uid="{00000000-0005-0000-0000-000049010000}"/>
    <cellStyle name="Comma 2 4" xfId="331" xr:uid="{00000000-0005-0000-0000-00004A010000}"/>
    <cellStyle name="Comma 2 5" xfId="332" xr:uid="{00000000-0005-0000-0000-00004B010000}"/>
    <cellStyle name="Comma 2 6" xfId="333" xr:uid="{00000000-0005-0000-0000-00004C010000}"/>
    <cellStyle name="Comma 2 7" xfId="334" xr:uid="{00000000-0005-0000-0000-00004D010000}"/>
    <cellStyle name="Comma 2 8" xfId="335" xr:uid="{00000000-0005-0000-0000-00004E010000}"/>
    <cellStyle name="Comma 2 9" xfId="336" xr:uid="{00000000-0005-0000-0000-00004F010000}"/>
    <cellStyle name="Comma 3" xfId="337" xr:uid="{00000000-0005-0000-0000-000050010000}"/>
    <cellStyle name="Comma 3 2" xfId="338" xr:uid="{00000000-0005-0000-0000-000051010000}"/>
    <cellStyle name="Comma 4" xfId="339" xr:uid="{00000000-0005-0000-0000-000052010000}"/>
    <cellStyle name="Comma 4 2" xfId="340" xr:uid="{00000000-0005-0000-0000-000053010000}"/>
    <cellStyle name="Comma 5" xfId="341" xr:uid="{00000000-0005-0000-0000-000054010000}"/>
    <cellStyle name="Comma 5 2" xfId="342" xr:uid="{00000000-0005-0000-0000-000055010000}"/>
    <cellStyle name="Comma 6" xfId="343" xr:uid="{00000000-0005-0000-0000-000056010000}"/>
    <cellStyle name="Comma 6 2" xfId="344" xr:uid="{00000000-0005-0000-0000-000057010000}"/>
    <cellStyle name="Comma 7" xfId="345" xr:uid="{00000000-0005-0000-0000-000058010000}"/>
    <cellStyle name="Comma 7 2" xfId="346" xr:uid="{00000000-0005-0000-0000-000059010000}"/>
    <cellStyle name="Comma 7 3" xfId="347" xr:uid="{00000000-0005-0000-0000-00005A010000}"/>
    <cellStyle name="Comma 8" xfId="348" xr:uid="{00000000-0005-0000-0000-00005B010000}"/>
    <cellStyle name="Comma 8 2" xfId="349" xr:uid="{00000000-0005-0000-0000-00005C010000}"/>
    <cellStyle name="Comma 9" xfId="350" xr:uid="{00000000-0005-0000-0000-00005D010000}"/>
    <cellStyle name="Comma 9 2" xfId="351" xr:uid="{00000000-0005-0000-0000-00005E010000}"/>
    <cellStyle name="Comma0" xfId="352" xr:uid="{00000000-0005-0000-0000-00005F010000}"/>
    <cellStyle name="Commentaire" xfId="353" xr:uid="{00000000-0005-0000-0000-000060010000}"/>
    <cellStyle name="Currency [00]" xfId="354" xr:uid="{00000000-0005-0000-0000-000061010000}"/>
    <cellStyle name="Currency 10" xfId="355" xr:uid="{00000000-0005-0000-0000-000062010000}"/>
    <cellStyle name="Currency 11" xfId="356" xr:uid="{00000000-0005-0000-0000-000063010000}"/>
    <cellStyle name="Currency 12" xfId="357" xr:uid="{00000000-0005-0000-0000-000064010000}"/>
    <cellStyle name="Currency 13" xfId="358" xr:uid="{00000000-0005-0000-0000-000065010000}"/>
    <cellStyle name="Currency 14" xfId="359" xr:uid="{00000000-0005-0000-0000-000066010000}"/>
    <cellStyle name="Currency 15" xfId="360" xr:uid="{00000000-0005-0000-0000-000067010000}"/>
    <cellStyle name="Currency 16" xfId="361" xr:uid="{00000000-0005-0000-0000-000068010000}"/>
    <cellStyle name="Currency 17" xfId="1077" xr:uid="{573675FE-9363-4971-A4E2-D32AFCD144CF}"/>
    <cellStyle name="Currency 18" xfId="1080" xr:uid="{4E071998-3549-49F2-94B7-470F7411367A}"/>
    <cellStyle name="Currency 2" xfId="362" xr:uid="{00000000-0005-0000-0000-000069010000}"/>
    <cellStyle name="Currency 2 2" xfId="363" xr:uid="{00000000-0005-0000-0000-00006A010000}"/>
    <cellStyle name="Currency 2 2 2" xfId="364" xr:uid="{00000000-0005-0000-0000-00006B010000}"/>
    <cellStyle name="Currency 2 3" xfId="365" xr:uid="{00000000-0005-0000-0000-00006C010000}"/>
    <cellStyle name="Currency 3" xfId="366" xr:uid="{00000000-0005-0000-0000-00006D010000}"/>
    <cellStyle name="Currency 3 2" xfId="367" xr:uid="{00000000-0005-0000-0000-00006E010000}"/>
    <cellStyle name="Currency 3 3" xfId="368" xr:uid="{00000000-0005-0000-0000-00006F010000}"/>
    <cellStyle name="Currency 4" xfId="369" xr:uid="{00000000-0005-0000-0000-000070010000}"/>
    <cellStyle name="Currency 5" xfId="370" xr:uid="{00000000-0005-0000-0000-000071010000}"/>
    <cellStyle name="Currency 6" xfId="371" xr:uid="{00000000-0005-0000-0000-000072010000}"/>
    <cellStyle name="Currency 7" xfId="372" xr:uid="{00000000-0005-0000-0000-000073010000}"/>
    <cellStyle name="Currency 8" xfId="373" xr:uid="{00000000-0005-0000-0000-000074010000}"/>
    <cellStyle name="Currency 9" xfId="374" xr:uid="{00000000-0005-0000-0000-000075010000}"/>
    <cellStyle name="Currency0" xfId="375" xr:uid="{00000000-0005-0000-0000-000076010000}"/>
    <cellStyle name="dak" xfId="376" xr:uid="{00000000-0005-0000-0000-000077010000}"/>
    <cellStyle name="Date" xfId="377" xr:uid="{00000000-0005-0000-0000-000078010000}"/>
    <cellStyle name="Date Short" xfId="378" xr:uid="{00000000-0005-0000-0000-000079010000}"/>
    <cellStyle name="DetailStyleText" xfId="379" xr:uid="{00000000-0005-0000-0000-00007A010000}"/>
    <cellStyle name="Emphasis 1" xfId="380" xr:uid="{00000000-0005-0000-0000-00007B010000}"/>
    <cellStyle name="Emphasis 2" xfId="381" xr:uid="{00000000-0005-0000-0000-00007C010000}"/>
    <cellStyle name="Emphasis 3" xfId="382" xr:uid="{00000000-0005-0000-0000-00007D010000}"/>
    <cellStyle name="Enter Currency (0)" xfId="383" xr:uid="{00000000-0005-0000-0000-00007E010000}"/>
    <cellStyle name="Enter Currency (2)" xfId="384" xr:uid="{00000000-0005-0000-0000-00007F010000}"/>
    <cellStyle name="Enter Units (0)" xfId="385" xr:uid="{00000000-0005-0000-0000-000080010000}"/>
    <cellStyle name="Enter Units (1)" xfId="386" xr:uid="{00000000-0005-0000-0000-000081010000}"/>
    <cellStyle name="Enter Units (2)" xfId="387" xr:uid="{00000000-0005-0000-0000-000082010000}"/>
    <cellStyle name="Entrée" xfId="388" xr:uid="{00000000-0005-0000-0000-000083010000}"/>
    <cellStyle name="Estimated" xfId="389" xr:uid="{00000000-0005-0000-0000-000084010000}"/>
    <cellStyle name="Euro" xfId="390" xr:uid="{00000000-0005-0000-0000-000085010000}"/>
    <cellStyle name="Èurrency [0]" xfId="391" xr:uid="{00000000-0005-0000-0000-000086010000}"/>
    <cellStyle name="Explanatory Text" xfId="392" builtinId="53" customBuiltin="1"/>
    <cellStyle name="Explanatory Text 2" xfId="393" xr:uid="{00000000-0005-0000-0000-000088010000}"/>
    <cellStyle name="Explanatory Text 2 2" xfId="394" xr:uid="{00000000-0005-0000-0000-000089010000}"/>
    <cellStyle name="Explanatory Text 3" xfId="395" xr:uid="{00000000-0005-0000-0000-00008A010000}"/>
    <cellStyle name="Explanatory Text 4" xfId="396" xr:uid="{00000000-0005-0000-0000-00008B010000}"/>
    <cellStyle name="Explanatory Text 5" xfId="397" xr:uid="{00000000-0005-0000-0000-00008C010000}"/>
    <cellStyle name="external input" xfId="398" xr:uid="{00000000-0005-0000-0000-00008D010000}"/>
    <cellStyle name="FinancialTitleStyle" xfId="399" xr:uid="{00000000-0005-0000-0000-00008E010000}"/>
    <cellStyle name="Fixed" xfId="400" xr:uid="{00000000-0005-0000-0000-00008F010000}"/>
    <cellStyle name="flashing" xfId="401" xr:uid="{00000000-0005-0000-0000-000090010000}"/>
    <cellStyle name="flashing 2" xfId="402" xr:uid="{00000000-0005-0000-0000-000091010000}"/>
    <cellStyle name="flashing 2 2" xfId="403" xr:uid="{00000000-0005-0000-0000-000092010000}"/>
    <cellStyle name="flashing 2 3" xfId="404" xr:uid="{00000000-0005-0000-0000-000093010000}"/>
    <cellStyle name="flashing 3" xfId="405" xr:uid="{00000000-0005-0000-0000-000094010000}"/>
    <cellStyle name="Good" xfId="406" builtinId="26" customBuiltin="1"/>
    <cellStyle name="Good 2" xfId="407" xr:uid="{00000000-0005-0000-0000-000096010000}"/>
    <cellStyle name="Good 2 2" xfId="408" xr:uid="{00000000-0005-0000-0000-000097010000}"/>
    <cellStyle name="Good 3" xfId="409" xr:uid="{00000000-0005-0000-0000-000098010000}"/>
    <cellStyle name="Good 4" xfId="410" xr:uid="{00000000-0005-0000-0000-000099010000}"/>
    <cellStyle name="Good 5" xfId="411" xr:uid="{00000000-0005-0000-0000-00009A010000}"/>
    <cellStyle name="Grey" xfId="412" xr:uid="{00000000-0005-0000-0000-00009B010000}"/>
    <cellStyle name="Header" xfId="413" xr:uid="{00000000-0005-0000-0000-00009C010000}"/>
    <cellStyle name="Header1" xfId="414" xr:uid="{00000000-0005-0000-0000-00009D010000}"/>
    <cellStyle name="Header2" xfId="415" xr:uid="{00000000-0005-0000-0000-00009E010000}"/>
    <cellStyle name="HeaderGrant" xfId="416" xr:uid="{00000000-0005-0000-0000-00009F010000}"/>
    <cellStyle name="HeaderGrant 2" xfId="417" xr:uid="{00000000-0005-0000-0000-0000A0010000}"/>
    <cellStyle name="HeaderGrant 2 2" xfId="418" xr:uid="{00000000-0005-0000-0000-0000A1010000}"/>
    <cellStyle name="HeaderGrant 2 2 2" xfId="419" xr:uid="{00000000-0005-0000-0000-0000A2010000}"/>
    <cellStyle name="HeaderGrant 2 2 3" xfId="420" xr:uid="{00000000-0005-0000-0000-0000A3010000}"/>
    <cellStyle name="HeaderGrant 2 3" xfId="421" xr:uid="{00000000-0005-0000-0000-0000A4010000}"/>
    <cellStyle name="HeaderGrant 2 3 2" xfId="422" xr:uid="{00000000-0005-0000-0000-0000A5010000}"/>
    <cellStyle name="HeaderGrant 2 3 3" xfId="423" xr:uid="{00000000-0005-0000-0000-0000A6010000}"/>
    <cellStyle name="HeaderGrant 2 4" xfId="424" xr:uid="{00000000-0005-0000-0000-0000A7010000}"/>
    <cellStyle name="HeaderGrant 2 4 2" xfId="425" xr:uid="{00000000-0005-0000-0000-0000A8010000}"/>
    <cellStyle name="HeaderGrant 2 4 3" xfId="426" xr:uid="{00000000-0005-0000-0000-0000A9010000}"/>
    <cellStyle name="HeaderGrant 2 5" xfId="427" xr:uid="{00000000-0005-0000-0000-0000AA010000}"/>
    <cellStyle name="HeaderGrant 3" xfId="428" xr:uid="{00000000-0005-0000-0000-0000AB010000}"/>
    <cellStyle name="HeaderGrant 3 2" xfId="429" xr:uid="{00000000-0005-0000-0000-0000AC010000}"/>
    <cellStyle name="HeaderGrant 3 2 2" xfId="430" xr:uid="{00000000-0005-0000-0000-0000AD010000}"/>
    <cellStyle name="HeaderGrant 3 2 3" xfId="431" xr:uid="{00000000-0005-0000-0000-0000AE010000}"/>
    <cellStyle name="HeaderGrant 3 3" xfId="432" xr:uid="{00000000-0005-0000-0000-0000AF010000}"/>
    <cellStyle name="HeaderGrant 3 3 2" xfId="433" xr:uid="{00000000-0005-0000-0000-0000B0010000}"/>
    <cellStyle name="HeaderGrant 3 3 3" xfId="434" xr:uid="{00000000-0005-0000-0000-0000B1010000}"/>
    <cellStyle name="HeaderGrant 3 4" xfId="435" xr:uid="{00000000-0005-0000-0000-0000B2010000}"/>
    <cellStyle name="HeaderGrant 3 4 2" xfId="436" xr:uid="{00000000-0005-0000-0000-0000B3010000}"/>
    <cellStyle name="HeaderGrant 3 4 3" xfId="437" xr:uid="{00000000-0005-0000-0000-0000B4010000}"/>
    <cellStyle name="HeaderGrant 3 5" xfId="438" xr:uid="{00000000-0005-0000-0000-0000B5010000}"/>
    <cellStyle name="HeaderGrant 4" xfId="439" xr:uid="{00000000-0005-0000-0000-0000B6010000}"/>
    <cellStyle name="HeaderGrant 4 2" xfId="440" xr:uid="{00000000-0005-0000-0000-0000B7010000}"/>
    <cellStyle name="HeaderGrant 4 3" xfId="441" xr:uid="{00000000-0005-0000-0000-0000B8010000}"/>
    <cellStyle name="HeaderGrant 5" xfId="442" xr:uid="{00000000-0005-0000-0000-0000B9010000}"/>
    <cellStyle name="HeaderGrant 5 2" xfId="443" xr:uid="{00000000-0005-0000-0000-0000BA010000}"/>
    <cellStyle name="HeaderGrant 5 3" xfId="444" xr:uid="{00000000-0005-0000-0000-0000BB010000}"/>
    <cellStyle name="HeaderGrant 6" xfId="445" xr:uid="{00000000-0005-0000-0000-0000BC010000}"/>
    <cellStyle name="HeaderGrant 6 2" xfId="446" xr:uid="{00000000-0005-0000-0000-0000BD010000}"/>
    <cellStyle name="HeaderGrant 6 3" xfId="447" xr:uid="{00000000-0005-0000-0000-0000BE010000}"/>
    <cellStyle name="HeaderGrant 7" xfId="448" xr:uid="{00000000-0005-0000-0000-0000BF010000}"/>
    <cellStyle name="HeaderLEA" xfId="449" xr:uid="{00000000-0005-0000-0000-0000C0010000}"/>
    <cellStyle name="Heading 1" xfId="450" builtinId="16" customBuiltin="1"/>
    <cellStyle name="Heading 1 2" xfId="451" xr:uid="{00000000-0005-0000-0000-0000C2010000}"/>
    <cellStyle name="Heading 1 2 2" xfId="452" xr:uid="{00000000-0005-0000-0000-0000C3010000}"/>
    <cellStyle name="Heading 1 3" xfId="453" xr:uid="{00000000-0005-0000-0000-0000C4010000}"/>
    <cellStyle name="Heading 1 4" xfId="454" xr:uid="{00000000-0005-0000-0000-0000C5010000}"/>
    <cellStyle name="Heading 1 5" xfId="455" xr:uid="{00000000-0005-0000-0000-0000C6010000}"/>
    <cellStyle name="Heading 2" xfId="456" builtinId="17" customBuiltin="1"/>
    <cellStyle name="Heading 2 2" xfId="457" xr:uid="{00000000-0005-0000-0000-0000C8010000}"/>
    <cellStyle name="Heading 2 2 2" xfId="458" xr:uid="{00000000-0005-0000-0000-0000C9010000}"/>
    <cellStyle name="Heading 2 3" xfId="459" xr:uid="{00000000-0005-0000-0000-0000CA010000}"/>
    <cellStyle name="Heading 2 4" xfId="460" xr:uid="{00000000-0005-0000-0000-0000CB010000}"/>
    <cellStyle name="Heading 2 5" xfId="461" xr:uid="{00000000-0005-0000-0000-0000CC010000}"/>
    <cellStyle name="Heading 3" xfId="462" builtinId="18" customBuiltin="1"/>
    <cellStyle name="Heading 3 2" xfId="463" xr:uid="{00000000-0005-0000-0000-0000CE010000}"/>
    <cellStyle name="Heading 3 2 2" xfId="464" xr:uid="{00000000-0005-0000-0000-0000CF010000}"/>
    <cellStyle name="Heading 3 3" xfId="465" xr:uid="{00000000-0005-0000-0000-0000D0010000}"/>
    <cellStyle name="Heading 3 4" xfId="466" xr:uid="{00000000-0005-0000-0000-0000D1010000}"/>
    <cellStyle name="Heading 3 5" xfId="467" xr:uid="{00000000-0005-0000-0000-0000D2010000}"/>
    <cellStyle name="Heading 4" xfId="468" builtinId="19" customBuiltin="1"/>
    <cellStyle name="Heading 4 2" xfId="469" xr:uid="{00000000-0005-0000-0000-0000D4010000}"/>
    <cellStyle name="Heading 4 2 2" xfId="470" xr:uid="{00000000-0005-0000-0000-0000D5010000}"/>
    <cellStyle name="Heading 4 3" xfId="471" xr:uid="{00000000-0005-0000-0000-0000D6010000}"/>
    <cellStyle name="Heading 4 4" xfId="472" xr:uid="{00000000-0005-0000-0000-0000D7010000}"/>
    <cellStyle name="Heading 4 5" xfId="473" xr:uid="{00000000-0005-0000-0000-0000D8010000}"/>
    <cellStyle name="Hyperlink" xfId="474" builtinId="8"/>
    <cellStyle name="Hyperlink 2" xfId="475" xr:uid="{00000000-0005-0000-0000-0000DA010000}"/>
    <cellStyle name="Hyperlink 2 2" xfId="476" xr:uid="{00000000-0005-0000-0000-0000DB010000}"/>
    <cellStyle name="Hyperlink 3" xfId="477" xr:uid="{00000000-0005-0000-0000-0000DC010000}"/>
    <cellStyle name="Hyperlink 3 2" xfId="478" xr:uid="{00000000-0005-0000-0000-0000DD010000}"/>
    <cellStyle name="Hyperlink 4" xfId="479" xr:uid="{00000000-0005-0000-0000-0000DE010000}"/>
    <cellStyle name="Hyperlink 5" xfId="480" xr:uid="{00000000-0005-0000-0000-0000DF010000}"/>
    <cellStyle name="Hyperlink 6" xfId="1074" xr:uid="{AD45F66D-0C58-486D-9F5D-AE90645D729D}"/>
    <cellStyle name="Imported" xfId="481" xr:uid="{00000000-0005-0000-0000-0000E0010000}"/>
    <cellStyle name="input" xfId="482" xr:uid="{00000000-0005-0000-0000-0000E1010000}"/>
    <cellStyle name="Input [yellow]" xfId="483" xr:uid="{00000000-0005-0000-0000-0000E2010000}"/>
    <cellStyle name="Input 2" xfId="484" xr:uid="{00000000-0005-0000-0000-0000E3010000}"/>
    <cellStyle name="input 2 2" xfId="485" xr:uid="{00000000-0005-0000-0000-0000E4010000}"/>
    <cellStyle name="Input 2 2 2" xfId="486" xr:uid="{00000000-0005-0000-0000-0000E5010000}"/>
    <cellStyle name="Input 2 2 2 2" xfId="487" xr:uid="{00000000-0005-0000-0000-0000E6010000}"/>
    <cellStyle name="Input 2 2 2 3" xfId="488" xr:uid="{00000000-0005-0000-0000-0000E7010000}"/>
    <cellStyle name="Input 2 2 3" xfId="489" xr:uid="{00000000-0005-0000-0000-0000E8010000}"/>
    <cellStyle name="Input 2 2 4" xfId="490" xr:uid="{00000000-0005-0000-0000-0000E9010000}"/>
    <cellStyle name="Input 2 3" xfId="491" xr:uid="{00000000-0005-0000-0000-0000EA010000}"/>
    <cellStyle name="Input 2 3 2" xfId="492" xr:uid="{00000000-0005-0000-0000-0000EB010000}"/>
    <cellStyle name="Input 2 3 3" xfId="493" xr:uid="{00000000-0005-0000-0000-0000EC010000}"/>
    <cellStyle name="Input 2 4" xfId="494" xr:uid="{00000000-0005-0000-0000-0000ED010000}"/>
    <cellStyle name="Input 2 4 2" xfId="495" xr:uid="{00000000-0005-0000-0000-0000EE010000}"/>
    <cellStyle name="Input 2 4 3" xfId="496" xr:uid="{00000000-0005-0000-0000-0000EF010000}"/>
    <cellStyle name="Input 2 5" xfId="497" xr:uid="{00000000-0005-0000-0000-0000F0010000}"/>
    <cellStyle name="Input 3" xfId="498" xr:uid="{00000000-0005-0000-0000-0000F1010000}"/>
    <cellStyle name="Input 3 2" xfId="499" xr:uid="{00000000-0005-0000-0000-0000F2010000}"/>
    <cellStyle name="Input 3 2 2" xfId="500" xr:uid="{00000000-0005-0000-0000-0000F3010000}"/>
    <cellStyle name="Input 3 2 2 2" xfId="501" xr:uid="{00000000-0005-0000-0000-0000F4010000}"/>
    <cellStyle name="Input 3 2 2 3" xfId="502" xr:uid="{00000000-0005-0000-0000-0000F5010000}"/>
    <cellStyle name="Input 3 2 3" xfId="503" xr:uid="{00000000-0005-0000-0000-0000F6010000}"/>
    <cellStyle name="Input 3 2 4" xfId="504" xr:uid="{00000000-0005-0000-0000-0000F7010000}"/>
    <cellStyle name="Input 3 3" xfId="505" xr:uid="{00000000-0005-0000-0000-0000F8010000}"/>
    <cellStyle name="Input 3 3 2" xfId="506" xr:uid="{00000000-0005-0000-0000-0000F9010000}"/>
    <cellStyle name="Input 3 3 3" xfId="507" xr:uid="{00000000-0005-0000-0000-0000FA010000}"/>
    <cellStyle name="Input 3 4" xfId="508" xr:uid="{00000000-0005-0000-0000-0000FB010000}"/>
    <cellStyle name="Input 3 4 2" xfId="509" xr:uid="{00000000-0005-0000-0000-0000FC010000}"/>
    <cellStyle name="Input 3 4 3" xfId="510" xr:uid="{00000000-0005-0000-0000-0000FD010000}"/>
    <cellStyle name="Input 3 5" xfId="511" xr:uid="{00000000-0005-0000-0000-0000FE010000}"/>
    <cellStyle name="Input 4" xfId="512" xr:uid="{00000000-0005-0000-0000-0000FF010000}"/>
    <cellStyle name="Input 4 2" xfId="513" xr:uid="{00000000-0005-0000-0000-000000020000}"/>
    <cellStyle name="Input 4 2 2" xfId="514" xr:uid="{00000000-0005-0000-0000-000001020000}"/>
    <cellStyle name="Input 4 2 2 2" xfId="515" xr:uid="{00000000-0005-0000-0000-000002020000}"/>
    <cellStyle name="Input 4 2 2 3" xfId="516" xr:uid="{00000000-0005-0000-0000-000003020000}"/>
    <cellStyle name="Input 4 2 3" xfId="517" xr:uid="{00000000-0005-0000-0000-000004020000}"/>
    <cellStyle name="Input 4 2 4" xfId="518" xr:uid="{00000000-0005-0000-0000-000005020000}"/>
    <cellStyle name="Input 4 3" xfId="519" xr:uid="{00000000-0005-0000-0000-000006020000}"/>
    <cellStyle name="Input 4 3 2" xfId="520" xr:uid="{00000000-0005-0000-0000-000007020000}"/>
    <cellStyle name="Input 4 3 3" xfId="521" xr:uid="{00000000-0005-0000-0000-000008020000}"/>
    <cellStyle name="Input 4 4" xfId="522" xr:uid="{00000000-0005-0000-0000-000009020000}"/>
    <cellStyle name="Input 4 4 2" xfId="523" xr:uid="{00000000-0005-0000-0000-00000A020000}"/>
    <cellStyle name="Input 4 4 3" xfId="524" xr:uid="{00000000-0005-0000-0000-00000B020000}"/>
    <cellStyle name="Input 4 5" xfId="525" xr:uid="{00000000-0005-0000-0000-00000C020000}"/>
    <cellStyle name="Input 5" xfId="526" xr:uid="{00000000-0005-0000-0000-00000D020000}"/>
    <cellStyle name="Input 5 2" xfId="527" xr:uid="{00000000-0005-0000-0000-00000E020000}"/>
    <cellStyle name="Input 5 2 2" xfId="528" xr:uid="{00000000-0005-0000-0000-00000F020000}"/>
    <cellStyle name="Input 5 2 3" xfId="529" xr:uid="{00000000-0005-0000-0000-000010020000}"/>
    <cellStyle name="Input 5 3" xfId="530" xr:uid="{00000000-0005-0000-0000-000011020000}"/>
    <cellStyle name="Input 5 4" xfId="531" xr:uid="{00000000-0005-0000-0000-000012020000}"/>
    <cellStyle name="Input 6" xfId="532" xr:uid="{00000000-0005-0000-0000-000013020000}"/>
    <cellStyle name="Input 6 2" xfId="533" xr:uid="{00000000-0005-0000-0000-000014020000}"/>
    <cellStyle name="Input 6 2 2" xfId="534" xr:uid="{00000000-0005-0000-0000-000015020000}"/>
    <cellStyle name="Input 6 2 3" xfId="535" xr:uid="{00000000-0005-0000-0000-000016020000}"/>
    <cellStyle name="Input 6 3" xfId="536" xr:uid="{00000000-0005-0000-0000-000017020000}"/>
    <cellStyle name="Input 6 4" xfId="537" xr:uid="{00000000-0005-0000-0000-000018020000}"/>
    <cellStyle name="Input 7" xfId="538" xr:uid="{00000000-0005-0000-0000-000019020000}"/>
    <cellStyle name="Input 7 2" xfId="539" xr:uid="{00000000-0005-0000-0000-00001A020000}"/>
    <cellStyle name="Input 7 3" xfId="540" xr:uid="{00000000-0005-0000-0000-00001B020000}"/>
    <cellStyle name="Input 8" xfId="541" xr:uid="{00000000-0005-0000-0000-00001C020000}"/>
    <cellStyle name="Insatisfaisant" xfId="542" xr:uid="{00000000-0005-0000-0000-00001D020000}"/>
    <cellStyle name="LEAName" xfId="543" xr:uid="{00000000-0005-0000-0000-00001E020000}"/>
    <cellStyle name="LEAName 2" xfId="544" xr:uid="{00000000-0005-0000-0000-00001F020000}"/>
    <cellStyle name="LEAName 3" xfId="545" xr:uid="{00000000-0005-0000-0000-000020020000}"/>
    <cellStyle name="LEANumber" xfId="546" xr:uid="{00000000-0005-0000-0000-000021020000}"/>
    <cellStyle name="LEANumber 2" xfId="547" xr:uid="{00000000-0005-0000-0000-000022020000}"/>
    <cellStyle name="LEANumber 3" xfId="548" xr:uid="{00000000-0005-0000-0000-000023020000}"/>
    <cellStyle name="Link Currency (0)" xfId="549" xr:uid="{00000000-0005-0000-0000-000024020000}"/>
    <cellStyle name="Link Currency (2)" xfId="550" xr:uid="{00000000-0005-0000-0000-000025020000}"/>
    <cellStyle name="Link Units (0)" xfId="551" xr:uid="{00000000-0005-0000-0000-000026020000}"/>
    <cellStyle name="Link Units (1)" xfId="552" xr:uid="{00000000-0005-0000-0000-000027020000}"/>
    <cellStyle name="Link Units (2)" xfId="553" xr:uid="{00000000-0005-0000-0000-000028020000}"/>
    <cellStyle name="Linked Cell" xfId="554" builtinId="24" customBuiltin="1"/>
    <cellStyle name="Linked Cell 2" xfId="555" xr:uid="{00000000-0005-0000-0000-00002A020000}"/>
    <cellStyle name="Linked Cell 2 2" xfId="556" xr:uid="{00000000-0005-0000-0000-00002B020000}"/>
    <cellStyle name="Linked Cell 3" xfId="557" xr:uid="{00000000-0005-0000-0000-00002C020000}"/>
    <cellStyle name="Linked Cell 4" xfId="558" xr:uid="{00000000-0005-0000-0000-00002D020000}"/>
    <cellStyle name="Linked Cell 5" xfId="559" xr:uid="{00000000-0005-0000-0000-00002E020000}"/>
    <cellStyle name="log projection" xfId="560" xr:uid="{00000000-0005-0000-0000-00002F020000}"/>
    <cellStyle name="log projection 2" xfId="561" xr:uid="{00000000-0005-0000-0000-000030020000}"/>
    <cellStyle name="log projection 2 2" xfId="562" xr:uid="{00000000-0005-0000-0000-000031020000}"/>
    <cellStyle name="log projection 2 3" xfId="563" xr:uid="{00000000-0005-0000-0000-000032020000}"/>
    <cellStyle name="log projection 2 4" xfId="564" xr:uid="{00000000-0005-0000-0000-000033020000}"/>
    <cellStyle name="log projection 3" xfId="565" xr:uid="{00000000-0005-0000-0000-000034020000}"/>
    <cellStyle name="log projection 3 2" xfId="566" xr:uid="{00000000-0005-0000-0000-000035020000}"/>
    <cellStyle name="log projection 3 3" xfId="567" xr:uid="{00000000-0005-0000-0000-000036020000}"/>
    <cellStyle name="log projection 4" xfId="568" xr:uid="{00000000-0005-0000-0000-000037020000}"/>
    <cellStyle name="log projection 4 2" xfId="569" xr:uid="{00000000-0005-0000-0000-000038020000}"/>
    <cellStyle name="log projection 4 3" xfId="570" xr:uid="{00000000-0005-0000-0000-000039020000}"/>
    <cellStyle name="log projection 5" xfId="571" xr:uid="{00000000-0005-0000-0000-00003A020000}"/>
    <cellStyle name="Milliers [0]_march98" xfId="572" xr:uid="{00000000-0005-0000-0000-00003B020000}"/>
    <cellStyle name="Milliers_march98" xfId="573" xr:uid="{00000000-0005-0000-0000-00003C020000}"/>
    <cellStyle name="Monétaire [0]_march98" xfId="574" xr:uid="{00000000-0005-0000-0000-00003D020000}"/>
    <cellStyle name="Monétaire_march98" xfId="575" xr:uid="{00000000-0005-0000-0000-00003E020000}"/>
    <cellStyle name="Neutral" xfId="576" builtinId="28" customBuiltin="1"/>
    <cellStyle name="Neutral 2" xfId="577" xr:uid="{00000000-0005-0000-0000-000040020000}"/>
    <cellStyle name="Neutral 2 2" xfId="578" xr:uid="{00000000-0005-0000-0000-000041020000}"/>
    <cellStyle name="Neutral 3" xfId="579" xr:uid="{00000000-0005-0000-0000-000042020000}"/>
    <cellStyle name="Neutral 4" xfId="580" xr:uid="{00000000-0005-0000-0000-000043020000}"/>
    <cellStyle name="Neutral 5" xfId="581" xr:uid="{00000000-0005-0000-0000-000044020000}"/>
    <cellStyle name="Neutre" xfId="582" xr:uid="{00000000-0005-0000-0000-000045020000}"/>
    <cellStyle name="new" xfId="583" xr:uid="{00000000-0005-0000-0000-000046020000}"/>
    <cellStyle name="Normal" xfId="0" builtinId="0"/>
    <cellStyle name="Normal - Style1" xfId="584" xr:uid="{00000000-0005-0000-0000-000048020000}"/>
    <cellStyle name="Normal - Style2" xfId="585" xr:uid="{00000000-0005-0000-0000-000049020000}"/>
    <cellStyle name="Normal - Style3" xfId="586" xr:uid="{00000000-0005-0000-0000-00004A020000}"/>
    <cellStyle name="Normal - Style4" xfId="587" xr:uid="{00000000-0005-0000-0000-00004B020000}"/>
    <cellStyle name="Normal - Style5" xfId="588" xr:uid="{00000000-0005-0000-0000-00004C020000}"/>
    <cellStyle name="Normal 10" xfId="589" xr:uid="{00000000-0005-0000-0000-00004D020000}"/>
    <cellStyle name="Normal 10 2" xfId="590" xr:uid="{00000000-0005-0000-0000-00004E020000}"/>
    <cellStyle name="Normal 10 2 2" xfId="591" xr:uid="{00000000-0005-0000-0000-00004F020000}"/>
    <cellStyle name="Normal 10 2 2 2" xfId="592" xr:uid="{00000000-0005-0000-0000-000050020000}"/>
    <cellStyle name="Normal 10 3" xfId="593" xr:uid="{00000000-0005-0000-0000-000051020000}"/>
    <cellStyle name="Normal 10 3 2" xfId="594" xr:uid="{00000000-0005-0000-0000-000052020000}"/>
    <cellStyle name="Normal 10 4" xfId="595" xr:uid="{00000000-0005-0000-0000-000053020000}"/>
    <cellStyle name="Normal 10 4 2" xfId="596" xr:uid="{00000000-0005-0000-0000-000054020000}"/>
    <cellStyle name="Normal 10 4 2 2" xfId="597" xr:uid="{00000000-0005-0000-0000-000055020000}"/>
    <cellStyle name="Normal 10 4 3" xfId="598" xr:uid="{00000000-0005-0000-0000-000056020000}"/>
    <cellStyle name="Normal 11" xfId="599" xr:uid="{00000000-0005-0000-0000-000057020000}"/>
    <cellStyle name="Normal 11 2" xfId="600" xr:uid="{00000000-0005-0000-0000-000058020000}"/>
    <cellStyle name="Normal 11 3" xfId="601" xr:uid="{00000000-0005-0000-0000-000059020000}"/>
    <cellStyle name="Normal 11 3 2" xfId="602" xr:uid="{00000000-0005-0000-0000-00005A020000}"/>
    <cellStyle name="Normal 11 3 2 2" xfId="603" xr:uid="{00000000-0005-0000-0000-00005B020000}"/>
    <cellStyle name="Normal 11 3 3" xfId="604" xr:uid="{00000000-0005-0000-0000-00005C020000}"/>
    <cellStyle name="Normal 11 3 3 2" xfId="605" xr:uid="{00000000-0005-0000-0000-00005D020000}"/>
    <cellStyle name="Normal 11 3 4" xfId="606" xr:uid="{00000000-0005-0000-0000-00005E020000}"/>
    <cellStyle name="Normal 11 4" xfId="607" xr:uid="{00000000-0005-0000-0000-00005F020000}"/>
    <cellStyle name="Normal 12" xfId="608" xr:uid="{00000000-0005-0000-0000-000060020000}"/>
    <cellStyle name="Normal 12 2" xfId="609" xr:uid="{00000000-0005-0000-0000-000061020000}"/>
    <cellStyle name="Normal 12 3" xfId="610" xr:uid="{00000000-0005-0000-0000-000062020000}"/>
    <cellStyle name="Normal 12 3 2" xfId="611" xr:uid="{00000000-0005-0000-0000-000063020000}"/>
    <cellStyle name="Normal 13" xfId="612" xr:uid="{00000000-0005-0000-0000-000064020000}"/>
    <cellStyle name="Normal 13 2" xfId="613" xr:uid="{00000000-0005-0000-0000-000065020000}"/>
    <cellStyle name="Normal 13 3" xfId="614" xr:uid="{00000000-0005-0000-0000-000066020000}"/>
    <cellStyle name="Normal 14" xfId="615" xr:uid="{00000000-0005-0000-0000-000067020000}"/>
    <cellStyle name="Normal 14 2" xfId="616" xr:uid="{00000000-0005-0000-0000-000068020000}"/>
    <cellStyle name="Normal 15" xfId="617" xr:uid="{00000000-0005-0000-0000-000069020000}"/>
    <cellStyle name="Normal 16" xfId="618" xr:uid="{00000000-0005-0000-0000-00006A020000}"/>
    <cellStyle name="Normal 16 2" xfId="619" xr:uid="{00000000-0005-0000-0000-00006B020000}"/>
    <cellStyle name="Normal 17" xfId="620" xr:uid="{00000000-0005-0000-0000-00006C020000}"/>
    <cellStyle name="Normal 17 2" xfId="621" xr:uid="{00000000-0005-0000-0000-00006D020000}"/>
    <cellStyle name="Normal 18" xfId="622" xr:uid="{00000000-0005-0000-0000-00006E020000}"/>
    <cellStyle name="Normal 18 2" xfId="623" xr:uid="{00000000-0005-0000-0000-00006F020000}"/>
    <cellStyle name="Normal 18 3" xfId="624" xr:uid="{00000000-0005-0000-0000-000070020000}"/>
    <cellStyle name="Normal 19" xfId="625" xr:uid="{00000000-0005-0000-0000-000071020000}"/>
    <cellStyle name="Normal 19 2" xfId="626" xr:uid="{00000000-0005-0000-0000-000072020000}"/>
    <cellStyle name="Normal 2" xfId="627" xr:uid="{00000000-0005-0000-0000-000073020000}"/>
    <cellStyle name="Normal 2 10" xfId="628" xr:uid="{00000000-0005-0000-0000-000074020000}"/>
    <cellStyle name="Normal 2 11" xfId="629" xr:uid="{00000000-0005-0000-0000-000075020000}"/>
    <cellStyle name="Normal 2 12" xfId="630" xr:uid="{00000000-0005-0000-0000-000076020000}"/>
    <cellStyle name="Normal 2 13" xfId="631" xr:uid="{00000000-0005-0000-0000-000077020000}"/>
    <cellStyle name="Normal 2 14" xfId="632" xr:uid="{00000000-0005-0000-0000-000078020000}"/>
    <cellStyle name="Normal 2 14 2" xfId="633" xr:uid="{00000000-0005-0000-0000-000079020000}"/>
    <cellStyle name="Normal 2 15" xfId="634" xr:uid="{00000000-0005-0000-0000-00007A020000}"/>
    <cellStyle name="Normal 2 16" xfId="635" xr:uid="{00000000-0005-0000-0000-00007B020000}"/>
    <cellStyle name="Normal 2 17" xfId="636" xr:uid="{00000000-0005-0000-0000-00007C020000}"/>
    <cellStyle name="Normal 2 18" xfId="1071" xr:uid="{029F92D0-8F34-447E-A2ED-C3AA7CFCE4C0}"/>
    <cellStyle name="Normal 2 2" xfId="637" xr:uid="{00000000-0005-0000-0000-00007D020000}"/>
    <cellStyle name="Normal 2 2 10" xfId="638" xr:uid="{00000000-0005-0000-0000-00007E020000}"/>
    <cellStyle name="Normal 2 2 10 2" xfId="639" xr:uid="{00000000-0005-0000-0000-00007F020000}"/>
    <cellStyle name="Normal 2 2 10 2 2" xfId="640" xr:uid="{00000000-0005-0000-0000-000080020000}"/>
    <cellStyle name="Normal 2 2 10 3" xfId="641" xr:uid="{00000000-0005-0000-0000-000081020000}"/>
    <cellStyle name="Normal 2 2 11" xfId="642" xr:uid="{00000000-0005-0000-0000-000082020000}"/>
    <cellStyle name="Normal 2 2 11 2" xfId="643" xr:uid="{00000000-0005-0000-0000-000083020000}"/>
    <cellStyle name="Normal 2 2 11 2 2" xfId="644" xr:uid="{00000000-0005-0000-0000-000084020000}"/>
    <cellStyle name="Normal 2 2 11 3" xfId="645" xr:uid="{00000000-0005-0000-0000-000085020000}"/>
    <cellStyle name="Normal 2 2 12" xfId="646" xr:uid="{00000000-0005-0000-0000-000086020000}"/>
    <cellStyle name="Normal 2 2 12 2" xfId="647" xr:uid="{00000000-0005-0000-0000-000087020000}"/>
    <cellStyle name="Normal 2 2 13" xfId="648" xr:uid="{00000000-0005-0000-0000-000088020000}"/>
    <cellStyle name="Normal 2 2 2" xfId="649" xr:uid="{00000000-0005-0000-0000-000089020000}"/>
    <cellStyle name="Normal 2 2 2 2" xfId="650" xr:uid="{00000000-0005-0000-0000-00008A020000}"/>
    <cellStyle name="Normal 2 2 2 2 2" xfId="651" xr:uid="{00000000-0005-0000-0000-00008B020000}"/>
    <cellStyle name="Normal 2 2 2 3" xfId="652" xr:uid="{00000000-0005-0000-0000-00008C020000}"/>
    <cellStyle name="Normal 2 2 2 3 2" xfId="653" xr:uid="{00000000-0005-0000-0000-00008D020000}"/>
    <cellStyle name="Normal 2 2 2 4" xfId="654" xr:uid="{00000000-0005-0000-0000-00008E020000}"/>
    <cellStyle name="Normal 2 2 2 4 2" xfId="655" xr:uid="{00000000-0005-0000-0000-00008F020000}"/>
    <cellStyle name="Normal 2 2 2 5" xfId="656" xr:uid="{00000000-0005-0000-0000-000090020000}"/>
    <cellStyle name="Normal 2 2 2 5 2" xfId="657" xr:uid="{00000000-0005-0000-0000-000091020000}"/>
    <cellStyle name="Normal 2 2 2 6" xfId="658" xr:uid="{00000000-0005-0000-0000-000092020000}"/>
    <cellStyle name="Normal 2 2 2 6 2" xfId="659" xr:uid="{00000000-0005-0000-0000-000093020000}"/>
    <cellStyle name="Normal 2 2 2 7" xfId="660" xr:uid="{00000000-0005-0000-0000-000094020000}"/>
    <cellStyle name="Normal 2 2 2 7 2" xfId="661" xr:uid="{00000000-0005-0000-0000-000095020000}"/>
    <cellStyle name="Normal 2 2 2 8" xfId="662" xr:uid="{00000000-0005-0000-0000-000096020000}"/>
    <cellStyle name="Normal 2 2 2 8 2" xfId="663" xr:uid="{00000000-0005-0000-0000-000097020000}"/>
    <cellStyle name="Normal 2 2 2 9" xfId="664" xr:uid="{00000000-0005-0000-0000-000098020000}"/>
    <cellStyle name="Normal 2 2 3" xfId="665" xr:uid="{00000000-0005-0000-0000-000099020000}"/>
    <cellStyle name="Normal 2 2 3 2" xfId="666" xr:uid="{00000000-0005-0000-0000-00009A020000}"/>
    <cellStyle name="Normal 2 2 4" xfId="667" xr:uid="{00000000-0005-0000-0000-00009B020000}"/>
    <cellStyle name="Normal 2 2 4 2" xfId="668" xr:uid="{00000000-0005-0000-0000-00009C020000}"/>
    <cellStyle name="Normal 2 2 5" xfId="669" xr:uid="{00000000-0005-0000-0000-00009D020000}"/>
    <cellStyle name="Normal 2 2 5 2" xfId="670" xr:uid="{00000000-0005-0000-0000-00009E020000}"/>
    <cellStyle name="Normal 2 2 6" xfId="671" xr:uid="{00000000-0005-0000-0000-00009F020000}"/>
    <cellStyle name="Normal 2 2 6 2" xfId="672" xr:uid="{00000000-0005-0000-0000-0000A0020000}"/>
    <cellStyle name="Normal 2 2 7" xfId="673" xr:uid="{00000000-0005-0000-0000-0000A1020000}"/>
    <cellStyle name="Normal 2 2 7 2" xfId="674" xr:uid="{00000000-0005-0000-0000-0000A2020000}"/>
    <cellStyle name="Normal 2 2 7 2 2" xfId="675" xr:uid="{00000000-0005-0000-0000-0000A3020000}"/>
    <cellStyle name="Normal 2 2 7 3" xfId="676" xr:uid="{00000000-0005-0000-0000-0000A4020000}"/>
    <cellStyle name="Normal 2 2 8" xfId="677" xr:uid="{00000000-0005-0000-0000-0000A5020000}"/>
    <cellStyle name="Normal 2 2 8 2" xfId="678" xr:uid="{00000000-0005-0000-0000-0000A6020000}"/>
    <cellStyle name="Normal 2 2 8 2 2" xfId="679" xr:uid="{00000000-0005-0000-0000-0000A7020000}"/>
    <cellStyle name="Normal 2 2 8 3" xfId="680" xr:uid="{00000000-0005-0000-0000-0000A8020000}"/>
    <cellStyle name="Normal 2 2 9" xfId="681" xr:uid="{00000000-0005-0000-0000-0000A9020000}"/>
    <cellStyle name="Normal 2 2 9 2" xfId="682" xr:uid="{00000000-0005-0000-0000-0000AA020000}"/>
    <cellStyle name="Normal 2 2 9 2 2" xfId="683" xr:uid="{00000000-0005-0000-0000-0000AB020000}"/>
    <cellStyle name="Normal 2 2 9 3" xfId="684" xr:uid="{00000000-0005-0000-0000-0000AC020000}"/>
    <cellStyle name="Normal 2 3"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2 2" xfId="690" xr:uid="{00000000-0005-0000-0000-0000B2020000}"/>
    <cellStyle name="Normal 2 5 3" xfId="691" xr:uid="{00000000-0005-0000-0000-0000B3020000}"/>
    <cellStyle name="Normal 2 6" xfId="692" xr:uid="{00000000-0005-0000-0000-0000B4020000}"/>
    <cellStyle name="Normal 2 6 2" xfId="693" xr:uid="{00000000-0005-0000-0000-0000B5020000}"/>
    <cellStyle name="Normal 2 6 2 2" xfId="694" xr:uid="{00000000-0005-0000-0000-0000B6020000}"/>
    <cellStyle name="Normal 2 6 3" xfId="695" xr:uid="{00000000-0005-0000-0000-0000B7020000}"/>
    <cellStyle name="Normal 2 7" xfId="696" xr:uid="{00000000-0005-0000-0000-0000B8020000}"/>
    <cellStyle name="Normal 2 7 2" xfId="697" xr:uid="{00000000-0005-0000-0000-0000B9020000}"/>
    <cellStyle name="Normal 2 7 2 2" xfId="698" xr:uid="{00000000-0005-0000-0000-0000BA020000}"/>
    <cellStyle name="Normal 2 7 3" xfId="699" xr:uid="{00000000-0005-0000-0000-0000BB020000}"/>
    <cellStyle name="Normal 2 8" xfId="700" xr:uid="{00000000-0005-0000-0000-0000BC020000}"/>
    <cellStyle name="Normal 2 8 2" xfId="701" xr:uid="{00000000-0005-0000-0000-0000BD020000}"/>
    <cellStyle name="Normal 2 8 2 2" xfId="702" xr:uid="{00000000-0005-0000-0000-0000BE020000}"/>
    <cellStyle name="Normal 2 8 3" xfId="703" xr:uid="{00000000-0005-0000-0000-0000BF020000}"/>
    <cellStyle name="Normal 2 9" xfId="704" xr:uid="{00000000-0005-0000-0000-0000C0020000}"/>
    <cellStyle name="Normal 2_Acads List" xfId="705" xr:uid="{00000000-0005-0000-0000-0000C1020000}"/>
    <cellStyle name="Normal 20" xfId="706" xr:uid="{00000000-0005-0000-0000-0000C2020000}"/>
    <cellStyle name="Normal 20 2" xfId="707" xr:uid="{00000000-0005-0000-0000-0000C3020000}"/>
    <cellStyle name="Normal 21" xfId="708" xr:uid="{00000000-0005-0000-0000-0000C4020000}"/>
    <cellStyle name="Normal 22" xfId="709" xr:uid="{00000000-0005-0000-0000-0000C5020000}"/>
    <cellStyle name="Normal 22 2" xfId="710" xr:uid="{00000000-0005-0000-0000-0000C6020000}"/>
    <cellStyle name="Normal 23" xfId="711" xr:uid="{00000000-0005-0000-0000-0000C7020000}"/>
    <cellStyle name="Normal 23 2" xfId="712" xr:uid="{00000000-0005-0000-0000-0000C8020000}"/>
    <cellStyle name="Normal 24" xfId="713" xr:uid="{00000000-0005-0000-0000-0000C9020000}"/>
    <cellStyle name="Normal 24 2" xfId="714" xr:uid="{00000000-0005-0000-0000-0000CA020000}"/>
    <cellStyle name="Normal 24 3" xfId="715" xr:uid="{00000000-0005-0000-0000-0000CB020000}"/>
    <cellStyle name="Normal 25" xfId="716" xr:uid="{00000000-0005-0000-0000-0000CC020000}"/>
    <cellStyle name="Normal 25 2" xfId="717" xr:uid="{00000000-0005-0000-0000-0000CD020000}"/>
    <cellStyle name="Normal 26" xfId="718" xr:uid="{00000000-0005-0000-0000-0000CE020000}"/>
    <cellStyle name="Normal 26 2" xfId="719" xr:uid="{00000000-0005-0000-0000-0000CF020000}"/>
    <cellStyle name="Normal 27" xfId="720" xr:uid="{00000000-0005-0000-0000-0000D0020000}"/>
    <cellStyle name="Normal 27 2" xfId="721" xr:uid="{00000000-0005-0000-0000-0000D1020000}"/>
    <cellStyle name="Normal 28" xfId="722" xr:uid="{00000000-0005-0000-0000-0000D2020000}"/>
    <cellStyle name="Normal 29" xfId="723" xr:uid="{00000000-0005-0000-0000-0000D3020000}"/>
    <cellStyle name="Normal 3" xfId="724" xr:uid="{00000000-0005-0000-0000-0000D4020000}"/>
    <cellStyle name="Normal 3 10" xfId="725" xr:uid="{00000000-0005-0000-0000-0000D5020000}"/>
    <cellStyle name="Normal 3 11" xfId="726" xr:uid="{00000000-0005-0000-0000-0000D6020000}"/>
    <cellStyle name="Normal 3 12" xfId="727" xr:uid="{00000000-0005-0000-0000-0000D7020000}"/>
    <cellStyle name="Normal 3 13" xfId="728" xr:uid="{00000000-0005-0000-0000-0000D8020000}"/>
    <cellStyle name="Normal 3 14" xfId="729" xr:uid="{00000000-0005-0000-0000-0000D9020000}"/>
    <cellStyle name="Normal 3 15" xfId="730" xr:uid="{00000000-0005-0000-0000-0000DA020000}"/>
    <cellStyle name="Normal 3 2" xfId="731" xr:uid="{00000000-0005-0000-0000-0000DB020000}"/>
    <cellStyle name="Normal 3 2 2" xfId="732" xr:uid="{00000000-0005-0000-0000-0000DC020000}"/>
    <cellStyle name="Normal 3 2 3" xfId="733" xr:uid="{00000000-0005-0000-0000-0000DD020000}"/>
    <cellStyle name="Normal 3 2 4" xfId="734" xr:uid="{00000000-0005-0000-0000-0000DE020000}"/>
    <cellStyle name="Normal 3 2 5" xfId="735" xr:uid="{00000000-0005-0000-0000-0000DF020000}"/>
    <cellStyle name="Normal 3 2 6" xfId="736" xr:uid="{00000000-0005-0000-0000-0000E0020000}"/>
    <cellStyle name="Normal 3 2 7" xfId="737" xr:uid="{00000000-0005-0000-0000-0000E1020000}"/>
    <cellStyle name="Normal 3 2_Main Allocation Sheet" xfId="738" xr:uid="{00000000-0005-0000-0000-0000E2020000}"/>
    <cellStyle name="Normal 3 3" xfId="739" xr:uid="{00000000-0005-0000-0000-0000E3020000}"/>
    <cellStyle name="Normal 3 3 2" xfId="740" xr:uid="{00000000-0005-0000-0000-0000E4020000}"/>
    <cellStyle name="Normal 3 3 2 2" xfId="741" xr:uid="{00000000-0005-0000-0000-0000E5020000}"/>
    <cellStyle name="Normal 3 3 3" xfId="742" xr:uid="{00000000-0005-0000-0000-0000E6020000}"/>
    <cellStyle name="Normal 3 4" xfId="743" xr:uid="{00000000-0005-0000-0000-0000E7020000}"/>
    <cellStyle name="Normal 3 4 2" xfId="744" xr:uid="{00000000-0005-0000-0000-0000E8020000}"/>
    <cellStyle name="Normal 3 4 2 2" xfId="745" xr:uid="{00000000-0005-0000-0000-0000E9020000}"/>
    <cellStyle name="Normal 3 4 3" xfId="746" xr:uid="{00000000-0005-0000-0000-0000EA020000}"/>
    <cellStyle name="Normal 3 5" xfId="747" xr:uid="{00000000-0005-0000-0000-0000EB020000}"/>
    <cellStyle name="Normal 3 5 2" xfId="748" xr:uid="{00000000-0005-0000-0000-0000EC020000}"/>
    <cellStyle name="Normal 3 5 2 2" xfId="749" xr:uid="{00000000-0005-0000-0000-0000ED020000}"/>
    <cellStyle name="Normal 3 5 3" xfId="750" xr:uid="{00000000-0005-0000-0000-0000EE020000}"/>
    <cellStyle name="Normal 3 6" xfId="751" xr:uid="{00000000-0005-0000-0000-0000EF020000}"/>
    <cellStyle name="Normal 3 6 2" xfId="752" xr:uid="{00000000-0005-0000-0000-0000F0020000}"/>
    <cellStyle name="Normal 3 6 2 2" xfId="753" xr:uid="{00000000-0005-0000-0000-0000F1020000}"/>
    <cellStyle name="Normal 3 6 3" xfId="754" xr:uid="{00000000-0005-0000-0000-0000F2020000}"/>
    <cellStyle name="Normal 3 7" xfId="755" xr:uid="{00000000-0005-0000-0000-0000F3020000}"/>
    <cellStyle name="Normal 3 8" xfId="756" xr:uid="{00000000-0005-0000-0000-0000F4020000}"/>
    <cellStyle name="Normal 3 9" xfId="757" xr:uid="{00000000-0005-0000-0000-0000F5020000}"/>
    <cellStyle name="Normal 3_Colleges and Providers" xfId="758" xr:uid="{00000000-0005-0000-0000-0000F6020000}"/>
    <cellStyle name="Normal 30" xfId="759" xr:uid="{00000000-0005-0000-0000-0000F7020000}"/>
    <cellStyle name="Normal 31" xfId="760" xr:uid="{00000000-0005-0000-0000-0000F8020000}"/>
    <cellStyle name="Normal 32" xfId="761" xr:uid="{00000000-0005-0000-0000-0000F9020000}"/>
    <cellStyle name="Normal 33" xfId="762" xr:uid="{00000000-0005-0000-0000-0000FA020000}"/>
    <cellStyle name="Normal 34" xfId="763" xr:uid="{00000000-0005-0000-0000-0000FB020000}"/>
    <cellStyle name="Normal 35" xfId="764" xr:uid="{00000000-0005-0000-0000-0000FC020000}"/>
    <cellStyle name="Normal 35 2" xfId="765" xr:uid="{00000000-0005-0000-0000-0000FD020000}"/>
    <cellStyle name="Normal 36" xfId="766" xr:uid="{00000000-0005-0000-0000-0000FE020000}"/>
    <cellStyle name="Normal 37" xfId="767" xr:uid="{00000000-0005-0000-0000-0000FF020000}"/>
    <cellStyle name="Normal 38" xfId="768" xr:uid="{00000000-0005-0000-0000-000000030000}"/>
    <cellStyle name="Normal 39" xfId="769" xr:uid="{00000000-0005-0000-0000-000001030000}"/>
    <cellStyle name="Normal 4" xfId="770" xr:uid="{00000000-0005-0000-0000-000002030000}"/>
    <cellStyle name="Normal 4 2" xfId="771" xr:uid="{00000000-0005-0000-0000-000003030000}"/>
    <cellStyle name="Normal 4 2 2" xfId="772" xr:uid="{00000000-0005-0000-0000-000004030000}"/>
    <cellStyle name="Normal 4 2 2 2" xfId="773" xr:uid="{00000000-0005-0000-0000-000005030000}"/>
    <cellStyle name="Normal 4 2 3" xfId="774" xr:uid="{00000000-0005-0000-0000-000006030000}"/>
    <cellStyle name="Normal 4 3" xfId="775" xr:uid="{00000000-0005-0000-0000-000007030000}"/>
    <cellStyle name="Normal 4 3 2" xfId="776" xr:uid="{00000000-0005-0000-0000-000008030000}"/>
    <cellStyle name="Normal 4 3 2 2" xfId="777" xr:uid="{00000000-0005-0000-0000-000009030000}"/>
    <cellStyle name="Normal 4 3 3" xfId="778" xr:uid="{00000000-0005-0000-0000-00000A030000}"/>
    <cellStyle name="Normal 4 4" xfId="779" xr:uid="{00000000-0005-0000-0000-00000B030000}"/>
    <cellStyle name="Normal 4 4 2" xfId="780" xr:uid="{00000000-0005-0000-0000-00000C030000}"/>
    <cellStyle name="Normal 4 4 2 2" xfId="781" xr:uid="{00000000-0005-0000-0000-00000D030000}"/>
    <cellStyle name="Normal 4 4 3" xfId="782" xr:uid="{00000000-0005-0000-0000-00000E030000}"/>
    <cellStyle name="Normal 4 5" xfId="783" xr:uid="{00000000-0005-0000-0000-00000F030000}"/>
    <cellStyle name="Normal 4 5 2" xfId="784" xr:uid="{00000000-0005-0000-0000-000010030000}"/>
    <cellStyle name="Normal 4 5 2 2" xfId="785" xr:uid="{00000000-0005-0000-0000-000011030000}"/>
    <cellStyle name="Normal 4 5 3" xfId="786" xr:uid="{00000000-0005-0000-0000-000012030000}"/>
    <cellStyle name="Normal 4 6" xfId="787" xr:uid="{00000000-0005-0000-0000-000013030000}"/>
    <cellStyle name="Normal 4 6 2" xfId="788" xr:uid="{00000000-0005-0000-0000-000014030000}"/>
    <cellStyle name="Normal 4 6 2 2" xfId="789" xr:uid="{00000000-0005-0000-0000-000015030000}"/>
    <cellStyle name="Normal 4 6 3" xfId="790" xr:uid="{00000000-0005-0000-0000-000016030000}"/>
    <cellStyle name="Normal 4 7" xfId="791" xr:uid="{00000000-0005-0000-0000-000017030000}"/>
    <cellStyle name="Normal 4 8" xfId="792" xr:uid="{00000000-0005-0000-0000-000018030000}"/>
    <cellStyle name="Normal 4 9" xfId="793" xr:uid="{00000000-0005-0000-0000-000019030000}"/>
    <cellStyle name="Normal 4_Regional Readiness Sheet" xfId="794" xr:uid="{00000000-0005-0000-0000-00001A030000}"/>
    <cellStyle name="Normal 40" xfId="795" xr:uid="{00000000-0005-0000-0000-00001B030000}"/>
    <cellStyle name="Normal 41" xfId="796" xr:uid="{00000000-0005-0000-0000-00001C030000}"/>
    <cellStyle name="Normal 42" xfId="797" xr:uid="{00000000-0005-0000-0000-00001D030000}"/>
    <cellStyle name="Normal 43" xfId="798" xr:uid="{00000000-0005-0000-0000-00001E030000}"/>
    <cellStyle name="Normal 44" xfId="799" xr:uid="{00000000-0005-0000-0000-00001F030000}"/>
    <cellStyle name="Normal 45" xfId="800" xr:uid="{00000000-0005-0000-0000-000020030000}"/>
    <cellStyle name="Normal 46" xfId="801" xr:uid="{00000000-0005-0000-0000-000021030000}"/>
    <cellStyle name="Normal 47" xfId="1068" xr:uid="{D8BD2F31-E57B-46E2-8E8A-7BF075488BA6}"/>
    <cellStyle name="Normal 48" xfId="1069" xr:uid="{4B2D124F-33D8-4056-9ABF-AFD6EB11B087}"/>
    <cellStyle name="Normal 49" xfId="1070" xr:uid="{B2DDF93D-A2A8-45F8-9CE2-66ABFEEE48F2}"/>
    <cellStyle name="Normal 5" xfId="802" xr:uid="{00000000-0005-0000-0000-000022030000}"/>
    <cellStyle name="Normal 5 2" xfId="803" xr:uid="{00000000-0005-0000-0000-000023030000}"/>
    <cellStyle name="Normal 5 2 2" xfId="804" xr:uid="{00000000-0005-0000-0000-000024030000}"/>
    <cellStyle name="Normal 5 3" xfId="805" xr:uid="{00000000-0005-0000-0000-000025030000}"/>
    <cellStyle name="Normal 5 3 2" xfId="806" xr:uid="{00000000-0005-0000-0000-000026030000}"/>
    <cellStyle name="Normal 5 4" xfId="807" xr:uid="{00000000-0005-0000-0000-000027030000}"/>
    <cellStyle name="Normal 5 5" xfId="808" xr:uid="{00000000-0005-0000-0000-000028030000}"/>
    <cellStyle name="Normal 50" xfId="1073" xr:uid="{1A6FADAC-2860-42AC-B39A-65AD89E3B7F1}"/>
    <cellStyle name="Normal 51" xfId="1075" xr:uid="{92FD024B-6044-431D-8363-7E522D7B3B47}"/>
    <cellStyle name="Normal 52" xfId="1076" xr:uid="{3010335D-0581-4095-AB5F-2E4E07EACF21}"/>
    <cellStyle name="Normal 53" xfId="1078" xr:uid="{9898AC87-0695-408C-A29E-1CB9CEE8DBAD}"/>
    <cellStyle name="Normal 54" xfId="1079" xr:uid="{56E25E8A-67B2-4A14-8AA2-D9C967E90DE1}"/>
    <cellStyle name="Normal 6" xfId="809" xr:uid="{00000000-0005-0000-0000-000029030000}"/>
    <cellStyle name="Normal 6 2" xfId="810" xr:uid="{00000000-0005-0000-0000-00002A030000}"/>
    <cellStyle name="Normal 6 3" xfId="811" xr:uid="{00000000-0005-0000-0000-00002B030000}"/>
    <cellStyle name="Normal 6 3 2" xfId="812" xr:uid="{00000000-0005-0000-0000-00002C030000}"/>
    <cellStyle name="Normal 6 4" xfId="813" xr:uid="{00000000-0005-0000-0000-00002D030000}"/>
    <cellStyle name="Normal 7" xfId="814" xr:uid="{00000000-0005-0000-0000-00002E030000}"/>
    <cellStyle name="Normal 7 2" xfId="815" xr:uid="{00000000-0005-0000-0000-00002F030000}"/>
    <cellStyle name="Normal 8" xfId="816" xr:uid="{00000000-0005-0000-0000-000030030000}"/>
    <cellStyle name="Normal 8 2" xfId="817" xr:uid="{00000000-0005-0000-0000-000031030000}"/>
    <cellStyle name="Normal 9" xfId="818" xr:uid="{00000000-0005-0000-0000-000032030000}"/>
    <cellStyle name="Normal 9 2" xfId="819" xr:uid="{00000000-0005-0000-0000-000033030000}"/>
    <cellStyle name="Normal 9 2 2" xfId="820" xr:uid="{00000000-0005-0000-0000-000034030000}"/>
    <cellStyle name="Normal 9 2 2 2" xfId="821" xr:uid="{00000000-0005-0000-0000-000035030000}"/>
    <cellStyle name="Normal 9 3" xfId="822" xr:uid="{00000000-0005-0000-0000-000036030000}"/>
    <cellStyle name="Normal 9 3 2" xfId="823" xr:uid="{00000000-0005-0000-0000-000037030000}"/>
    <cellStyle name="Normal 9 4" xfId="824" xr:uid="{00000000-0005-0000-0000-000038030000}"/>
    <cellStyle name="Normal 9 4 2" xfId="825" xr:uid="{00000000-0005-0000-0000-000039030000}"/>
    <cellStyle name="Normal 9 4 2 2" xfId="826" xr:uid="{00000000-0005-0000-0000-00003A030000}"/>
    <cellStyle name="Normal 9 4 3" xfId="827" xr:uid="{00000000-0005-0000-0000-00003B030000}"/>
    <cellStyle name="Normal_Pupil Premium working 2" xfId="828" xr:uid="{00000000-0005-0000-0000-00003C030000}"/>
    <cellStyle name="NormalStyleCurrency" xfId="829" xr:uid="{00000000-0005-0000-0000-00003D030000}"/>
    <cellStyle name="NormalStyleText" xfId="830" xr:uid="{00000000-0005-0000-0000-00003E030000}"/>
    <cellStyle name="Note" xfId="831" builtinId="10" customBuiltin="1"/>
    <cellStyle name="Note 2" xfId="832" xr:uid="{00000000-0005-0000-0000-000040030000}"/>
    <cellStyle name="Note 2 2" xfId="833" xr:uid="{00000000-0005-0000-0000-000041030000}"/>
    <cellStyle name="Note 2 2 2" xfId="834" xr:uid="{00000000-0005-0000-0000-000042030000}"/>
    <cellStyle name="Note 2 2 3" xfId="835" xr:uid="{00000000-0005-0000-0000-000043030000}"/>
    <cellStyle name="Note 2 2 4" xfId="836" xr:uid="{00000000-0005-0000-0000-000044030000}"/>
    <cellStyle name="Note 2 3" xfId="837" xr:uid="{00000000-0005-0000-0000-000045030000}"/>
    <cellStyle name="Note 2 3 2" xfId="838" xr:uid="{00000000-0005-0000-0000-000046030000}"/>
    <cellStyle name="Note 2 3 3" xfId="839" xr:uid="{00000000-0005-0000-0000-000047030000}"/>
    <cellStyle name="Note 2 4" xfId="840" xr:uid="{00000000-0005-0000-0000-000048030000}"/>
    <cellStyle name="Note 2 4 2" xfId="841" xr:uid="{00000000-0005-0000-0000-000049030000}"/>
    <cellStyle name="Note 2 4 3" xfId="842" xr:uid="{00000000-0005-0000-0000-00004A030000}"/>
    <cellStyle name="Note 2 5" xfId="843" xr:uid="{00000000-0005-0000-0000-00004B030000}"/>
    <cellStyle name="Note 2 5 2" xfId="844" xr:uid="{00000000-0005-0000-0000-00004C030000}"/>
    <cellStyle name="Note 2 6" xfId="845" xr:uid="{00000000-0005-0000-0000-00004D030000}"/>
    <cellStyle name="Note 2 6 2" xfId="846" xr:uid="{00000000-0005-0000-0000-00004E030000}"/>
    <cellStyle name="Note 3" xfId="847" xr:uid="{00000000-0005-0000-0000-00004F030000}"/>
    <cellStyle name="Note 3 2" xfId="848" xr:uid="{00000000-0005-0000-0000-000050030000}"/>
    <cellStyle name="Note 3 2 2" xfId="849" xr:uid="{00000000-0005-0000-0000-000051030000}"/>
    <cellStyle name="Note 3 2 3" xfId="850" xr:uid="{00000000-0005-0000-0000-000052030000}"/>
    <cellStyle name="Note 3 3" xfId="851" xr:uid="{00000000-0005-0000-0000-000053030000}"/>
    <cellStyle name="Note 3 3 2" xfId="852" xr:uid="{00000000-0005-0000-0000-000054030000}"/>
    <cellStyle name="Note 3 3 3" xfId="853" xr:uid="{00000000-0005-0000-0000-000055030000}"/>
    <cellStyle name="Note 3 4" xfId="854" xr:uid="{00000000-0005-0000-0000-000056030000}"/>
    <cellStyle name="Note 3 4 2" xfId="855" xr:uid="{00000000-0005-0000-0000-000057030000}"/>
    <cellStyle name="Note 3 4 3" xfId="856" xr:uid="{00000000-0005-0000-0000-000058030000}"/>
    <cellStyle name="Note 3 5" xfId="857" xr:uid="{00000000-0005-0000-0000-000059030000}"/>
    <cellStyle name="Note 4" xfId="858" xr:uid="{00000000-0005-0000-0000-00005A030000}"/>
    <cellStyle name="Note 4 2" xfId="859" xr:uid="{00000000-0005-0000-0000-00005B030000}"/>
    <cellStyle name="Note 4 2 2" xfId="860" xr:uid="{00000000-0005-0000-0000-00005C030000}"/>
    <cellStyle name="Note 4 2 3" xfId="861" xr:uid="{00000000-0005-0000-0000-00005D030000}"/>
    <cellStyle name="Note 4 3" xfId="862" xr:uid="{00000000-0005-0000-0000-00005E030000}"/>
    <cellStyle name="Note 4 3 2" xfId="863" xr:uid="{00000000-0005-0000-0000-00005F030000}"/>
    <cellStyle name="Note 4 3 3" xfId="864" xr:uid="{00000000-0005-0000-0000-000060030000}"/>
    <cellStyle name="Note 4 4" xfId="865" xr:uid="{00000000-0005-0000-0000-000061030000}"/>
    <cellStyle name="Note 4 4 2" xfId="866" xr:uid="{00000000-0005-0000-0000-000062030000}"/>
    <cellStyle name="Note 4 4 3" xfId="867" xr:uid="{00000000-0005-0000-0000-000063030000}"/>
    <cellStyle name="Note 4 5" xfId="868" xr:uid="{00000000-0005-0000-0000-000064030000}"/>
    <cellStyle name="Note 5" xfId="869" xr:uid="{00000000-0005-0000-0000-000065030000}"/>
    <cellStyle name="Note 5 2" xfId="870" xr:uid="{00000000-0005-0000-0000-000066030000}"/>
    <cellStyle name="Note 5 3" xfId="871" xr:uid="{00000000-0005-0000-0000-000067030000}"/>
    <cellStyle name="Note 6" xfId="872" xr:uid="{00000000-0005-0000-0000-000068030000}"/>
    <cellStyle name="Note 6 2" xfId="873" xr:uid="{00000000-0005-0000-0000-000069030000}"/>
    <cellStyle name="Note 6 3" xfId="874" xr:uid="{00000000-0005-0000-0000-00006A030000}"/>
    <cellStyle name="Note 7" xfId="875" xr:uid="{00000000-0005-0000-0000-00006B030000}"/>
    <cellStyle name="Note 7 2" xfId="876" xr:uid="{00000000-0005-0000-0000-00006C030000}"/>
    <cellStyle name="Note 7 3" xfId="877" xr:uid="{00000000-0005-0000-0000-00006D030000}"/>
    <cellStyle name="Note 8" xfId="878" xr:uid="{00000000-0005-0000-0000-00006E030000}"/>
    <cellStyle name="Note 8 2" xfId="879" xr:uid="{00000000-0005-0000-0000-00006F030000}"/>
    <cellStyle name="Number" xfId="880" xr:uid="{00000000-0005-0000-0000-000070030000}"/>
    <cellStyle name="Number 2" xfId="881" xr:uid="{00000000-0005-0000-0000-000071030000}"/>
    <cellStyle name="Number 3" xfId="882" xr:uid="{00000000-0005-0000-0000-000072030000}"/>
    <cellStyle name="Œ…‹æØ‚è [0.00]_laroux" xfId="883" xr:uid="{00000000-0005-0000-0000-000073030000}"/>
    <cellStyle name="Œ…‹æØ‚è_laroux" xfId="884" xr:uid="{00000000-0005-0000-0000-000074030000}"/>
    <cellStyle name="Output" xfId="885" builtinId="21" customBuiltin="1"/>
    <cellStyle name="Output 2" xfId="886" xr:uid="{00000000-0005-0000-0000-000076030000}"/>
    <cellStyle name="Output 2 2" xfId="887" xr:uid="{00000000-0005-0000-0000-000077030000}"/>
    <cellStyle name="Output 2 2 2" xfId="888" xr:uid="{00000000-0005-0000-0000-000078030000}"/>
    <cellStyle name="Output 2 2 3" xfId="889" xr:uid="{00000000-0005-0000-0000-000079030000}"/>
    <cellStyle name="Output 2 2 4" xfId="890" xr:uid="{00000000-0005-0000-0000-00007A030000}"/>
    <cellStyle name="Output 2 3" xfId="891" xr:uid="{00000000-0005-0000-0000-00007B030000}"/>
    <cellStyle name="Output 2 3 2" xfId="892" xr:uid="{00000000-0005-0000-0000-00007C030000}"/>
    <cellStyle name="Output 2 3 3" xfId="893" xr:uid="{00000000-0005-0000-0000-00007D030000}"/>
    <cellStyle name="Output 2 4" xfId="894" xr:uid="{00000000-0005-0000-0000-00007E030000}"/>
    <cellStyle name="Output 2 4 2" xfId="895" xr:uid="{00000000-0005-0000-0000-00007F030000}"/>
    <cellStyle name="Output 2 4 3" xfId="896" xr:uid="{00000000-0005-0000-0000-000080030000}"/>
    <cellStyle name="Output 2 5" xfId="897" xr:uid="{00000000-0005-0000-0000-000081030000}"/>
    <cellStyle name="Output 3" xfId="898" xr:uid="{00000000-0005-0000-0000-000082030000}"/>
    <cellStyle name="Output 3 2" xfId="899" xr:uid="{00000000-0005-0000-0000-000083030000}"/>
    <cellStyle name="Output 3 2 2" xfId="900" xr:uid="{00000000-0005-0000-0000-000084030000}"/>
    <cellStyle name="Output 3 2 3" xfId="901" xr:uid="{00000000-0005-0000-0000-000085030000}"/>
    <cellStyle name="Output 3 3" xfId="902" xr:uid="{00000000-0005-0000-0000-000086030000}"/>
    <cellStyle name="Output 3 3 2" xfId="903" xr:uid="{00000000-0005-0000-0000-000087030000}"/>
    <cellStyle name="Output 3 3 3" xfId="904" xr:uid="{00000000-0005-0000-0000-000088030000}"/>
    <cellStyle name="Output 3 4" xfId="905" xr:uid="{00000000-0005-0000-0000-000089030000}"/>
    <cellStyle name="Output 3 4 2" xfId="906" xr:uid="{00000000-0005-0000-0000-00008A030000}"/>
    <cellStyle name="Output 3 4 3" xfId="907" xr:uid="{00000000-0005-0000-0000-00008B030000}"/>
    <cellStyle name="Output 3 5" xfId="908" xr:uid="{00000000-0005-0000-0000-00008C030000}"/>
    <cellStyle name="Output 4" xfId="909" xr:uid="{00000000-0005-0000-0000-00008D030000}"/>
    <cellStyle name="Output 4 2" xfId="910" xr:uid="{00000000-0005-0000-0000-00008E030000}"/>
    <cellStyle name="Output 4 2 2" xfId="911" xr:uid="{00000000-0005-0000-0000-00008F030000}"/>
    <cellStyle name="Output 4 2 3" xfId="912" xr:uid="{00000000-0005-0000-0000-000090030000}"/>
    <cellStyle name="Output 4 3" xfId="913" xr:uid="{00000000-0005-0000-0000-000091030000}"/>
    <cellStyle name="Output 4 3 2" xfId="914" xr:uid="{00000000-0005-0000-0000-000092030000}"/>
    <cellStyle name="Output 4 3 3" xfId="915" xr:uid="{00000000-0005-0000-0000-000093030000}"/>
    <cellStyle name="Output 4 4" xfId="916" xr:uid="{00000000-0005-0000-0000-000094030000}"/>
    <cellStyle name="Output 4 4 2" xfId="917" xr:uid="{00000000-0005-0000-0000-000095030000}"/>
    <cellStyle name="Output 4 4 3" xfId="918" xr:uid="{00000000-0005-0000-0000-000096030000}"/>
    <cellStyle name="Output 4 5" xfId="919" xr:uid="{00000000-0005-0000-0000-000097030000}"/>
    <cellStyle name="Output 5" xfId="920" xr:uid="{00000000-0005-0000-0000-000098030000}"/>
    <cellStyle name="Output 5 2" xfId="921" xr:uid="{00000000-0005-0000-0000-000099030000}"/>
    <cellStyle name="Output 5 3" xfId="922" xr:uid="{00000000-0005-0000-0000-00009A030000}"/>
    <cellStyle name="Output 6" xfId="923" xr:uid="{00000000-0005-0000-0000-00009B030000}"/>
    <cellStyle name="Output 6 2" xfId="924" xr:uid="{00000000-0005-0000-0000-00009C030000}"/>
    <cellStyle name="Output 6 3" xfId="925" xr:uid="{00000000-0005-0000-0000-00009D030000}"/>
    <cellStyle name="Output 7" xfId="926" xr:uid="{00000000-0005-0000-0000-00009E030000}"/>
    <cellStyle name="Output 7 2" xfId="927" xr:uid="{00000000-0005-0000-0000-00009F030000}"/>
    <cellStyle name="Output 7 3" xfId="928" xr:uid="{00000000-0005-0000-0000-0000A0030000}"/>
    <cellStyle name="Output 8" xfId="929" xr:uid="{00000000-0005-0000-0000-0000A1030000}"/>
    <cellStyle name="Page heading" xfId="930" xr:uid="{00000000-0005-0000-0000-0000A2030000}"/>
    <cellStyle name="Percent" xfId="931" builtinId="5"/>
    <cellStyle name="Percent [0]" xfId="932" xr:uid="{00000000-0005-0000-0000-0000A4030000}"/>
    <cellStyle name="Percent [00]" xfId="933" xr:uid="{00000000-0005-0000-0000-0000A5030000}"/>
    <cellStyle name="Percent [2]" xfId="934" xr:uid="{00000000-0005-0000-0000-0000A6030000}"/>
    <cellStyle name="Percent 2" xfId="935" xr:uid="{00000000-0005-0000-0000-0000A7030000}"/>
    <cellStyle name="Percent 2 2" xfId="936" xr:uid="{00000000-0005-0000-0000-0000A8030000}"/>
    <cellStyle name="Percent 2 2 2" xfId="937" xr:uid="{00000000-0005-0000-0000-0000A9030000}"/>
    <cellStyle name="Percent 2 3" xfId="938" xr:uid="{00000000-0005-0000-0000-0000AA030000}"/>
    <cellStyle name="Percent 2 3 2" xfId="939" xr:uid="{00000000-0005-0000-0000-0000AB030000}"/>
    <cellStyle name="Percent 2 4" xfId="940" xr:uid="{00000000-0005-0000-0000-0000AC030000}"/>
    <cellStyle name="Percent 2 4 2" xfId="941" xr:uid="{00000000-0005-0000-0000-0000AD030000}"/>
    <cellStyle name="Percent 2 5" xfId="942" xr:uid="{00000000-0005-0000-0000-0000AE030000}"/>
    <cellStyle name="Percent 3" xfId="943" xr:uid="{00000000-0005-0000-0000-0000AF030000}"/>
    <cellStyle name="Percent 3 2" xfId="944" xr:uid="{00000000-0005-0000-0000-0000B0030000}"/>
    <cellStyle name="Percent 4" xfId="945" xr:uid="{00000000-0005-0000-0000-0000B1030000}"/>
    <cellStyle name="Percent 4 2" xfId="946" xr:uid="{00000000-0005-0000-0000-0000B2030000}"/>
    <cellStyle name="Percent 5" xfId="947" xr:uid="{00000000-0005-0000-0000-0000B3030000}"/>
    <cellStyle name="Percent 6" xfId="948" xr:uid="{00000000-0005-0000-0000-0000B4030000}"/>
    <cellStyle name="Percent 7" xfId="949" xr:uid="{00000000-0005-0000-0000-0000B5030000}"/>
    <cellStyle name="Percent 8" xfId="1072" xr:uid="{9E1921C9-0613-4F83-8B69-93A54B38B43D}"/>
    <cellStyle name="PrePop Currency (0)" xfId="950" xr:uid="{00000000-0005-0000-0000-0000B6030000}"/>
    <cellStyle name="PrePop Currency (2)" xfId="951" xr:uid="{00000000-0005-0000-0000-0000B7030000}"/>
    <cellStyle name="PrePop Units (0)" xfId="952" xr:uid="{00000000-0005-0000-0000-0000B8030000}"/>
    <cellStyle name="PrePop Units (1)" xfId="953" xr:uid="{00000000-0005-0000-0000-0000B9030000}"/>
    <cellStyle name="PrePop Units (2)" xfId="954" xr:uid="{00000000-0005-0000-0000-0000BA030000}"/>
    <cellStyle name="provisional PN158/97" xfId="955" xr:uid="{00000000-0005-0000-0000-0000BB030000}"/>
    <cellStyle name="PSChar" xfId="956" xr:uid="{00000000-0005-0000-0000-0000BC030000}"/>
    <cellStyle name="PSDate" xfId="957" xr:uid="{00000000-0005-0000-0000-0000BD030000}"/>
    <cellStyle name="PSDec" xfId="958" xr:uid="{00000000-0005-0000-0000-0000BE030000}"/>
    <cellStyle name="PSHeading" xfId="959" xr:uid="{00000000-0005-0000-0000-0000BF030000}"/>
    <cellStyle name="PSInt" xfId="960" xr:uid="{00000000-0005-0000-0000-0000C0030000}"/>
    <cellStyle name="PSSpacer" xfId="961" xr:uid="{00000000-0005-0000-0000-0000C1030000}"/>
    <cellStyle name="P嗴_x000c_〘 ńバ঒〘 " xfId="962" xr:uid="{00000000-0005-0000-0000-0000C2030000}"/>
    <cellStyle name="P嗴_x000c_〘 ńバ঒〘  2" xfId="963" xr:uid="{00000000-0005-0000-0000-0000C3030000}"/>
    <cellStyle name="P嗴_x000c_〘 ńバ঒〘 _Main Allocation Sheet" xfId="964" xr:uid="{00000000-0005-0000-0000-0000C4030000}"/>
    <cellStyle name="SAPBEXstdData" xfId="965" xr:uid="{00000000-0005-0000-0000-0000C5030000}"/>
    <cellStyle name="SAPBEXstdData 2" xfId="966" xr:uid="{00000000-0005-0000-0000-0000C6030000}"/>
    <cellStyle name="SAPBEXstdData 2 2" xfId="967" xr:uid="{00000000-0005-0000-0000-0000C7030000}"/>
    <cellStyle name="SAPBEXstdData 2 3" xfId="968" xr:uid="{00000000-0005-0000-0000-0000C8030000}"/>
    <cellStyle name="SAPBEXstdData 3" xfId="969" xr:uid="{00000000-0005-0000-0000-0000C9030000}"/>
    <cellStyle name="SAPBEXstdData 3 2" xfId="970" xr:uid="{00000000-0005-0000-0000-0000CA030000}"/>
    <cellStyle name="SAPBEXstdData 3 3" xfId="971" xr:uid="{00000000-0005-0000-0000-0000CB030000}"/>
    <cellStyle name="SAPBEXstdData 4" xfId="972" xr:uid="{00000000-0005-0000-0000-0000CC030000}"/>
    <cellStyle name="SAPBEXstdData 4 2" xfId="973" xr:uid="{00000000-0005-0000-0000-0000CD030000}"/>
    <cellStyle name="SAPBEXstdData 4 3" xfId="974" xr:uid="{00000000-0005-0000-0000-0000CE030000}"/>
    <cellStyle name="SAPBEXstdData 5" xfId="975" xr:uid="{00000000-0005-0000-0000-0000CF030000}"/>
    <cellStyle name="Satisfaisant" xfId="976" xr:uid="{00000000-0005-0000-0000-0000D0030000}"/>
    <cellStyle name="Sheet Title" xfId="977" xr:uid="{00000000-0005-0000-0000-0000D1030000}"/>
    <cellStyle name="Sortie" xfId="978" xr:uid="{00000000-0005-0000-0000-0000D2030000}"/>
    <cellStyle name="Style 1" xfId="979" xr:uid="{00000000-0005-0000-0000-0000D3030000}"/>
    <cellStyle name="Style 1 2" xfId="980" xr:uid="{00000000-0005-0000-0000-0000D4030000}"/>
    <cellStyle name="Style 1_Main Allocation Sheet" xfId="981" xr:uid="{00000000-0005-0000-0000-0000D5030000}"/>
    <cellStyle name="Style 22" xfId="982" xr:uid="{00000000-0005-0000-0000-0000D6030000}"/>
    <cellStyle name="Style 23" xfId="983" xr:uid="{00000000-0005-0000-0000-0000D7030000}"/>
    <cellStyle name="Style 24" xfId="984" xr:uid="{00000000-0005-0000-0000-0000D8030000}"/>
    <cellStyle name="Style 25" xfId="985" xr:uid="{00000000-0005-0000-0000-0000D9030000}"/>
    <cellStyle name="Style 26" xfId="986" xr:uid="{00000000-0005-0000-0000-0000DA030000}"/>
    <cellStyle name="Style 27" xfId="987" xr:uid="{00000000-0005-0000-0000-0000DB030000}"/>
    <cellStyle name="sub" xfId="988" xr:uid="{00000000-0005-0000-0000-0000DC030000}"/>
    <cellStyle name="table imported" xfId="989" xr:uid="{00000000-0005-0000-0000-0000DD030000}"/>
    <cellStyle name="table imported 2" xfId="990" xr:uid="{00000000-0005-0000-0000-0000DE030000}"/>
    <cellStyle name="table imported 2 2" xfId="991" xr:uid="{00000000-0005-0000-0000-0000DF030000}"/>
    <cellStyle name="table sum" xfId="992" xr:uid="{00000000-0005-0000-0000-0000E0030000}"/>
    <cellStyle name="table sum 2" xfId="993" xr:uid="{00000000-0005-0000-0000-0000E1030000}"/>
    <cellStyle name="table sum 2 2" xfId="994" xr:uid="{00000000-0005-0000-0000-0000E2030000}"/>
    <cellStyle name="table values" xfId="995" xr:uid="{00000000-0005-0000-0000-0000E3030000}"/>
    <cellStyle name="table values 2" xfId="996" xr:uid="{00000000-0005-0000-0000-0000E4030000}"/>
    <cellStyle name="table values 2 2" xfId="997" xr:uid="{00000000-0005-0000-0000-0000E5030000}"/>
    <cellStyle name="Text Indent A" xfId="998" xr:uid="{00000000-0005-0000-0000-0000E6030000}"/>
    <cellStyle name="Text Indent B" xfId="999" xr:uid="{00000000-0005-0000-0000-0000E7030000}"/>
    <cellStyle name="Text Indent C" xfId="1000" xr:uid="{00000000-0005-0000-0000-0000E8030000}"/>
    <cellStyle name="Texte explicatif" xfId="1001" xr:uid="{00000000-0005-0000-0000-0000E9030000}"/>
    <cellStyle name="Title" xfId="1002" builtinId="15" customBuiltin="1"/>
    <cellStyle name="Title 2" xfId="1003" xr:uid="{00000000-0005-0000-0000-0000EB030000}"/>
    <cellStyle name="Title 3" xfId="1004" xr:uid="{00000000-0005-0000-0000-0000EC030000}"/>
    <cellStyle name="Title 4" xfId="1005" xr:uid="{00000000-0005-0000-0000-0000ED030000}"/>
    <cellStyle name="Title 5" xfId="1006" xr:uid="{00000000-0005-0000-0000-0000EE030000}"/>
    <cellStyle name="Titre" xfId="1007" xr:uid="{00000000-0005-0000-0000-0000EF030000}"/>
    <cellStyle name="Titre 1" xfId="1008" xr:uid="{00000000-0005-0000-0000-0000F0030000}"/>
    <cellStyle name="Titre 2" xfId="1009" xr:uid="{00000000-0005-0000-0000-0000F1030000}"/>
    <cellStyle name="Titre 3" xfId="1010" xr:uid="{00000000-0005-0000-0000-0000F2030000}"/>
    <cellStyle name="Titre 4" xfId="1011" xr:uid="{00000000-0005-0000-0000-0000F3030000}"/>
    <cellStyle name="Total" xfId="1012" builtinId="25" customBuiltin="1"/>
    <cellStyle name="Total 2" xfId="1013" xr:uid="{00000000-0005-0000-0000-0000F5030000}"/>
    <cellStyle name="Total 2 2" xfId="1014" xr:uid="{00000000-0005-0000-0000-0000F6030000}"/>
    <cellStyle name="Total 2 2 2" xfId="1015" xr:uid="{00000000-0005-0000-0000-0000F7030000}"/>
    <cellStyle name="Total 2 2 3" xfId="1016" xr:uid="{00000000-0005-0000-0000-0000F8030000}"/>
    <cellStyle name="Total 2 2 4" xfId="1017" xr:uid="{00000000-0005-0000-0000-0000F9030000}"/>
    <cellStyle name="Total 2 3" xfId="1018" xr:uid="{00000000-0005-0000-0000-0000FA030000}"/>
    <cellStyle name="Total 2 3 2" xfId="1019" xr:uid="{00000000-0005-0000-0000-0000FB030000}"/>
    <cellStyle name="Total 2 3 3" xfId="1020" xr:uid="{00000000-0005-0000-0000-0000FC030000}"/>
    <cellStyle name="Total 2 4" xfId="1021" xr:uid="{00000000-0005-0000-0000-0000FD030000}"/>
    <cellStyle name="Total 2 4 2" xfId="1022" xr:uid="{00000000-0005-0000-0000-0000FE030000}"/>
    <cellStyle name="Total 2 4 3" xfId="1023" xr:uid="{00000000-0005-0000-0000-0000FF030000}"/>
    <cellStyle name="Total 2 5" xfId="1024" xr:uid="{00000000-0005-0000-0000-000000040000}"/>
    <cellStyle name="Total 3" xfId="1025" xr:uid="{00000000-0005-0000-0000-000001040000}"/>
    <cellStyle name="Total 3 2" xfId="1026" xr:uid="{00000000-0005-0000-0000-000002040000}"/>
    <cellStyle name="Total 3 2 2" xfId="1027" xr:uid="{00000000-0005-0000-0000-000003040000}"/>
    <cellStyle name="Total 3 2 3" xfId="1028" xr:uid="{00000000-0005-0000-0000-000004040000}"/>
    <cellStyle name="Total 3 3" xfId="1029" xr:uid="{00000000-0005-0000-0000-000005040000}"/>
    <cellStyle name="Total 3 3 2" xfId="1030" xr:uid="{00000000-0005-0000-0000-000006040000}"/>
    <cellStyle name="Total 3 3 3" xfId="1031" xr:uid="{00000000-0005-0000-0000-000007040000}"/>
    <cellStyle name="Total 3 4" xfId="1032" xr:uid="{00000000-0005-0000-0000-000008040000}"/>
    <cellStyle name="Total 3 4 2" xfId="1033" xr:uid="{00000000-0005-0000-0000-000009040000}"/>
    <cellStyle name="Total 3 4 3" xfId="1034" xr:uid="{00000000-0005-0000-0000-00000A040000}"/>
    <cellStyle name="Total 3 5" xfId="1035" xr:uid="{00000000-0005-0000-0000-00000B040000}"/>
    <cellStyle name="Total 4" xfId="1036" xr:uid="{00000000-0005-0000-0000-00000C040000}"/>
    <cellStyle name="Total 4 2" xfId="1037" xr:uid="{00000000-0005-0000-0000-00000D040000}"/>
    <cellStyle name="Total 4 2 2" xfId="1038" xr:uid="{00000000-0005-0000-0000-00000E040000}"/>
    <cellStyle name="Total 4 2 3" xfId="1039" xr:uid="{00000000-0005-0000-0000-00000F040000}"/>
    <cellStyle name="Total 4 3" xfId="1040" xr:uid="{00000000-0005-0000-0000-000010040000}"/>
    <cellStyle name="Total 4 3 2" xfId="1041" xr:uid="{00000000-0005-0000-0000-000011040000}"/>
    <cellStyle name="Total 4 3 3" xfId="1042" xr:uid="{00000000-0005-0000-0000-000012040000}"/>
    <cellStyle name="Total 4 4" xfId="1043" xr:uid="{00000000-0005-0000-0000-000013040000}"/>
    <cellStyle name="Total 4 4 2" xfId="1044" xr:uid="{00000000-0005-0000-0000-000014040000}"/>
    <cellStyle name="Total 4 4 3" xfId="1045" xr:uid="{00000000-0005-0000-0000-000015040000}"/>
    <cellStyle name="Total 4 5" xfId="1046" xr:uid="{00000000-0005-0000-0000-000016040000}"/>
    <cellStyle name="Total 5" xfId="1047" xr:uid="{00000000-0005-0000-0000-000017040000}"/>
    <cellStyle name="Total 5 2" xfId="1048" xr:uid="{00000000-0005-0000-0000-000018040000}"/>
    <cellStyle name="Total 5 3" xfId="1049" xr:uid="{00000000-0005-0000-0000-000019040000}"/>
    <cellStyle name="Total 6" xfId="1050" xr:uid="{00000000-0005-0000-0000-00001A040000}"/>
    <cellStyle name="Total 6 2" xfId="1051" xr:uid="{00000000-0005-0000-0000-00001B040000}"/>
    <cellStyle name="Total 6 3" xfId="1052" xr:uid="{00000000-0005-0000-0000-00001C040000}"/>
    <cellStyle name="Total 7" xfId="1053" xr:uid="{00000000-0005-0000-0000-00001D040000}"/>
    <cellStyle name="Total 7 2" xfId="1054" xr:uid="{00000000-0005-0000-0000-00001E040000}"/>
    <cellStyle name="Total 7 3" xfId="1055" xr:uid="{00000000-0005-0000-0000-00001F040000}"/>
    <cellStyle name="Total 8" xfId="1056" xr:uid="{00000000-0005-0000-0000-000020040000}"/>
    <cellStyle name="TotalStyleCurrency" xfId="1057" xr:uid="{00000000-0005-0000-0000-000021040000}"/>
    <cellStyle name="TotalStyleText" xfId="1058" xr:uid="{00000000-0005-0000-0000-000022040000}"/>
    <cellStyle name="u5shares" xfId="1059" xr:uid="{00000000-0005-0000-0000-000023040000}"/>
    <cellStyle name="Variable assumptions" xfId="1060" xr:uid="{00000000-0005-0000-0000-000024040000}"/>
    <cellStyle name="Vérification" xfId="1061" xr:uid="{00000000-0005-0000-0000-000025040000}"/>
    <cellStyle name="Warning Text" xfId="1062" builtinId="11" customBuiltin="1"/>
    <cellStyle name="Warning Text 2" xfId="1063" xr:uid="{00000000-0005-0000-0000-000027040000}"/>
    <cellStyle name="Warning Text 2 2" xfId="1064" xr:uid="{00000000-0005-0000-0000-000028040000}"/>
    <cellStyle name="Warning Text 3" xfId="1065" xr:uid="{00000000-0005-0000-0000-000029040000}"/>
    <cellStyle name="Warning Text 4" xfId="1066" xr:uid="{00000000-0005-0000-0000-00002A040000}"/>
    <cellStyle name="Warning Text 5" xfId="1067" xr:uid="{00000000-0005-0000-0000-00002B040000}"/>
  </cellStyles>
  <dxfs count="63">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7.xml"/><Relationship Id="rId21" Type="http://schemas.openxmlformats.org/officeDocument/2006/relationships/externalLink" Target="externalLinks/externalLink2.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63" Type="http://schemas.openxmlformats.org/officeDocument/2006/relationships/externalLink" Target="externalLinks/externalLink44.xml"/><Relationship Id="rId68" Type="http://schemas.openxmlformats.org/officeDocument/2006/relationships/externalLink" Target="externalLinks/externalLink49.xml"/><Relationship Id="rId84" Type="http://schemas.openxmlformats.org/officeDocument/2006/relationships/externalLink" Target="externalLinks/externalLink65.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53" Type="http://schemas.openxmlformats.org/officeDocument/2006/relationships/externalLink" Target="externalLinks/externalLink34.xml"/><Relationship Id="rId58" Type="http://schemas.openxmlformats.org/officeDocument/2006/relationships/externalLink" Target="externalLinks/externalLink39.xml"/><Relationship Id="rId74" Type="http://schemas.openxmlformats.org/officeDocument/2006/relationships/externalLink" Target="externalLinks/externalLink55.xml"/><Relationship Id="rId79" Type="http://schemas.openxmlformats.org/officeDocument/2006/relationships/externalLink" Target="externalLinks/externalLink60.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56" Type="http://schemas.openxmlformats.org/officeDocument/2006/relationships/externalLink" Target="externalLinks/externalLink37.xml"/><Relationship Id="rId64" Type="http://schemas.openxmlformats.org/officeDocument/2006/relationships/externalLink" Target="externalLinks/externalLink45.xml"/><Relationship Id="rId69" Type="http://schemas.openxmlformats.org/officeDocument/2006/relationships/externalLink" Target="externalLinks/externalLink50.xml"/><Relationship Id="rId77" Type="http://schemas.openxmlformats.org/officeDocument/2006/relationships/externalLink" Target="externalLinks/externalLink58.xml"/><Relationship Id="rId8" Type="http://schemas.openxmlformats.org/officeDocument/2006/relationships/worksheet" Target="worksheets/sheet8.xml"/><Relationship Id="rId51" Type="http://schemas.openxmlformats.org/officeDocument/2006/relationships/externalLink" Target="externalLinks/externalLink32.xml"/><Relationship Id="rId72" Type="http://schemas.openxmlformats.org/officeDocument/2006/relationships/externalLink" Target="externalLinks/externalLink53.xml"/><Relationship Id="rId80" Type="http://schemas.openxmlformats.org/officeDocument/2006/relationships/externalLink" Target="externalLinks/externalLink61.xml"/><Relationship Id="rId85" Type="http://schemas.openxmlformats.org/officeDocument/2006/relationships/externalLink" Target="externalLinks/externalLink6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59" Type="http://schemas.openxmlformats.org/officeDocument/2006/relationships/externalLink" Target="externalLinks/externalLink40.xml"/><Relationship Id="rId67" Type="http://schemas.openxmlformats.org/officeDocument/2006/relationships/externalLink" Target="externalLinks/externalLink48.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externalLink" Target="externalLinks/externalLink35.xml"/><Relationship Id="rId62" Type="http://schemas.openxmlformats.org/officeDocument/2006/relationships/externalLink" Target="externalLinks/externalLink43.xml"/><Relationship Id="rId70" Type="http://schemas.openxmlformats.org/officeDocument/2006/relationships/externalLink" Target="externalLinks/externalLink51.xml"/><Relationship Id="rId75" Type="http://schemas.openxmlformats.org/officeDocument/2006/relationships/externalLink" Target="externalLinks/externalLink56.xml"/><Relationship Id="rId83" Type="http://schemas.openxmlformats.org/officeDocument/2006/relationships/externalLink" Target="externalLinks/externalLink64.xml"/><Relationship Id="rId88" Type="http://schemas.openxmlformats.org/officeDocument/2006/relationships/externalLink" Target="externalLinks/externalLink69.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57" Type="http://schemas.openxmlformats.org/officeDocument/2006/relationships/externalLink" Target="externalLinks/externalLink38.xml"/><Relationship Id="rId10" Type="http://schemas.openxmlformats.org/officeDocument/2006/relationships/worksheet" Target="worksheets/sheet10.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 Id="rId60" Type="http://schemas.openxmlformats.org/officeDocument/2006/relationships/externalLink" Target="externalLinks/externalLink41.xml"/><Relationship Id="rId65" Type="http://schemas.openxmlformats.org/officeDocument/2006/relationships/externalLink" Target="externalLinks/externalLink46.xml"/><Relationship Id="rId73" Type="http://schemas.openxmlformats.org/officeDocument/2006/relationships/externalLink" Target="externalLinks/externalLink54.xml"/><Relationship Id="rId78" Type="http://schemas.openxmlformats.org/officeDocument/2006/relationships/externalLink" Target="externalLinks/externalLink59.xml"/><Relationship Id="rId81" Type="http://schemas.openxmlformats.org/officeDocument/2006/relationships/externalLink" Target="externalLinks/externalLink62.xml"/><Relationship Id="rId86" Type="http://schemas.openxmlformats.org/officeDocument/2006/relationships/externalLink" Target="externalLinks/externalLink6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0.xml"/><Relationship Id="rId34" Type="http://schemas.openxmlformats.org/officeDocument/2006/relationships/externalLink" Target="externalLinks/externalLink15.xml"/><Relationship Id="rId50" Type="http://schemas.openxmlformats.org/officeDocument/2006/relationships/externalLink" Target="externalLinks/externalLink31.xml"/><Relationship Id="rId55" Type="http://schemas.openxmlformats.org/officeDocument/2006/relationships/externalLink" Target="externalLinks/externalLink36.xml"/><Relationship Id="rId76" Type="http://schemas.openxmlformats.org/officeDocument/2006/relationships/externalLink" Target="externalLinks/externalLink57.xml"/><Relationship Id="rId7" Type="http://schemas.openxmlformats.org/officeDocument/2006/relationships/worksheet" Target="worksheets/sheet7.xml"/><Relationship Id="rId71" Type="http://schemas.openxmlformats.org/officeDocument/2006/relationships/externalLink" Target="externalLinks/externalLink52.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10.xml"/><Relationship Id="rId24" Type="http://schemas.openxmlformats.org/officeDocument/2006/relationships/externalLink" Target="externalLinks/externalLink5.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66" Type="http://schemas.openxmlformats.org/officeDocument/2006/relationships/externalLink" Target="externalLinks/externalLink47.xml"/><Relationship Id="rId87" Type="http://schemas.openxmlformats.org/officeDocument/2006/relationships/externalLink" Target="externalLinks/externalLink68.xml"/><Relationship Id="rId61" Type="http://schemas.openxmlformats.org/officeDocument/2006/relationships/externalLink" Target="externalLinks/externalLink42.xml"/><Relationship Id="rId82" Type="http://schemas.openxmlformats.org/officeDocument/2006/relationships/externalLink" Target="externalLinks/externalLink63.xml"/><Relationship Id="rId19" Type="http://schemas.openxmlformats.org/officeDocument/2006/relationships/worksheet" Target="worksheets/sheet1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1695450</xdr:colOff>
      <xdr:row>2</xdr:row>
      <xdr:rowOff>428625</xdr:rowOff>
    </xdr:from>
    <xdr:to>
      <xdr:col>1</xdr:col>
      <xdr:colOff>2019300</xdr:colOff>
      <xdr:row>2</xdr:row>
      <xdr:rowOff>428625</xdr:rowOff>
    </xdr:to>
    <xdr:sp macro="" textlink="">
      <xdr:nvSpPr>
        <xdr:cNvPr id="1032" name="Line 1">
          <a:extLst>
            <a:ext uri="{FF2B5EF4-FFF2-40B4-BE49-F238E27FC236}">
              <a16:creationId xmlns:a16="http://schemas.microsoft.com/office/drawing/2014/main" id="{1CB881E4-CA7A-86DB-0B38-A12D00BE3C9F}"/>
            </a:ext>
          </a:extLst>
        </xdr:cNvPr>
        <xdr:cNvSpPr>
          <a:spLocks noChangeShapeType="1"/>
        </xdr:cNvSpPr>
      </xdr:nvSpPr>
      <xdr:spPr bwMode="auto">
        <a:xfrm>
          <a:off x="3952875" y="914400"/>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314325</xdr:colOff>
      <xdr:row>1</xdr:row>
      <xdr:rowOff>123825</xdr:rowOff>
    </xdr:from>
    <xdr:to>
      <xdr:col>7</xdr:col>
      <xdr:colOff>723900</xdr:colOff>
      <xdr:row>4</xdr:row>
      <xdr:rowOff>38100</xdr:rowOff>
    </xdr:to>
    <xdr:sp macro="[0]!Addaschool" textlink="">
      <xdr:nvSpPr>
        <xdr:cNvPr id="3648" name="Rounded Rectangle 1">
          <a:extLst>
            <a:ext uri="{FF2B5EF4-FFF2-40B4-BE49-F238E27FC236}">
              <a16:creationId xmlns:a16="http://schemas.microsoft.com/office/drawing/2014/main" id="{0DFADB93-80FE-0BE6-A11E-1C96E0042FFF}"/>
            </a:ext>
          </a:extLst>
        </xdr:cNvPr>
        <xdr:cNvSpPr>
          <a:spLocks noChangeArrowheads="1"/>
        </xdr:cNvSpPr>
      </xdr:nvSpPr>
      <xdr:spPr bwMode="auto">
        <a:xfrm>
          <a:off x="10096500" y="361950"/>
          <a:ext cx="1362075" cy="704850"/>
        </a:xfrm>
        <a:prstGeom prst="roundRect">
          <a:avLst>
            <a:gd name="adj" fmla="val 16667"/>
          </a:avLst>
        </a:prstGeom>
        <a:solidFill>
          <a:srgbClr val="C6D9F1"/>
        </a:solidFill>
        <a:ln w="25400" algn="ctr">
          <a:solidFill>
            <a:srgbClr val="1F497D"/>
          </a:solidFill>
          <a:round/>
          <a:headEnd/>
          <a:tailEnd/>
        </a:ln>
      </xdr:spPr>
      <xdr:txBody>
        <a:bodyPr vertOverflow="clip" wrap="square" lIns="27432" tIns="27432" rIns="0" bIns="27432" anchor="ctr" upright="1"/>
        <a:lstStyle/>
        <a:p>
          <a:pPr algn="l" rtl="0">
            <a:defRPr sz="1000"/>
          </a:pPr>
          <a:r>
            <a:rPr lang="en-GB" sz="1100" b="1" i="0" u="none" strike="noStrike" baseline="0">
              <a:solidFill>
                <a:srgbClr val="000000"/>
              </a:solidFill>
              <a:latin typeface="Calibri"/>
              <a:cs typeface="Calibri"/>
            </a:rPr>
            <a:t>&lt;&lt;Click to Add &amp; Compare another School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74</xdr:row>
      <xdr:rowOff>0</xdr:rowOff>
    </xdr:from>
    <xdr:to>
      <xdr:col>23</xdr:col>
      <xdr:colOff>605051</xdr:colOff>
      <xdr:row>100</xdr:row>
      <xdr:rowOff>71274</xdr:rowOff>
    </xdr:to>
    <xdr:pic>
      <xdr:nvPicPr>
        <xdr:cNvPr id="2" name="Picture 1">
          <a:extLst>
            <a:ext uri="{FF2B5EF4-FFF2-40B4-BE49-F238E27FC236}">
              <a16:creationId xmlns:a16="http://schemas.microsoft.com/office/drawing/2014/main" id="{C3FEFFCF-3B77-4E54-8B85-2358ACA25027}"/>
            </a:ext>
          </a:extLst>
        </xdr:cNvPr>
        <xdr:cNvPicPr>
          <a:picLocks noChangeAspect="1"/>
        </xdr:cNvPicPr>
      </xdr:nvPicPr>
      <xdr:blipFill>
        <a:blip xmlns:r="http://schemas.openxmlformats.org/officeDocument/2006/relationships" r:embed="rId1"/>
        <a:stretch>
          <a:fillRect/>
        </a:stretch>
      </xdr:blipFill>
      <xdr:spPr>
        <a:xfrm>
          <a:off x="17830800" y="14310360"/>
          <a:ext cx="9693171" cy="4911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78</xdr:row>
      <xdr:rowOff>0</xdr:rowOff>
    </xdr:from>
    <xdr:to>
      <xdr:col>28</xdr:col>
      <xdr:colOff>127901</xdr:colOff>
      <xdr:row>104</xdr:row>
      <xdr:rowOff>172165</xdr:rowOff>
    </xdr:to>
    <xdr:pic>
      <xdr:nvPicPr>
        <xdr:cNvPr id="2" name="Picture 1">
          <a:extLst>
            <a:ext uri="{FF2B5EF4-FFF2-40B4-BE49-F238E27FC236}">
              <a16:creationId xmlns:a16="http://schemas.microsoft.com/office/drawing/2014/main" id="{C259EE1A-317D-454B-9202-55D191B959E0}"/>
            </a:ext>
          </a:extLst>
        </xdr:cNvPr>
        <xdr:cNvPicPr>
          <a:picLocks noChangeAspect="1"/>
        </xdr:cNvPicPr>
      </xdr:nvPicPr>
      <xdr:blipFill>
        <a:blip xmlns:r="http://schemas.openxmlformats.org/officeDocument/2006/relationships" r:embed="rId1"/>
        <a:stretch>
          <a:fillRect/>
        </a:stretch>
      </xdr:blipFill>
      <xdr:spPr>
        <a:xfrm>
          <a:off x="18497550" y="15687675"/>
          <a:ext cx="9138551" cy="5125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san03\lid\Recurrent%20Funding\Recurrent%202004-05\Passporting\Passporting%20Calulation%20Spreadsheet\Passporting0405_baselineFINAL2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R\2002\SWGE\SWGE_DAR_27_02_02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ycle2B-2009-10\EOY\Standards%20Funds\SF0910%20EOY%20@%2015%20Ma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chool%20Funding\Cycle%2010%20-%202018-19\December%20Adjustments\GOLD\2018-19%20DecReport%20v5.0%20@%205Dec18%20Fina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FEE-LON-072\USERS\SSAs-EFS\2003-04\Final%20SSAs\Final%20model\model_HTv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R\2002\Transformation%20Model\Transformation_Model_16_08_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School%20Funding\Cycle%205A-2013-14\EFA%20returns\Gold%20Jan%202013%20EFA%20return\Working%20documents\Copy%20of%20LA_302_Jan13_Additional_Data_FINALv4%20+%20Notional%20SE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School%20Funding\Cycle%205A-2013-14\Modelling\Formula%20Funding%20Review\Modelling%20for%2013-14\Scenario%204%20-%20FSM.LUMP.EAL.MOB%20CAPPED%2024.9.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EN\SENAM\Zahid%20Aftab\Chris%20Aston\All%20ARP's%20&amp;%20Special%20schools%20Oct%202013\term2-spring%202014\School%20returns\SEN13_Barnet%20Bla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SHAREDACCY\Budget%20and%20Forward%20Plan%202011-12\Budget%20Book\Service%20Forward%20Plans%202011-12b(formatte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ARC\Dedicated%20Schools%20Grant\2014-15%20Allocations\Pupil%20Premium\Models\Primary\201415_Pupil_Premium_allocations_Fani_v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P\SWAUP2\Demography\BWRM5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AdHoc\DualRun_pre-election%20policy%20costing_protected%20soft%20NFF.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IFLADiv\Capital\Condition\RB%20Level%20Allocations%20Model\20150112%20Maintenance%20Options%20Model%20v3.6%20(revised%20budget)%20CSO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Surplus2000\Surplus%20Analysis%20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chool%20Funding\Cycle%206A-2014-15\DSG%20&amp;%20Schools%20Budget\Schools%20Budget%202014-15%20@%2013%20Mar%20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bbarnet.local\sharedareas\School%20Funding\Cycle%2011%20-%202019-20\Autumn%20Funding%20Adjustments\New%20system\New%20SEN%20system%20-%20Autumn19%20%20@%2029Oct1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chool%20Funding\Cycle%207%20-%202015-16\EOY%20adjustments\EOYReport97%20V8.0%20@%2019Jan16%2017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School%20Funding\Cycle%206A-2014-15\BudgetMonitoring\SEN\SEN%20Placements%201415%20Mth%2005%20LJB.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SWAU2\TEAM2\!DEMOGRA\DME7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School%20Funding\Cycle%205A-2013-14\DSG%20Cost%20centres\DSG%20Cost%20centres%20@%203%20July%201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bb2prnv1\Accountancy\Childrens%20and%20Adults\S251\S251%202011-12%20Budget\Working%20Papers\Sap%20download%20@%2010.03.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ESG\SR_2015\LA%20pupil%20numbers.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ocuments%20and%20Settings\carol.beckman\Local%20Settings\Temp\wz38ef\OReport%20101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ational%20Funding%20Formula%20-%202014-15\DualRun%20model\MFL%20DualRun%202014-15%20Y14M07D08.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STRB\STRB98\TABLES\TABLE21\TABLE21\VACANCY.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lonnetapp01\ASDDATA\TEAM2\!DEMOGRA\DME7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chool%20Funding\Cycle%207%20-%202015-16\APT%202015-16\Jan%202015%20APT\201516_01_APT_302_Barnet_20.1.1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School%20Funding\Cycle%207%20-%202015-16\DSG%20Allocations\DSG_2015-16_allocations_spreadsheet_updated_July_201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bbarnet.local\sharedareas\School%20Funding\Cycle%2011%20-%202019-20\APT\APT%20Jan%202019\Models\Final%20upload\302_201920_P3_APT_302_Barnet_20190123_14_44%20Download%20from%20Portal%206.2.19.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School%20Funding\Cycle%206A-2014-15\DecemberAdjustments\Gold\DReport%20@23%20Dec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SEN\SENAM\Budget%20Monitoring\Financial%20Year%202012-13\Monthly%20Monitoring%20Figures%202012-13\Month%206\1.%20Placements\SEN%20Placements%20&amp;%20Provisions%20Budget%202012-13%20(Mth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School%20Funding\Cycle%205A-2013-14\High%20Needs\302_HNPPlaceDataChecking%20-%20submiss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School%20Funding\Cycle%2011%20-%202019-20\Autumn%20Funding%20Adjustments\GOLD\Autumn%20adjustments%20v4.1%20@%202.10.19.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Cycle1AFinal\BS060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assets.publishing.service.gov.uk/government/uploads/system/uploads/attachment_data/file/729237/Impact_of_the_schools_NFF%20%202019-20%20Mock%20Up.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School%20Funding\Cycle%205A-2013-14\Baseline%20data\302_Baselines_Oct12%20(Revised)%20(2)@5Dec1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ational%20Funding%20Formula%20-%202015-16%20base\NoLosersOptionsForNo10_Sept15\DualRun%202015-16%20SoftNFF%20Y15M07D30_100%25MFL_NoLosers.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henetapp01\efa2\Systems%20Academies\16-17%20Submissions\Aggregation%20(DQA%20USE%20ONLY)\02%20January%20Aggregation\Administration\Build\aggregated%20files\8_9-Commentary_Proforma.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FF%202016-17%20base\16-17%20aggregated%20proforma%20data\1-Schools%20block_20160308_10_0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wrk\apt%20auto\1516%20auto\files\APT_201516_v8.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Schools%20Services\Fair%20Funding\Cycle3A-2011-12\Provisionals\EReport1011%20@14FEB143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School%20Funding/Cycle%208%20-%202016-17%20RESTORED/DSG%20and%20Schools%20Budget%202016-17/Version%205%20workings/Budget%20Preparation%20V5%202016-17@14Jan16.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Schools%20Services\Fair%20Funding\Children%20in%20Need\Children%20in%20Need%200910\Funding%20Sheets\Children%20in%20Need%20funding%20@%2013%20O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etemp\Temporary%20Internet%20Files\OLK2E\pupil%20number%20tool_v0.1_1402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School%20Funding\Cycle%205A-2013-14\DSG%20and%20Schools%20Budget\Dedicated%20Schools%20Grant%202013-14%20reconciliation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Users\cinzana.khan\AppData\Local\Temp\Temp1_DecReport97%20V7.0%20@%2021Dec15%201500%20(20).zip\DecReport97%20V7.0%20@%2021Dec15%20150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sers\schristmas\AppData\Local\Microsoft\Windows\Temporary%20Internet%20Files\Content.Outlook\KMX4B70Z\2016%20to%202017%20SBUFs_v3.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ACAs\Modelling\ACAmodel_SWFC_aut13_Y15M02D1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FF_CSB\DataInput\ACAmodel_SWFC_aut13Method2_s251PrimSec_Y16M04D06.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School%20Funding/Cycle%207%20-%202015-16/EOY%20adjustments/Gold/Copy%20of%20EOYReport15-16%20V8.2%20@%2022Mar%20for%20web.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School%20Funding\Cycle%206A-2014-15\BudgetMonitoring\SEN\SEN%20Placements%201415%20Mth%2005%20LJB.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FF_CSB\CentralServicesBlock_V6.1_Deprivation_NoMinimum.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P:\Schools%20Services\Fair%20Funding\Cycle3A-2011-12\Provisionals\EReport1011%20@14FEB143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School%20Funding\Cycle%205A-2013-14\SummerAdjustments\Exclusions-%20Copy%20of%20For%20Carols%20Sept%2013%20Ad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chool%20Funding\Cycle%206A-2014-15\APT%202014-15\Jan2014%20APT\201415_APT_302_Barne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Cycle2B-2009-10\Original\Standards%20Funds\SSG%202008-11%20-%20SSG%20LA%20calculator%20@%203%20Mar.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School%20Funding\Cycle%206A-2014-15\SeptemberAdjustments\SReport@15Jul14%201215.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M:\IFLADiv\EFAU\Commissions\Funding%20Development%20&amp;%20Analysis%20Schools%20Block\National%20Funding%20Formula%20-%202015-16%20base\NFFtool_2015-16base_Y15M03D23.xlsm"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lbb2prnv1\Accountancy\Education%20Accountancy\S52\S251%202010-11%20Budget\Working%20Papers\SAP%20Download%20at%2024.02.201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S52%20budget%202003-04\2003%20Comparative%20Tables\Reserve%20Power\ReservePowersLEASpreadsheets\January%20Model\ResPowerLEASheetsv0.12_180103_withWholeTable.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Users\rwilliamson1\AppData\Local\Microsoft\Windows\Temporary%20Internet%20Files\Content.Outlook\COR5P5K2\Capital%20Allocations%20DFC%202014-15%20Macro%20v1.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Schools%20Services\Fair%20Funding\Cycle3A-2011-12\Provisionals\PTfunding%201112@17Feb1000.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Schools%20accountancy\Excluded%20Pupils\2010-11\Excluded%20Pupil%20Detail%202010%20-11.xls" TargetMode="External"/></Relationships>
</file>

<file path=xl/externalLinks/_rels/externalLink68.xml.rels><?xml version="1.0" encoding="UTF-8" standalone="yes"?>
<Relationships xmlns="http://schemas.openxmlformats.org/package/2006/relationships"><Relationship Id="rId2" Type="http://schemas.openxmlformats.org/officeDocument/2006/relationships/externalLinkPath" Target="file:///C:\Users\daniel.phelan\AppData\Local\Microsoft\Olk\Attachments\ooa-2e5f6dc9-c73a-4daf-8050-3d8dc22558a3\c1bd8d530630e0356a1c22d542d5ffcf61358cd64433af5d80d31792d6524544\School%20DATA%20%2024%2025.xlsx" TargetMode="External"/><Relationship Id="rId1" Type="http://schemas.openxmlformats.org/officeDocument/2006/relationships/externalLinkPath" Target="file:///C:\Users\daniel.phelan\AppData\Local\Microsoft\Olk\Attachments\ooa-2e5f6dc9-c73a-4daf-8050-3d8dc22558a3\c1bd8d530630e0356a1c22d542d5ffcf61358cd64433af5d80d31792d6524544\School%20DATA%20%2024%2025.xlsx"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file:///S:\Schools%20accountancy\Benchmarking\2023-24\School%20DATA%20%2023%2024%20-%20March%202024.xlsx" TargetMode="External"/><Relationship Id="rId1" Type="http://schemas.openxmlformats.org/officeDocument/2006/relationships/externalLinkPath" Target="/Schools%20accountancy/Benchmarking/2023-24/School%20DATA%20%2023%2024%20-%20March%20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chool%20Funding\Cycle%208%20-%202016-17%20RESTORED\APT\2016.17%20January%20APT\201617_P2_APT_302_Barnet%20Working%20vers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bbarnet.local\sharedareas\Accountancy\School%20Funding\Cycle%2012-2020-21\APT\Final%20APT\Upload\Copy%20of%20202021_P2_APT_302_BarnetV7-uploa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AR\2002\SWGE\SWGE2002_final_03-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 Summary "/>
      <sheetName val="Passporting Calculation Sheet"/>
      <sheetName val="Provisional Budget"/>
      <sheetName val="Adjustments"/>
      <sheetName val="Data Sheet"/>
      <sheetName val="Summaries"/>
      <sheetName val="2004-05 FINAL EIC"/>
      <sheetName val="2004-05 Provisiona EFSS FIGURES"/>
      <sheetName val="2004-05 Final EFSS Figures"/>
      <sheetName val="Running info"/>
      <sheetName val="Passporting 2004-05"/>
      <sheetName val="SB"/>
      <sheetName val="LSC"/>
      <sheetName val="SHORTNAMES"/>
      <sheetName val="Just Passporting"/>
      <sheetName val="Errors"/>
      <sheetName val="VendorNumbers"/>
      <sheetName val="LEA_Summary_"/>
      <sheetName val="Passporting_Calculation_Sheet"/>
      <sheetName val="Provisional_Budget"/>
      <sheetName val="Data_Sheet"/>
      <sheetName val="2004-05_FINAL_EIC"/>
      <sheetName val="2004-05_Provisiona_EFSS_FIGURES"/>
      <sheetName val="2004-05_Final_EFSS_Figures"/>
      <sheetName val="Running_info"/>
      <sheetName val="Passporting_2004-05"/>
      <sheetName val="Just_Passpor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details"/>
      <sheetName val="Data Sources"/>
      <sheetName val="New Under Five Assumptions"/>
      <sheetName val="Assumptions"/>
      <sheetName val="Inputs to Inputs!"/>
      <sheetName val="Inputs for SWGE Forecasting"/>
      <sheetName val="Calculation of Repricing Factor"/>
      <sheetName val="Statemented Adjustment Factor "/>
      <sheetName val="PRC Repricing Factor"/>
      <sheetName val="Nursery Forecasting"/>
      <sheetName val="Primary Forecasting"/>
      <sheetName val="Secondary Forecasting"/>
      <sheetName val="Special Forecasting"/>
      <sheetName val="FE for Adult Education Forecast"/>
      <sheetName val="Other Forecasting"/>
      <sheetName val="Transport Forecasting"/>
      <sheetName val="Final Summary of all Forecasts"/>
      <sheetName val="Split Under Fives PVI"/>
      <sheetName val="Under Fives PVI Split NEG"/>
      <sheetName val="SSG 2001-02"/>
      <sheetName val="TALL4"/>
      <sheetName val="EMA Split"/>
      <sheetName val="TALL4 SWGE"/>
      <sheetName val="Tallies Summary"/>
      <sheetName val="Summary of tallies summary"/>
      <sheetName val="Database info"/>
      <sheetName val="Grants 2001-02"/>
      <sheetName val="Project A "/>
      <sheetName val="File_details"/>
      <sheetName val="Data_Sources"/>
      <sheetName val="New_Under_Five_Assumptions"/>
      <sheetName val="Inputs_to_Inputs!"/>
      <sheetName val="Inputs_for_SWGE_Forecasting"/>
      <sheetName val="Calculation_of_Repricing_Factor"/>
      <sheetName val="Statemented_Adjustment_Factor_"/>
      <sheetName val="PRC_Repricing_Factor"/>
      <sheetName val="Nursery_Forecasting"/>
      <sheetName val="Primary_Forecasting"/>
      <sheetName val="Secondary_Forecasting"/>
      <sheetName val="Special_Forecasting"/>
      <sheetName val="FE_for_Adult_Education_Forecast"/>
      <sheetName val="Other_Forecasting"/>
      <sheetName val="Transport_Forecasting"/>
      <sheetName val="Final_Summary_of_all_Forecasts"/>
      <sheetName val="Split_Under_Fives_PVI"/>
      <sheetName val="Under_Fives_PVI_Split_NEG"/>
      <sheetName val="SSG_2001-02"/>
      <sheetName val="EMA_Split"/>
      <sheetName val="TALL4_SWGE"/>
      <sheetName val="Tallies_Summary"/>
      <sheetName val="Summary_of_tallies_summary"/>
      <sheetName val="Database_info"/>
      <sheetName val="Grants_2001-02"/>
      <sheetName val="Project_A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LES"/>
      <sheetName val="Dec0910Alloc"/>
      <sheetName val="Report"/>
      <sheetName val="1-2-1"/>
      <sheetName val="Grant1.2"/>
      <sheetName val="SDG"/>
      <sheetName val="Grant1.7"/>
      <sheetName val="Grant 1.8"/>
      <sheetName val="Grant 1.9"/>
      <sheetName val="News"/>
      <sheetName val="MarAuto10"/>
      <sheetName val="MarAutoPRU"/>
      <sheetName val="GrantPivot"/>
      <sheetName val="reportpiv"/>
      <sheetName val="Malloc910"/>
      <sheetName val="transactions"/>
      <sheetName val="Grant 1.7Detail"/>
      <sheetName val="AutoSept"/>
      <sheetName val="SSG(P)"/>
      <sheetName val="VendorNos"/>
      <sheetName val="Coding"/>
      <sheetName val="notes"/>
      <sheetName val="SDG Overall"/>
      <sheetName val="Auto May"/>
      <sheetName val="SDG devolve"/>
      <sheetName val="Octalloc0910"/>
      <sheetName val="Specialist"/>
      <sheetName val="Specialism"/>
      <sheetName val="Compare"/>
      <sheetName val="MYAlloc910"/>
      <sheetName val="ASTs"/>
      <sheetName val="EiC-BIP"/>
      <sheetName val="Grant 1.2"/>
      <sheetName val="EMAG"/>
      <sheetName val="121 Pri"/>
      <sheetName val="121 Sec"/>
      <sheetName val="Grant 1.6"/>
      <sheetName val="Grant 1.7"/>
      <sheetName val="Grant 1.7 EYS"/>
      <sheetName val="STP"/>
      <sheetName val="Grant1.8"/>
      <sheetName val="LPA"/>
      <sheetName val="CLT"/>
      <sheetName val="Harnessing"/>
      <sheetName val="Aim higher"/>
      <sheetName val="Travel"/>
      <sheetName val="DFC Revised"/>
      <sheetName val="SSG ALLOC"/>
      <sheetName val="DFC"/>
      <sheetName val="Grant 1.8Detail"/>
      <sheetName val="Loans"/>
      <sheetName val="GrantStrands"/>
      <sheetName val="Schools"/>
      <sheetName val="Ealloc89"/>
      <sheetName val="ESDG0809"/>
      <sheetName val="Oalloc910"/>
      <sheetName val="Prov SDG 0910"/>
      <sheetName val="AutoMaySSG"/>
      <sheetName val="DFC89"/>
      <sheetName val="CLT0809"/>
      <sheetName val="Grant1_2"/>
      <sheetName val="Grant1_7"/>
      <sheetName val="Grant_1_8"/>
      <sheetName val="Grant_1_9"/>
      <sheetName val="Grant_1_7Detail"/>
      <sheetName val="SDG_Overall"/>
      <sheetName val="Auto_May"/>
      <sheetName val="SDG_devolve"/>
      <sheetName val="Grant_1_2"/>
      <sheetName val="121_Pri"/>
      <sheetName val="121_Sec"/>
      <sheetName val="Grant_1_6"/>
      <sheetName val="Grant_1_7"/>
      <sheetName val="Grant_1_7_EYS"/>
      <sheetName val="Grant1_8"/>
      <sheetName val="Aim_higher"/>
      <sheetName val="DFC_Revised"/>
      <sheetName val="SSG_ALLOC"/>
      <sheetName val="Grant_1_8Detail"/>
      <sheetName val="Prov_SDG_09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1">
          <cell r="K1">
            <v>43758</v>
          </cell>
        </row>
        <row r="2">
          <cell r="I2">
            <v>130000</v>
          </cell>
        </row>
        <row r="3">
          <cell r="I3">
            <v>30000</v>
          </cell>
        </row>
        <row r="5">
          <cell r="I5">
            <v>215446</v>
          </cell>
          <cell r="K5">
            <v>39862</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K1">
            <v>43758</v>
          </cell>
        </row>
      </sheetData>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
      <sheetName val="Choose"/>
      <sheetName val="News"/>
      <sheetName val="Home"/>
      <sheetName val="DFCOriginal1819"/>
      <sheetName val="PEGrantOriginal11819"/>
      <sheetName val="1718OriginalFunding"/>
      <sheetName val="Home - BEYA"/>
      <sheetName val="Home - Brookhill Nursery"/>
      <sheetName val="Home - Hampden Way Nursery"/>
      <sheetName val="Home-St Margarets Nursery"/>
      <sheetName val="NNDR Calc Sheet"/>
      <sheetName val="EOY1718"/>
      <sheetName val="Payments"/>
      <sheetName val="Payments - BEYA"/>
      <sheetName val="Payments - Brookhill Nursery"/>
      <sheetName val="Payments - Hampden Way Nursery"/>
      <sheetName val="Payments - St Margarets Nursery"/>
      <sheetName val="CFR"/>
      <sheetName val="BudgetShare"/>
      <sheetName val="Grants"/>
      <sheetName val="PupilPremium"/>
      <sheetName val="TopUps"/>
      <sheetName val="Pupillist"/>
      <sheetName val="HighNeeds"/>
      <sheetName val="HNRates"/>
      <sheetName val="MFG"/>
      <sheetName val="Pupils"/>
      <sheetName val="OCT17Census"/>
      <sheetName val="AdjustedFactors1819"/>
      <sheetName val="NEWISB"/>
      <sheetName val="Rates"/>
      <sheetName val="1819Expansions.Growth18.12.17"/>
      <sheetName val="Sheet1"/>
      <sheetName val="Growth"/>
      <sheetName val="MthlyAcadPivot"/>
      <sheetName val="AdjustedFactors1718"/>
      <sheetName val="TopUpsTRANSlinesOriginal1718"/>
      <sheetName val="1718TRANS VALUE"/>
      <sheetName val="1718UIFSMOriginals"/>
      <sheetName val="1617TRANSFORMULA"/>
      <sheetName val="PupilPremiumfor1718Originals"/>
      <sheetName val="UIFSM1617Final.1718&amp;1819Prov"/>
      <sheetName val="1718UIFSMJulyActuals"/>
      <sheetName val="AprMthly"/>
      <sheetName val="SixthForm"/>
      <sheetName val="Schools"/>
      <sheetName val="Federations"/>
      <sheetName val="EYDataACTUALS1819"/>
      <sheetName val="Post16Actuals1819"/>
      <sheetName val="PayLookup"/>
      <sheetName val="EYDataOriginal1819"/>
      <sheetName val="SPR17 Revised EY Data"/>
      <sheetName val="EYPP&amp;SummerAdjustments"/>
      <sheetName val="Summer17EarlyYearsPivot"/>
      <sheetName val="EYPP&amp;AutumnAdjustments"/>
      <sheetName val="aUT DATA"/>
      <sheetName val="OCT16Census"/>
      <sheetName val="SUMA16 reporting calcs"/>
      <sheetName val="BEYA Early Years Summary"/>
      <sheetName val="Early Years - Brookhill Nursery"/>
      <sheetName val="EarlyYears"/>
      <sheetName val="Early Years-Hampden Way Nursery"/>
      <sheetName val="Early Years - St Margarets"/>
      <sheetName val="HNPlaceList"/>
      <sheetName val="EOYTRANS1617"/>
      <sheetName val="Compare"/>
      <sheetName val="CostCentres"/>
      <sheetName val="Autopivot"/>
      <sheetName val="Autopay1"/>
      <sheetName val="Autopay2"/>
      <sheetName val="Autopay3"/>
      <sheetName val="Autopay4"/>
      <sheetName val="Tabs"/>
      <sheetName val="Sheet2"/>
    </sheetNames>
    <sheetDataSet>
      <sheetData sheetId="0"/>
      <sheetData sheetId="1">
        <row r="6">
          <cell r="D6" t="str">
            <v>Please choose a school</v>
          </cell>
        </row>
      </sheetData>
      <sheetData sheetId="2"/>
      <sheetData sheetId="3">
        <row r="3">
          <cell r="B3" t="e">
            <v>#N/A</v>
          </cell>
        </row>
        <row r="16">
          <cell r="M16" t="str">
            <v>Version 5.0</v>
          </cell>
        </row>
        <row r="21">
          <cell r="T21" t="e">
            <v>#N/A</v>
          </cell>
        </row>
      </sheetData>
      <sheetData sheetId="4"/>
      <sheetData sheetId="5"/>
      <sheetData sheetId="6"/>
      <sheetData sheetId="7"/>
      <sheetData sheetId="8"/>
      <sheetData sheetId="9"/>
      <sheetData sheetId="10"/>
      <sheetData sheetId="11"/>
      <sheetData sheetId="12"/>
      <sheetData sheetId="13">
        <row r="29">
          <cell r="I29" t="e">
            <v>#N/A</v>
          </cell>
        </row>
      </sheetData>
      <sheetData sheetId="14"/>
      <sheetData sheetId="15"/>
      <sheetData sheetId="16"/>
      <sheetData sheetId="17"/>
      <sheetData sheetId="18"/>
      <sheetData sheetId="19">
        <row r="29">
          <cell r="G29" t="e">
            <v>#N/A</v>
          </cell>
        </row>
      </sheetData>
      <sheetData sheetId="20"/>
      <sheetData sheetId="21"/>
      <sheetData sheetId="22"/>
      <sheetData sheetId="23"/>
      <sheetData sheetId="24"/>
      <sheetData sheetId="25"/>
      <sheetData sheetId="26">
        <row r="23">
          <cell r="F23" t="e">
            <v>#N/A</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23">
          <cell r="T23" t="e">
            <v>#N/A</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
      <sheetName val="LEA profile"/>
      <sheetName val="02-03 UCs"/>
      <sheetName val="02-03 historic data"/>
      <sheetName val="02-03 actual ssa"/>
      <sheetName val="02-03 adj. baseline"/>
      <sheetName val="02-03-04 Pupil # by LEA profile"/>
      <sheetName val="03-04 HCP pupils"/>
      <sheetName val="03-04 Pupil nos"/>
      <sheetName val="03-04 LEA pupils"/>
      <sheetName val="03-04 Y&amp;C popn"/>
      <sheetName val="03-04 Sparsity"/>
      <sheetName val="03-04 ACA"/>
      <sheetName val="03-04 Raw AEN data"/>
      <sheetName val="03-04 AEN FSM adj &amp; wgts"/>
      <sheetName val="03-04 AEN indices"/>
      <sheetName val="03-04 Control totals"/>
      <sheetName val="03-04 Pensions transfer"/>
      <sheetName val="03-04 Unit costs"/>
      <sheetName val="03-04 Main calcs"/>
      <sheetName val="03-04 summary-predamping  "/>
      <sheetName val="03-04 predamped breakdown"/>
      <sheetName val="03-04 damping"/>
      <sheetName val="03-04 summary-postdamping "/>
      <sheetName val="03-04 LEA damping breakdown"/>
      <sheetName val="03-04 post damping breakdown"/>
      <sheetName val="Comparison 03-04 vs 02-03"/>
      <sheetName val="Time series comparisons"/>
      <sheetName val="Comp.chart"/>
      <sheetName val="03-04 alternative presentation"/>
      <sheetName val="Forecasts"/>
      <sheetName val="Final settlement rounding"/>
      <sheetName val="Parameters"/>
      <sheetName val="Data sources"/>
      <sheetName val="V2-03-04 predamped breakdown "/>
      <sheetName val="Info_sheet"/>
      <sheetName val="LEA_profile"/>
      <sheetName val="02-03_UCs"/>
      <sheetName val="02-03_historic_data"/>
      <sheetName val="02-03_actual_ssa"/>
      <sheetName val="02-03_adj__baseline"/>
      <sheetName val="02-03-04_Pupil_#_by_LEA_profile"/>
      <sheetName val="03-04_HCP_pupils"/>
      <sheetName val="03-04_Pupil_nos"/>
      <sheetName val="03-04_LEA_pupils"/>
      <sheetName val="03-04_Y&amp;C_popn"/>
      <sheetName val="03-04_Sparsity"/>
      <sheetName val="03-04_ACA"/>
      <sheetName val="03-04_Raw_AEN_data"/>
      <sheetName val="03-04_AEN_FSM_adj_&amp;_wgts"/>
      <sheetName val="03-04_AEN_indices"/>
      <sheetName val="03-04_Control_totals"/>
      <sheetName val="03-04_Pensions_transfer"/>
      <sheetName val="03-04_Unit_costs"/>
      <sheetName val="03-04_Main_calcs"/>
      <sheetName val="03-04_summary-predamping__"/>
      <sheetName val="03-04_predamped_breakdown"/>
      <sheetName val="03-04_damping"/>
      <sheetName val="03-04_summary-postdamping_"/>
      <sheetName val="03-04_LEA_damping_breakdown"/>
      <sheetName val="03-04_post_damping_breakdown"/>
      <sheetName val="Comparison_03-04_vs_02-03"/>
      <sheetName val="Time_series_comparisons"/>
      <sheetName val="Comp_chart"/>
      <sheetName val="03-04_alternative_presentation"/>
      <sheetName val="Final_settlement_rounding"/>
      <sheetName val="Data_sources"/>
      <sheetName val="V2-03-04_predamped_breakdown_"/>
      <sheetName val="Info_sheet1"/>
      <sheetName val="LEA_profile1"/>
      <sheetName val="02-03_UCs1"/>
      <sheetName val="02-03_historic_data1"/>
      <sheetName val="02-03_actual_ssa1"/>
      <sheetName val="02-03_adj__baseline1"/>
      <sheetName val="02-03-04_Pupil_#_by_LEA_profil1"/>
      <sheetName val="03-04_HCP_pupils1"/>
      <sheetName val="03-04_Pupil_nos1"/>
      <sheetName val="03-04_LEA_pupils1"/>
      <sheetName val="03-04_Y&amp;C_popn1"/>
      <sheetName val="03-04_Sparsity1"/>
      <sheetName val="03-04_ACA1"/>
      <sheetName val="03-04_Raw_AEN_data1"/>
      <sheetName val="03-04_AEN_FSM_adj_&amp;_wgts1"/>
      <sheetName val="03-04_AEN_indices1"/>
      <sheetName val="03-04_Control_totals1"/>
      <sheetName val="03-04_Pensions_transfer1"/>
      <sheetName val="03-04_Unit_costs1"/>
      <sheetName val="03-04_Main_calcs1"/>
      <sheetName val="03-04_summary-predamping__1"/>
      <sheetName val="03-04_predamped_breakdown1"/>
      <sheetName val="03-04_damping1"/>
      <sheetName val="03-04_summary-postdamping_1"/>
      <sheetName val="03-04_LEA_damping_breakdown1"/>
      <sheetName val="03-04_post_damping_breakdown1"/>
      <sheetName val="Comparison_03-04_vs_02-031"/>
      <sheetName val="Time_series_comparisons1"/>
      <sheetName val="Comp_chart1"/>
      <sheetName val="03-04_alternative_presentation1"/>
      <sheetName val="Final_settlement_rounding1"/>
      <sheetName val="Data_sources1"/>
      <sheetName val="V2-03-04_predamped_breakdown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4">
          <cell r="E4">
            <v>3.5</v>
          </cell>
          <cell r="G4">
            <v>3.5</v>
          </cell>
        </row>
      </sheetData>
      <sheetData sheetId="12" refreshError="1"/>
      <sheetData sheetId="13" refreshError="1"/>
      <sheetData sheetId="14" refreshError="1"/>
      <sheetData sheetId="15" refreshError="1"/>
      <sheetData sheetId="16" refreshError="1"/>
      <sheetData sheetId="17" refreshError="1"/>
      <sheetData sheetId="18" refreshError="1">
        <row r="7">
          <cell r="D7">
            <v>1.0349999999999999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ow r="4">
          <cell r="E4">
            <v>3.5</v>
          </cell>
        </row>
      </sheetData>
      <sheetData sheetId="47"/>
      <sheetData sheetId="48"/>
      <sheetData sheetId="49"/>
      <sheetData sheetId="50"/>
      <sheetData sheetId="51"/>
      <sheetData sheetId="52"/>
      <sheetData sheetId="53">
        <row r="7">
          <cell r="D7">
            <v>1.0349999999999999</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4">
          <cell r="E4">
            <v>3.5</v>
          </cell>
        </row>
      </sheetData>
      <sheetData sheetId="80"/>
      <sheetData sheetId="81"/>
      <sheetData sheetId="82"/>
      <sheetData sheetId="83"/>
      <sheetData sheetId="84"/>
      <sheetData sheetId="85"/>
      <sheetData sheetId="86">
        <row r="7">
          <cell r="D7">
            <v>1.0349999999999999</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details"/>
      <sheetName val="Table3"/>
      <sheetName val="T3 Comparison with last year"/>
      <sheetName val="Fudges"/>
      <sheetName val="Summary of Expenditure"/>
      <sheetName val="Summary of Checks"/>
      <sheetName val="Nursery"/>
      <sheetName val="Primary"/>
      <sheetName val="Secondary"/>
      <sheetName val="Special"/>
      <sheetName val="Pupil Support"/>
      <sheetName val="Ind. School Fees"/>
      <sheetName val="Teacher Dev."/>
      <sheetName val="Meals and Milk (Other Schools)"/>
      <sheetName val="Schools Transport"/>
      <sheetName val="Other Support Services"/>
      <sheetName val="Other Schools Summary"/>
      <sheetName val="Adult Education"/>
      <sheetName val="Youth Service"/>
      <sheetName val="Discretionary Awards"/>
      <sheetName val="Other Transport"/>
      <sheetName val="Other FE Sector Summary"/>
      <sheetName val="Central Administartion"/>
      <sheetName val="Other Community Services"/>
      <sheetName val="Other Education Sector Summary"/>
      <sheetName val="PRC"/>
      <sheetName val="Removing Milk"/>
      <sheetName val="Split Under Fives from Primary"/>
      <sheetName val="Split Under Fives PVI"/>
      <sheetName val="NEG for PVI Split"/>
      <sheetName val="EMA Split"/>
      <sheetName val="TALL3"/>
      <sheetName val="TALL8"/>
      <sheetName val="Proportions"/>
      <sheetName val="Tallies Summary"/>
      <sheetName val="File_details"/>
      <sheetName val="T3_Comparison_with_last_year"/>
      <sheetName val="Summary_of_Expenditure"/>
      <sheetName val="Summary_of_Checks"/>
      <sheetName val="Pupil_Support"/>
      <sheetName val="Ind__School_Fees"/>
      <sheetName val="Teacher_Dev_"/>
      <sheetName val="Meals_and_Milk_(Other_Schools)"/>
      <sheetName val="Schools_Transport"/>
      <sheetName val="Other_Support_Services"/>
      <sheetName val="Other_Schools_Summary"/>
      <sheetName val="Adult_Education"/>
      <sheetName val="Youth_Service"/>
      <sheetName val="Discretionary_Awards"/>
      <sheetName val="Other_Transport"/>
      <sheetName val="Other_FE_Sector_Summary"/>
      <sheetName val="Central_Administartion"/>
      <sheetName val="Other_Community_Services"/>
      <sheetName val="Other_Education_Sector_Summary"/>
      <sheetName val="Removing_Milk"/>
      <sheetName val="Split_Under_Fives_from_Primary"/>
      <sheetName val="Split_Under_Fives_PVI"/>
      <sheetName val="NEG_for_PVI_Split"/>
      <sheetName val="EMA_Split"/>
      <sheetName val="Tallies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ver"/>
      <sheetName val="B) 12-13 Baselines"/>
      <sheetName val="C) Factors"/>
      <sheetName val="D) New ISB"/>
      <sheetName val="E) Local Factors"/>
      <sheetName val="F) New Delegation Control"/>
      <sheetName val="G) De Delegation"/>
      <sheetName val="Look Up"/>
      <sheetName val="H) Commentary"/>
      <sheetName val="I) Proforma"/>
      <sheetName val="New delegation by school"/>
      <sheetName val="ISB summary by school"/>
      <sheetName val="Adjusted Factors"/>
      <sheetName val="A)_Cover"/>
      <sheetName val="B)_12-13_Baselines"/>
      <sheetName val="C)_Factors"/>
      <sheetName val="D)_New_ISB"/>
      <sheetName val="E)_Local_Factors"/>
      <sheetName val="F)_New_Delegation_Control"/>
      <sheetName val="G)_De_Delegation"/>
      <sheetName val="Look_Up"/>
      <sheetName val="H)_Commentary"/>
      <sheetName val="I)_Proforma"/>
      <sheetName val="New_delegation_by_school"/>
      <sheetName val="ISB_summary_by_school"/>
      <sheetName val="Adjusted_Factors"/>
    </sheetNames>
    <sheetDataSet>
      <sheetData sheetId="0"/>
      <sheetData sheetId="1">
        <row r="4">
          <cell r="A4">
            <v>101257</v>
          </cell>
        </row>
      </sheetData>
      <sheetData sheetId="2">
        <row r="4">
          <cell r="F4">
            <v>1</v>
          </cell>
        </row>
      </sheetData>
      <sheetData sheetId="3"/>
      <sheetData sheetId="4">
        <row r="4">
          <cell r="E4">
            <v>0</v>
          </cell>
        </row>
      </sheetData>
      <sheetData sheetId="5"/>
      <sheetData sheetId="6"/>
      <sheetData sheetId="7"/>
      <sheetData sheetId="8"/>
      <sheetData sheetId="9">
        <row r="59">
          <cell r="C59">
            <v>1.4999999999999999E-2</v>
          </cell>
        </row>
      </sheetData>
      <sheetData sheetId="10"/>
      <sheetData sheetId="11"/>
      <sheetData sheetId="12">
        <row r="4">
          <cell r="D4">
            <v>374</v>
          </cell>
        </row>
      </sheetData>
      <sheetData sheetId="13"/>
      <sheetData sheetId="14">
        <row r="4">
          <cell r="A4">
            <v>101257</v>
          </cell>
        </row>
      </sheetData>
      <sheetData sheetId="15">
        <row r="4">
          <cell r="F4">
            <v>1</v>
          </cell>
        </row>
      </sheetData>
      <sheetData sheetId="16"/>
      <sheetData sheetId="17">
        <row r="4">
          <cell r="E4">
            <v>0</v>
          </cell>
        </row>
      </sheetData>
      <sheetData sheetId="18"/>
      <sheetData sheetId="19"/>
      <sheetData sheetId="20"/>
      <sheetData sheetId="21"/>
      <sheetData sheetId="22">
        <row r="59">
          <cell r="C59">
            <v>1.4999999999999999E-2</v>
          </cell>
        </row>
      </sheetData>
      <sheetData sheetId="23"/>
      <sheetData sheetId="24"/>
      <sheetData sheetId="25">
        <row r="4">
          <cell r="D4">
            <v>374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Input Data"/>
      <sheetName val="12-13 LA Table"/>
      <sheetName val="12-13 Table 4"/>
      <sheetName val="12-13 Baselines"/>
      <sheetName val="Local Factors"/>
      <sheetName val="Factors"/>
      <sheetName val="New Delegation Control"/>
      <sheetName val="Control Sheet"/>
      <sheetName val="New ISB"/>
      <sheetName val="De Delegation"/>
      <sheetName val="Summary Data"/>
      <sheetName val="Pro Forma"/>
      <sheetName val="Pro Forma Commentary"/>
      <sheetName val="Look Up"/>
      <sheetName val="Chart_Data"/>
      <sheetName val="References"/>
      <sheetName val="YearGroups prov"/>
      <sheetName val="Version_Control"/>
      <sheetName val="Input_Data"/>
      <sheetName val="12-13_LA_Table"/>
      <sheetName val="12-13_Table_4"/>
      <sheetName val="12-13_Baselines"/>
      <sheetName val="Local_Factors"/>
      <sheetName val="New_Delegation_Control"/>
      <sheetName val="Control_Sheet"/>
      <sheetName val="New_ISB"/>
      <sheetName val="De_Delegation"/>
      <sheetName val="Summary_Data"/>
      <sheetName val="Pro_Forma"/>
      <sheetName val="Pro_Forma_Commentary"/>
      <sheetName val="Look_Up"/>
      <sheetName val="YearGroups_prov"/>
    </sheetNames>
    <sheetDataSet>
      <sheetData sheetId="0"/>
      <sheetData sheetId="1"/>
      <sheetData sheetId="2"/>
      <sheetData sheetId="3"/>
      <sheetData sheetId="4"/>
      <sheetData sheetId="5">
        <row r="1">
          <cell r="K1" t="str">
            <v>12-13 Adjusted SBS</v>
          </cell>
        </row>
      </sheetData>
      <sheetData sheetId="6">
        <row r="1">
          <cell r="A1" t="str">
            <v>URN</v>
          </cell>
        </row>
      </sheetData>
      <sheetData sheetId="7">
        <row r="2">
          <cell r="A2" t="str">
            <v>URN</v>
          </cell>
        </row>
        <row r="3">
          <cell r="A3">
            <v>3022000</v>
          </cell>
        </row>
        <row r="4">
          <cell r="A4">
            <v>3022002</v>
          </cell>
        </row>
        <row r="5">
          <cell r="A5">
            <v>3022003</v>
          </cell>
        </row>
        <row r="6">
          <cell r="A6">
            <v>3022007</v>
          </cell>
        </row>
        <row r="7">
          <cell r="A7">
            <v>3022008</v>
          </cell>
        </row>
        <row r="8">
          <cell r="A8">
            <v>3022009</v>
          </cell>
        </row>
        <row r="9">
          <cell r="A9">
            <v>3022010</v>
          </cell>
        </row>
        <row r="10">
          <cell r="A10">
            <v>3022011</v>
          </cell>
        </row>
        <row r="11">
          <cell r="A11">
            <v>3022014</v>
          </cell>
        </row>
        <row r="12">
          <cell r="A12">
            <v>3022015</v>
          </cell>
        </row>
        <row r="13">
          <cell r="A13">
            <v>3022016</v>
          </cell>
        </row>
        <row r="14">
          <cell r="A14">
            <v>3022017</v>
          </cell>
        </row>
        <row r="15">
          <cell r="A15">
            <v>3022018</v>
          </cell>
        </row>
        <row r="16">
          <cell r="A16">
            <v>3022019</v>
          </cell>
        </row>
        <row r="17">
          <cell r="A17">
            <v>3022021</v>
          </cell>
        </row>
        <row r="18">
          <cell r="A18">
            <v>3022022</v>
          </cell>
        </row>
        <row r="19">
          <cell r="A19">
            <v>3022023</v>
          </cell>
        </row>
        <row r="20">
          <cell r="A20">
            <v>3022024</v>
          </cell>
        </row>
        <row r="21">
          <cell r="A21">
            <v>3022025</v>
          </cell>
        </row>
        <row r="22">
          <cell r="A22">
            <v>3022026</v>
          </cell>
        </row>
        <row r="23">
          <cell r="A23">
            <v>3022027</v>
          </cell>
        </row>
        <row r="24">
          <cell r="A24">
            <v>3022028</v>
          </cell>
        </row>
        <row r="25">
          <cell r="A25">
            <v>3022029</v>
          </cell>
        </row>
        <row r="26">
          <cell r="A26">
            <v>3022030</v>
          </cell>
        </row>
        <row r="27">
          <cell r="A27">
            <v>3022031</v>
          </cell>
        </row>
        <row r="28">
          <cell r="A28">
            <v>3022032</v>
          </cell>
        </row>
        <row r="29">
          <cell r="A29">
            <v>3022036</v>
          </cell>
        </row>
        <row r="30">
          <cell r="A30">
            <v>3022037</v>
          </cell>
        </row>
        <row r="31">
          <cell r="A31">
            <v>3022042</v>
          </cell>
        </row>
        <row r="32">
          <cell r="A32">
            <v>3022043</v>
          </cell>
        </row>
        <row r="33">
          <cell r="A33">
            <v>3022044</v>
          </cell>
        </row>
        <row r="34">
          <cell r="A34">
            <v>3022045</v>
          </cell>
        </row>
        <row r="35">
          <cell r="A35">
            <v>3022052</v>
          </cell>
        </row>
        <row r="36">
          <cell r="A36">
            <v>3022054</v>
          </cell>
        </row>
        <row r="37">
          <cell r="A37">
            <v>3022055</v>
          </cell>
        </row>
        <row r="38">
          <cell r="A38">
            <v>3022056</v>
          </cell>
        </row>
        <row r="39">
          <cell r="A39">
            <v>3022057</v>
          </cell>
        </row>
        <row r="40">
          <cell r="A40">
            <v>3022060</v>
          </cell>
        </row>
        <row r="41">
          <cell r="A41">
            <v>3022067</v>
          </cell>
        </row>
        <row r="42">
          <cell r="A42">
            <v>3022070</v>
          </cell>
        </row>
        <row r="43">
          <cell r="A43">
            <v>3022071</v>
          </cell>
        </row>
        <row r="44">
          <cell r="A44">
            <v>3022072</v>
          </cell>
        </row>
        <row r="45">
          <cell r="A45">
            <v>3022073</v>
          </cell>
        </row>
        <row r="46">
          <cell r="A46">
            <v>3022074</v>
          </cell>
        </row>
        <row r="47">
          <cell r="A47">
            <v>3022076</v>
          </cell>
        </row>
        <row r="48">
          <cell r="A48">
            <v>3022077</v>
          </cell>
        </row>
        <row r="49">
          <cell r="A49">
            <v>3022078</v>
          </cell>
        </row>
        <row r="50">
          <cell r="A50">
            <v>3022079</v>
          </cell>
        </row>
        <row r="51">
          <cell r="A51">
            <v>3023300</v>
          </cell>
        </row>
        <row r="52">
          <cell r="A52">
            <v>3023302</v>
          </cell>
        </row>
        <row r="53">
          <cell r="A53">
            <v>3023304</v>
          </cell>
        </row>
        <row r="54">
          <cell r="A54">
            <v>3023305</v>
          </cell>
        </row>
        <row r="55">
          <cell r="A55">
            <v>3023307</v>
          </cell>
        </row>
        <row r="56">
          <cell r="A56">
            <v>3023309</v>
          </cell>
        </row>
        <row r="57">
          <cell r="A57">
            <v>3023311</v>
          </cell>
        </row>
        <row r="58">
          <cell r="A58">
            <v>3023312</v>
          </cell>
        </row>
        <row r="59">
          <cell r="A59">
            <v>3023313</v>
          </cell>
        </row>
        <row r="60">
          <cell r="A60">
            <v>3023314</v>
          </cell>
        </row>
        <row r="61">
          <cell r="A61">
            <v>3023315</v>
          </cell>
        </row>
        <row r="62">
          <cell r="A62">
            <v>3023316</v>
          </cell>
        </row>
        <row r="63">
          <cell r="A63">
            <v>3023317</v>
          </cell>
        </row>
        <row r="64">
          <cell r="A64">
            <v>3023500</v>
          </cell>
        </row>
        <row r="65">
          <cell r="A65">
            <v>3023501</v>
          </cell>
        </row>
        <row r="66">
          <cell r="A66">
            <v>3023502</v>
          </cell>
        </row>
        <row r="67">
          <cell r="A67">
            <v>3023504</v>
          </cell>
        </row>
        <row r="68">
          <cell r="A68">
            <v>3023506</v>
          </cell>
        </row>
        <row r="69">
          <cell r="A69">
            <v>3023507</v>
          </cell>
        </row>
        <row r="70">
          <cell r="A70">
            <v>3023508</v>
          </cell>
        </row>
        <row r="71">
          <cell r="A71">
            <v>3023509</v>
          </cell>
        </row>
        <row r="72">
          <cell r="A72">
            <v>3023510</v>
          </cell>
        </row>
        <row r="73">
          <cell r="A73">
            <v>3023511</v>
          </cell>
        </row>
        <row r="74">
          <cell r="A74">
            <v>3023512</v>
          </cell>
        </row>
        <row r="75">
          <cell r="A75">
            <v>3023513</v>
          </cell>
        </row>
        <row r="76">
          <cell r="A76">
            <v>3023514</v>
          </cell>
        </row>
        <row r="77">
          <cell r="A77">
            <v>3023515</v>
          </cell>
        </row>
        <row r="78">
          <cell r="A78">
            <v>3023516</v>
          </cell>
        </row>
        <row r="79">
          <cell r="A79">
            <v>3023518</v>
          </cell>
        </row>
        <row r="80">
          <cell r="A80">
            <v>3023519</v>
          </cell>
        </row>
        <row r="81">
          <cell r="A81">
            <v>3023520</v>
          </cell>
        </row>
        <row r="82">
          <cell r="A82">
            <v>3023521</v>
          </cell>
        </row>
        <row r="83">
          <cell r="A83">
            <v>3023522</v>
          </cell>
        </row>
        <row r="84">
          <cell r="A84">
            <v>3023523</v>
          </cell>
        </row>
        <row r="85">
          <cell r="A85">
            <v>3023524</v>
          </cell>
        </row>
        <row r="86">
          <cell r="A86">
            <v>3025200</v>
          </cell>
        </row>
        <row r="87">
          <cell r="A87">
            <v>3025201</v>
          </cell>
        </row>
        <row r="88">
          <cell r="A88">
            <v>3025948</v>
          </cell>
        </row>
        <row r="89">
          <cell r="A89">
            <v>3025949</v>
          </cell>
        </row>
        <row r="90">
          <cell r="A90">
            <v>3024003</v>
          </cell>
        </row>
        <row r="91">
          <cell r="A91">
            <v>3024009</v>
          </cell>
        </row>
        <row r="92">
          <cell r="A92">
            <v>3024012</v>
          </cell>
        </row>
        <row r="93">
          <cell r="A93">
            <v>3024208</v>
          </cell>
        </row>
        <row r="94">
          <cell r="A94">
            <v>3024210</v>
          </cell>
        </row>
        <row r="95">
          <cell r="A95">
            <v>3024211</v>
          </cell>
        </row>
        <row r="96">
          <cell r="A96">
            <v>3024212</v>
          </cell>
        </row>
        <row r="97">
          <cell r="A97">
            <v>3024215</v>
          </cell>
        </row>
        <row r="98">
          <cell r="A98">
            <v>3024752</v>
          </cell>
        </row>
        <row r="99">
          <cell r="A99">
            <v>3025400</v>
          </cell>
        </row>
        <row r="100">
          <cell r="A100">
            <v>3025401</v>
          </cell>
        </row>
        <row r="101">
          <cell r="A101">
            <v>3025402</v>
          </cell>
        </row>
        <row r="102">
          <cell r="A102">
            <v>3025403</v>
          </cell>
        </row>
        <row r="103">
          <cell r="A103">
            <v>3025404</v>
          </cell>
        </row>
        <row r="104">
          <cell r="A104">
            <v>3025405</v>
          </cell>
        </row>
        <row r="105">
          <cell r="A105">
            <v>3025406</v>
          </cell>
        </row>
        <row r="106">
          <cell r="A106">
            <v>3025407</v>
          </cell>
        </row>
        <row r="107">
          <cell r="A107">
            <v>3025408</v>
          </cell>
        </row>
        <row r="108">
          <cell r="A108">
            <v>3025409</v>
          </cell>
        </row>
        <row r="109">
          <cell r="A109">
            <v>3025427</v>
          </cell>
        </row>
      </sheetData>
      <sheetData sheetId="8"/>
      <sheetData sheetId="9">
        <row r="4">
          <cell r="K4">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K1" t="str">
            <v>12-13 Adjusted SBS</v>
          </cell>
        </row>
      </sheetData>
      <sheetData sheetId="24">
        <row r="1">
          <cell r="A1" t="str">
            <v>URN</v>
          </cell>
        </row>
      </sheetData>
      <sheetData sheetId="25"/>
      <sheetData sheetId="26">
        <row r="4">
          <cell r="K4">
            <v>1</v>
          </cell>
        </row>
      </sheetData>
      <sheetData sheetId="27"/>
      <sheetData sheetId="28"/>
      <sheetData sheetId="29"/>
      <sheetData sheetId="30"/>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Overview"/>
      <sheetName val="Guidance"/>
      <sheetName val="Classifications"/>
      <sheetName val="A"/>
      <sheetName val="B1"/>
      <sheetName val="B2"/>
      <sheetName val="Submit"/>
      <sheetName val="Members"/>
      <sheetName val="data"/>
    </sheetNames>
    <sheetDataSet>
      <sheetData sheetId="0"/>
      <sheetData sheetId="1"/>
      <sheetData sheetId="2"/>
      <sheetData sheetId="3" refreshError="1">
        <row r="19">
          <cell r="O19" t="str">
            <v>..</v>
          </cell>
        </row>
        <row r="20">
          <cell r="O20" t="str">
            <v>..</v>
          </cell>
        </row>
        <row r="21">
          <cell r="O21" t="str">
            <v>..</v>
          </cell>
        </row>
        <row r="22">
          <cell r="O22" t="str">
            <v>..</v>
          </cell>
        </row>
        <row r="26">
          <cell r="O26" t="str">
            <v>..</v>
          </cell>
        </row>
        <row r="30">
          <cell r="O30" t="str">
            <v>..</v>
          </cell>
        </row>
        <row r="31">
          <cell r="O31" t="str">
            <v>..</v>
          </cell>
        </row>
        <row r="35">
          <cell r="O35" t="str">
            <v>..</v>
          </cell>
        </row>
        <row r="36">
          <cell r="O36" t="str">
            <v>..</v>
          </cell>
        </row>
        <row r="37">
          <cell r="O37" t="str">
            <v>..</v>
          </cell>
        </row>
        <row r="38">
          <cell r="O38" t="str">
            <v>..</v>
          </cell>
        </row>
      </sheetData>
      <sheetData sheetId="4"/>
      <sheetData sheetId="5"/>
      <sheetData sheetId="6"/>
      <sheetData sheetId="7" refreshError="1">
        <row r="18">
          <cell r="F18" t="str">
            <v>Barnet</v>
          </cell>
        </row>
        <row r="39">
          <cell r="D39" t="str">
            <v>{ Select }</v>
          </cell>
        </row>
        <row r="40">
          <cell r="D40">
            <v>0</v>
          </cell>
        </row>
        <row r="41">
          <cell r="D41">
            <v>1</v>
          </cell>
        </row>
        <row r="42">
          <cell r="D42">
            <v>2</v>
          </cell>
        </row>
        <row r="43">
          <cell r="D43">
            <v>3</v>
          </cell>
        </row>
        <row r="44">
          <cell r="D44">
            <v>4</v>
          </cell>
        </row>
        <row r="45">
          <cell r="D45">
            <v>5</v>
          </cell>
        </row>
        <row r="46">
          <cell r="D46">
            <v>6</v>
          </cell>
        </row>
        <row r="47">
          <cell r="D47">
            <v>7</v>
          </cell>
        </row>
        <row r="50">
          <cell r="D50" t="str">
            <v>{ Select }</v>
          </cell>
        </row>
        <row r="51">
          <cell r="D51">
            <v>38</v>
          </cell>
        </row>
        <row r="52">
          <cell r="D52">
            <v>52</v>
          </cell>
        </row>
        <row r="53">
          <cell r="D53" t="str">
            <v>Other (Overwrite)</v>
          </cell>
        </row>
        <row r="56">
          <cell r="D56" t="str">
            <v>{ Select }</v>
          </cell>
        </row>
        <row r="57">
          <cell r="D57" t="str">
            <v>SpLD</v>
          </cell>
        </row>
        <row r="58">
          <cell r="D58" t="str">
            <v>MLD</v>
          </cell>
        </row>
        <row r="59">
          <cell r="D59" t="str">
            <v>SLD</v>
          </cell>
        </row>
        <row r="60">
          <cell r="D60" t="str">
            <v>PMLD</v>
          </cell>
        </row>
        <row r="61">
          <cell r="D61" t="str">
            <v>BESD</v>
          </cell>
        </row>
        <row r="62">
          <cell r="D62" t="str">
            <v>SLCN</v>
          </cell>
        </row>
        <row r="63">
          <cell r="D63" t="str">
            <v>ASD</v>
          </cell>
        </row>
        <row r="64">
          <cell r="D64" t="str">
            <v>VI</v>
          </cell>
        </row>
        <row r="65">
          <cell r="D65" t="str">
            <v>HI</v>
          </cell>
        </row>
        <row r="66">
          <cell r="D66" t="str">
            <v>MSI</v>
          </cell>
        </row>
        <row r="67">
          <cell r="D67" t="str">
            <v>PD</v>
          </cell>
        </row>
        <row r="68">
          <cell r="D68" t="str">
            <v>Other</v>
          </cell>
        </row>
        <row r="69">
          <cell r="D69" t="str">
            <v>Unknown</v>
          </cell>
        </row>
        <row r="72">
          <cell r="D72" t="str">
            <v>{ Select }</v>
          </cell>
        </row>
        <row r="73">
          <cell r="D73" t="str">
            <v>Male</v>
          </cell>
        </row>
        <row r="74">
          <cell r="D74" t="str">
            <v>Female</v>
          </cell>
        </row>
        <row r="89">
          <cell r="F89" t="str">
            <v>Special Educational Needs</v>
          </cell>
        </row>
      </sheetData>
      <sheetData sheetId="8"/>
      <sheetData sheetId="9" refreshError="1">
        <row r="2">
          <cell r="B2">
            <v>2013</v>
          </cell>
        </row>
        <row r="3">
          <cell r="B3" t="str">
            <v>11th October</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rol Total"/>
      <sheetName val="Forward plan"/>
      <sheetName val="Control 2010-11"/>
      <sheetName val="Post Budget Headlines"/>
      <sheetName val="Service Summary - Appendix B"/>
      <sheetName val="CTax Summary"/>
      <sheetName val="Adults Fwd Plan"/>
      <sheetName val="Adults Fwd Plan (cld)"/>
      <sheetName val="Adults Combined"/>
      <sheetName val="Adults Detail"/>
      <sheetName val="Adults Subjective"/>
      <sheetName val="CentExp Fwd Plan"/>
      <sheetName val="CentExp Comb New"/>
      <sheetName val="CentExp Combined"/>
      <sheetName val="CentExp Detail"/>
      <sheetName val="CentExp Subjective"/>
      <sheetName val="CentExp Levies"/>
      <sheetName val="CE &amp; Strategy Fwd Plan"/>
      <sheetName val="Chief Exes Fwd Plan"/>
      <sheetName val="Children Fwd Plan"/>
      <sheetName val="CE Combined"/>
      <sheetName val="CE detail"/>
      <sheetName val="CE subjective"/>
      <sheetName val="Children Fwd Plan (cld)"/>
      <sheetName val="Corp Governance Fwd Plan"/>
      <sheetName val="Childrens Detail"/>
      <sheetName val="Childrens Subjective"/>
      <sheetName val="Commerical Services (cld)"/>
      <sheetName val="Commercial Combined"/>
      <sheetName val="Commercial Detail"/>
      <sheetName val="Commercial subjective"/>
      <sheetName val="Corp Governance Fwd Plan (cld)"/>
      <sheetName val="E&amp;O Fwd Plan"/>
      <sheetName val="Special Parking Account"/>
      <sheetName val="HRA FWD Plan"/>
      <sheetName val="Corp Gov Combined"/>
      <sheetName val="Corp Gov detail"/>
      <sheetName val="Corp Gov Subjective"/>
      <sheetName val="Deputy Chief Execs"/>
      <sheetName val="DCE Combined"/>
      <sheetName val="DCE detail"/>
      <sheetName val="DCE Subjective"/>
      <sheetName val="E&amp;O Fwd Plan (cld)"/>
      <sheetName val="SPA 2010-11"/>
      <sheetName val="E&amp;O Combined"/>
      <sheetName val="E&amp;O Revenue by cost centre"/>
      <sheetName val="E&amp;O Revenue by subjective"/>
      <sheetName val="SPA"/>
      <sheetName val="SPA Detail"/>
      <sheetName val="Planning, Housing &amp; Regen(cld)"/>
      <sheetName val="Commerical Services"/>
      <sheetName val="PHR Combined"/>
      <sheetName val="PHR Revenue GF"/>
      <sheetName val="PHR by subjective"/>
      <sheetName val="Corporate Service &amp; Finance"/>
      <sheetName val="Finance"/>
      <sheetName val="Corporate Services"/>
      <sheetName val="HRA"/>
      <sheetName val="Resources Fwd Plan"/>
      <sheetName val="Control_Total"/>
      <sheetName val="Forward_plan"/>
      <sheetName val="Control_2010-11"/>
      <sheetName val="Post_Budget_Headlines"/>
      <sheetName val="Service_Summary_-_Appendix_B"/>
      <sheetName val="CTax_Summary"/>
      <sheetName val="Adults_Fwd_Plan"/>
      <sheetName val="Adults_Fwd_Plan_(cld)"/>
      <sheetName val="Adults_Combined"/>
      <sheetName val="Adults_Detail"/>
      <sheetName val="Adults_Subjective"/>
      <sheetName val="CentExp_Fwd_Plan"/>
      <sheetName val="CentExp_Comb_New"/>
      <sheetName val="CentExp_Combined"/>
      <sheetName val="CentExp_Detail"/>
      <sheetName val="CentExp_Subjective"/>
      <sheetName val="CentExp_Levies"/>
      <sheetName val="CE_&amp;_Strategy_Fwd_Plan"/>
      <sheetName val="Chief_Exes_Fwd_Plan"/>
      <sheetName val="Children_Fwd_Plan"/>
      <sheetName val="CE_Combined"/>
      <sheetName val="CE_detail"/>
      <sheetName val="CE_subjective"/>
      <sheetName val="Children_Fwd_Plan_(cld)"/>
      <sheetName val="Corp_Governance_Fwd_Plan"/>
      <sheetName val="Childrens_Detail"/>
      <sheetName val="Childrens_Subjective"/>
      <sheetName val="Commerical_Services_(cld)"/>
      <sheetName val="Commercial_Combined"/>
      <sheetName val="Commercial_Detail"/>
      <sheetName val="Commercial_subjective"/>
      <sheetName val="Corp_Governance_Fwd_Plan_(cld)"/>
      <sheetName val="E&amp;O_Fwd_Plan"/>
      <sheetName val="Special_Parking_Account"/>
      <sheetName val="HRA_FWD_Plan"/>
      <sheetName val="Corp_Gov_Combined"/>
      <sheetName val="Corp_Gov_detail"/>
      <sheetName val="Corp_Gov_Subjective"/>
      <sheetName val="Deputy_Chief_Execs"/>
      <sheetName val="DCE_Combined"/>
      <sheetName val="DCE_detail"/>
      <sheetName val="DCE_Subjective"/>
      <sheetName val="E&amp;O_Fwd_Plan_(cld)"/>
      <sheetName val="SPA_2010-11"/>
      <sheetName val="E&amp;O_Combined"/>
      <sheetName val="E&amp;O_Revenue_by_cost_centre"/>
      <sheetName val="E&amp;O_Revenue_by_subjective"/>
      <sheetName val="SPA_Detail"/>
      <sheetName val="Planning,_Housing_&amp;_Regen(cld)"/>
      <sheetName val="Commerical_Services"/>
      <sheetName val="PHR_Combined"/>
      <sheetName val="PHR_Revenue_GF"/>
      <sheetName val="PHR_by_subjective"/>
      <sheetName val="Corporate_Service_&amp;_Finance"/>
      <sheetName val="Corporate_Services"/>
      <sheetName val="Resources_Fwd_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Version control"/>
      <sheetName val="Policy_decisions"/>
      <sheetName val="FSM_Ever6_School_level"/>
      <sheetName val="Service_children_School_level"/>
      <sheetName val="Post_LAC_School_level"/>
      <sheetName val="LAC_LA_level"/>
      <sheetName val="FSM, SC &amp; Post-LAC LA_level AP"/>
      <sheetName val="September Academies Summariser"/>
      <sheetName val="New &amp; growing"/>
      <sheetName val="Academy allocations"/>
      <sheetName val="LA Allocations"/>
      <sheetName val="LA LEVELCHECKS"/>
      <sheetName val="Version_control"/>
      <sheetName val="FSM,_SC_&amp;_Post-LAC_LA_level_AP"/>
      <sheetName val="September_Academies_Summariser"/>
      <sheetName val="New_&amp;_growing"/>
      <sheetName val="Academy_allocations"/>
      <sheetName val="LA_Allocations"/>
      <sheetName val="LA_LEVELCHECKS"/>
    </sheetNames>
    <sheetDataSet>
      <sheetData sheetId="0" refreshError="1"/>
      <sheetData sheetId="1" refreshError="1"/>
      <sheetData sheetId="2">
        <row r="4">
          <cell r="C4">
            <v>1300</v>
          </cell>
          <cell r="H4">
            <v>41757</v>
          </cell>
          <cell r="I4">
            <v>1</v>
          </cell>
        </row>
        <row r="5">
          <cell r="C5">
            <v>935</v>
          </cell>
          <cell r="H5">
            <v>41883</v>
          </cell>
          <cell r="I5">
            <v>0.58333333333333337</v>
          </cell>
          <cell r="J5">
            <v>0.41666666666666669</v>
          </cell>
        </row>
        <row r="6">
          <cell r="C6">
            <v>1900</v>
          </cell>
          <cell r="H6">
            <v>42009</v>
          </cell>
          <cell r="I6">
            <v>0.25</v>
          </cell>
          <cell r="J6">
            <v>0.75</v>
          </cell>
        </row>
        <row r="7">
          <cell r="C7">
            <v>1900</v>
          </cell>
        </row>
        <row r="8">
          <cell r="C8">
            <v>300</v>
          </cell>
        </row>
        <row r="11">
          <cell r="F11">
            <v>0.58333333333333337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D5">
            <v>203321.875</v>
          </cell>
        </row>
      </sheetData>
      <sheetData sheetId="13"/>
      <sheetData sheetId="14"/>
      <sheetData sheetId="15"/>
      <sheetData sheetId="16"/>
      <sheetData sheetId="17"/>
      <sheetData sheetId="18"/>
      <sheetData sheetId="19">
        <row r="5">
          <cell r="D5">
            <v>203321.875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Control"/>
      <sheetName val="info"/>
      <sheetName val="Summary"/>
      <sheetName val="AdjustScaling"/>
      <sheetName val="UnitValues"/>
      <sheetName val="SchoolCalcs_1617"/>
      <sheetName val="LA_Calcs_1617"/>
      <sheetName val="SchoolCalcs_1718"/>
      <sheetName val="LA_Calcs_1718"/>
      <sheetName val="SchoolCalcs_1819"/>
      <sheetName val="LA_Calcs_1819"/>
      <sheetName val="SchoolCalcs_1920"/>
      <sheetName val="LA_Calcs_1920"/>
      <sheetName val="SQLview"/>
      <sheetName val="ACA_District"/>
      <sheetName val="PupilProjections"/>
      <sheetName val="2015-16 DSG"/>
      <sheetName val="DualRun_pre-election policy cos"/>
      <sheetName val="2015-16_DSG"/>
      <sheetName val="DualRun_pre-election_policy_cos"/>
    </sheetNames>
    <sheetDataSet>
      <sheetData sheetId="0"/>
      <sheetData sheetId="1"/>
      <sheetData sheetId="2"/>
      <sheetData sheetId="3"/>
      <sheetData sheetId="4">
        <row r="8">
          <cell r="E8">
            <v>2935.2121885311763</v>
          </cell>
        </row>
        <row r="9">
          <cell r="E9">
            <v>4041.6607900289368</v>
          </cell>
        </row>
        <row r="10">
          <cell r="E10">
            <v>4586.5682747386672</v>
          </cell>
        </row>
        <row r="11">
          <cell r="E11">
            <v>866.60613549574293</v>
          </cell>
        </row>
        <row r="12">
          <cell r="E12">
            <v>1025.0204163536969</v>
          </cell>
        </row>
        <row r="13">
          <cell r="E13">
            <v>204.49304969497641</v>
          </cell>
        </row>
        <row r="14">
          <cell r="E14">
            <v>286.76112777647535</v>
          </cell>
        </row>
        <row r="15">
          <cell r="E15">
            <v>257.46788685221463</v>
          </cell>
        </row>
        <row r="16">
          <cell r="E16">
            <v>376.58542809784342</v>
          </cell>
        </row>
        <row r="17">
          <cell r="E17">
            <v>341.6712365140848</v>
          </cell>
        </row>
        <row r="18">
          <cell r="E18">
            <v>458.97282258406381</v>
          </cell>
        </row>
        <row r="19">
          <cell r="E19">
            <v>415.06494296488478</v>
          </cell>
        </row>
        <row r="20">
          <cell r="E20">
            <v>534.67401870956246</v>
          </cell>
        </row>
        <row r="21">
          <cell r="E21">
            <v>470.57008847669198</v>
          </cell>
        </row>
        <row r="22">
          <cell r="E22">
            <v>595.77197535955565</v>
          </cell>
        </row>
        <row r="23">
          <cell r="E23">
            <v>692.319854088385</v>
          </cell>
        </row>
        <row r="24">
          <cell r="E24">
            <v>799.24177782540903</v>
          </cell>
        </row>
        <row r="25">
          <cell r="E25">
            <v>982.1644935164187</v>
          </cell>
        </row>
        <row r="26">
          <cell r="E26">
            <v>453.93538546587087</v>
          </cell>
        </row>
        <row r="27">
          <cell r="E27">
            <v>1136.1882287850424</v>
          </cell>
        </row>
        <row r="28">
          <cell r="E28">
            <v>766.37643230360061</v>
          </cell>
        </row>
        <row r="29">
          <cell r="E29">
            <v>922.89146670064622</v>
          </cell>
        </row>
        <row r="30">
          <cell r="E30">
            <v>115462.3724229654</v>
          </cell>
        </row>
        <row r="31">
          <cell r="E31">
            <v>126099.31678738352</v>
          </cell>
        </row>
        <row r="32">
          <cell r="E32">
            <v>40146.321100039102</v>
          </cell>
        </row>
        <row r="33">
          <cell r="E33">
            <v>71416.058726961535</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ntents"/>
      <sheetName val="Control"/>
      <sheetName val="Data"/>
      <sheetName val="MAT Tracker"/>
      <sheetName val="Old Style Allocations"/>
      <sheetName val="LAVAs adj for Modernstn&amp;Loctn"/>
      <sheetName val="PDS tech changes"/>
      <sheetName val="PSBP2 Alloc"/>
      <sheetName val="LALookUp"/>
      <sheetName val="RB Aggregator"/>
      <sheetName val="Weighting calculations"/>
      <sheetName val="DFC calculations"/>
      <sheetName val="PDS calculations"/>
      <sheetName val="RB Level calculations"/>
      <sheetName val="Dashboard"/>
      <sheetName val="RB Level Outputs"/>
      <sheetName val="Multi Dash vs 1516"/>
      <sheetName val="Multi Dash vs 1415"/>
      <sheetName val="Winners &amp; losers tables"/>
      <sheetName val="RB table"/>
      <sheetName val="2011-18 Summary"/>
      <sheetName val="2011-18 Summary (MATs)"/>
      <sheetName val="Maintenance budget"/>
      <sheetName val="CSOP Out Detailed"/>
      <sheetName val="CSOP Out Basic"/>
      <sheetName val="1) Summary"/>
      <sheetName val="2) LA &amp; VA"/>
      <sheetName val="3) MATs"/>
      <sheetName val="LA, Parly Con"/>
      <sheetName val="Parly Con LA"/>
      <sheetName val="Sheet2"/>
      <sheetName val="MAT_Tracker"/>
      <sheetName val="Old_Style_Allocations"/>
      <sheetName val="LAVAs_adj_for_Modernstn&amp;Loctn"/>
      <sheetName val="PDS_tech_changes"/>
      <sheetName val="PSBP2_Alloc"/>
      <sheetName val="RB_Aggregator"/>
      <sheetName val="Weighting_calculations"/>
      <sheetName val="DFC_calculations"/>
      <sheetName val="PDS_calculations"/>
      <sheetName val="RB_Level_calculations"/>
      <sheetName val="RB_Level_Outputs"/>
      <sheetName val="Multi_Dash_vs_1516"/>
      <sheetName val="Multi_Dash_vs_1415"/>
      <sheetName val="Winners_&amp;_losers_tables"/>
      <sheetName val="RB_table"/>
      <sheetName val="2011-18_Summary"/>
      <sheetName val="2011-18_Summary_(MATs)"/>
      <sheetName val="Maintenance_budget"/>
      <sheetName val="CSOP_Out_Detailed"/>
      <sheetName val="CSOP_Out_Basic"/>
      <sheetName val="1)_Summary"/>
      <sheetName val="2)_LA_&amp;_VA"/>
      <sheetName val="3)_MATs"/>
      <sheetName val="LA,_Parly_Con"/>
      <sheetName val="Parly_Con_LA"/>
    </sheetNames>
    <sheetDataSet>
      <sheetData sheetId="0" refreshError="1"/>
      <sheetData sheetId="1" refreshError="1"/>
      <sheetData sheetId="2" refreshError="1">
        <row r="19">
          <cell r="G19">
            <v>1</v>
          </cell>
          <cell r="I19">
            <v>2</v>
          </cell>
        </row>
        <row r="20">
          <cell r="G20">
            <v>1.5</v>
          </cell>
          <cell r="I20">
            <v>1.5</v>
          </cell>
        </row>
        <row r="21">
          <cell r="G21">
            <v>3</v>
          </cell>
          <cell r="I21">
            <v>0</v>
          </cell>
        </row>
        <row r="22">
          <cell r="G22">
            <v>2</v>
          </cell>
          <cell r="I22">
            <v>1</v>
          </cell>
        </row>
        <row r="26">
          <cell r="I26">
            <v>8.0000000000000071E-2</v>
          </cell>
        </row>
        <row r="38">
          <cell r="D38">
            <v>5290000000</v>
          </cell>
        </row>
        <row r="40">
          <cell r="D40">
            <v>6000000</v>
          </cell>
          <cell r="F40" t="str">
            <v>Yes</v>
          </cell>
        </row>
        <row r="46">
          <cell r="D46">
            <v>202367126.30775014</v>
          </cell>
        </row>
        <row r="56">
          <cell r="D56">
            <v>129390814.87111662</v>
          </cell>
        </row>
        <row r="62">
          <cell r="D62">
            <v>4000</v>
          </cell>
        </row>
        <row r="63">
          <cell r="D63" t="str">
            <v>Phase weighted</v>
          </cell>
        </row>
        <row r="64">
          <cell r="D64" t="str">
            <v>Off</v>
          </cell>
        </row>
        <row r="67">
          <cell r="D67">
            <v>11.25</v>
          </cell>
        </row>
        <row r="70">
          <cell r="D70" t="str">
            <v>Yes</v>
          </cell>
        </row>
        <row r="73">
          <cell r="D73" t="str">
            <v>Phase weighted</v>
          </cell>
        </row>
        <row r="74">
          <cell r="D74" t="str">
            <v>On</v>
          </cell>
        </row>
        <row r="76">
          <cell r="D76">
            <v>132.44681889347808</v>
          </cell>
        </row>
        <row r="79">
          <cell r="D79">
            <v>0.8</v>
          </cell>
        </row>
        <row r="80">
          <cell r="D80">
            <v>0.8</v>
          </cell>
        </row>
        <row r="81">
          <cell r="D81">
            <v>0.8</v>
          </cell>
        </row>
        <row r="85">
          <cell r="D85">
            <v>0</v>
          </cell>
        </row>
        <row r="86">
          <cell r="D86" t="str">
            <v>Phase weighted</v>
          </cell>
        </row>
        <row r="87">
          <cell r="D87" t="str">
            <v>On</v>
          </cell>
        </row>
        <row r="90">
          <cell r="D90">
            <v>115.14113960514061</v>
          </cell>
        </row>
        <row r="93">
          <cell r="D93">
            <v>0</v>
          </cell>
        </row>
        <row r="94">
          <cell r="D94">
            <v>0</v>
          </cell>
        </row>
        <row r="95">
          <cell r="D95">
            <v>1</v>
          </cell>
        </row>
        <row r="96">
          <cell r="D96">
            <v>1</v>
          </cell>
        </row>
        <row r="97">
          <cell r="D97" t="str">
            <v>Off</v>
          </cell>
        </row>
        <row r="98">
          <cell r="D98">
            <v>1</v>
          </cell>
        </row>
        <row r="99">
          <cell r="D99" t="str">
            <v>Off</v>
          </cell>
        </row>
        <row r="102">
          <cell r="D102">
            <v>400</v>
          </cell>
        </row>
        <row r="103">
          <cell r="D103" t="str">
            <v>Yes</v>
          </cell>
        </row>
        <row r="104">
          <cell r="D104" t="str">
            <v>actual</v>
          </cell>
        </row>
        <row r="105">
          <cell r="D105" t="str">
            <v>Actual</v>
          </cell>
        </row>
        <row r="111">
          <cell r="D111" t="str">
            <v>Phase weighted</v>
          </cell>
        </row>
        <row r="112">
          <cell r="D112" t="str">
            <v>On</v>
          </cell>
        </row>
        <row r="113">
          <cell r="D113" t="str">
            <v>per msq</v>
          </cell>
        </row>
        <row r="116">
          <cell r="D116">
            <v>112.55580352163608</v>
          </cell>
        </row>
        <row r="117">
          <cell r="D117">
            <v>5.8782636468217744</v>
          </cell>
        </row>
        <row r="118">
          <cell r="D118">
            <v>10</v>
          </cell>
        </row>
        <row r="119">
          <cell r="D11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Charts and Tables"/>
      <sheetName val="Schools 25%&gt;"/>
      <sheetName val="Overcapacity"/>
      <sheetName val="1999 GCSE"/>
      <sheetName val="1999 KS2"/>
      <sheetName val="1999 LEASD LEA Forecasts"/>
      <sheetName val="2000 Overcapacity Breakdown"/>
      <sheetName val="2000 Surplus Breakdown"/>
      <sheetName val="2000 Projections"/>
      <sheetName val="2000 ActualNet"/>
      <sheetName val="2000 LEA Forecasts"/>
      <sheetName val="SeriousWeakness"/>
      <sheetName val="Special Measures"/>
      <sheetName val="target99"/>
      <sheetName val="target00"/>
      <sheetName val="CHECK00"/>
      <sheetName val="LeaNum"/>
      <sheetName val="DataPaste"/>
      <sheetName val="DataPaste 2"/>
      <sheetName val="Module1"/>
      <sheetName val="Module2"/>
      <sheetName val="Module3"/>
      <sheetName val="Front_page"/>
      <sheetName val="Charts_and_Tables"/>
      <sheetName val="Schools_25%&gt;"/>
      <sheetName val="1999_GCSE"/>
      <sheetName val="1999_KS2"/>
      <sheetName val="1999_LEASD_LEA_Forecasts"/>
      <sheetName val="2000_Overcapacity_Breakdown"/>
      <sheetName val="2000_Surplus_Breakdown"/>
      <sheetName val="2000_Projections"/>
      <sheetName val="2000_ActualNet"/>
      <sheetName val="2000_LEA_Forecasts"/>
      <sheetName val="Special_Measures"/>
      <sheetName val="DataPaste_2"/>
      <sheetName val="Front_page1"/>
      <sheetName val="Charts_and_Tables1"/>
      <sheetName val="Schools_25%&gt;1"/>
      <sheetName val="1999_GCSE1"/>
      <sheetName val="1999_KS21"/>
      <sheetName val="1999_LEASD_LEA_Forecasts1"/>
      <sheetName val="2000_Overcapacity_Breakdown1"/>
      <sheetName val="2000_Surplus_Breakdown1"/>
      <sheetName val="2000_Projections1"/>
      <sheetName val="2000_ActualNet1"/>
      <sheetName val="2000_LEA_Forecasts1"/>
      <sheetName val="Special_Measures1"/>
      <sheetName val="DataPaste_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8">
          <cell r="A8">
            <v>201</v>
          </cell>
          <cell r="B8" t="str">
            <v>City of London</v>
          </cell>
          <cell r="C8">
            <v>1</v>
          </cell>
          <cell r="D8">
            <v>0</v>
          </cell>
          <cell r="E8">
            <v>0</v>
          </cell>
          <cell r="F8">
            <v>1</v>
          </cell>
          <cell r="G8">
            <v>0</v>
          </cell>
          <cell r="H8">
            <v>0</v>
          </cell>
          <cell r="J8">
            <v>201</v>
          </cell>
          <cell r="K8" t="str">
            <v>City of London</v>
          </cell>
          <cell r="L8">
            <v>0</v>
          </cell>
          <cell r="M8">
            <v>0</v>
          </cell>
          <cell r="N8">
            <v>0</v>
          </cell>
          <cell r="O8">
            <v>0</v>
          </cell>
          <cell r="P8">
            <v>0</v>
          </cell>
          <cell r="Q8">
            <v>0</v>
          </cell>
        </row>
        <row r="9">
          <cell r="A9">
            <v>202</v>
          </cell>
          <cell r="B9" t="str">
            <v>Camden</v>
          </cell>
          <cell r="C9">
            <v>42</v>
          </cell>
          <cell r="D9">
            <v>4</v>
          </cell>
          <cell r="E9">
            <v>1</v>
          </cell>
          <cell r="F9">
            <v>25</v>
          </cell>
          <cell r="G9">
            <v>4</v>
          </cell>
          <cell r="H9">
            <v>8</v>
          </cell>
          <cell r="J9">
            <v>202</v>
          </cell>
          <cell r="K9" t="str">
            <v>Camden</v>
          </cell>
          <cell r="L9">
            <v>10</v>
          </cell>
          <cell r="M9">
            <v>1</v>
          </cell>
          <cell r="N9">
            <v>1</v>
          </cell>
          <cell r="O9">
            <v>3</v>
          </cell>
          <cell r="P9">
            <v>1</v>
          </cell>
          <cell r="Q9">
            <v>4</v>
          </cell>
        </row>
        <row r="10">
          <cell r="A10">
            <v>203</v>
          </cell>
          <cell r="B10" t="str">
            <v>Greenwich</v>
          </cell>
          <cell r="C10">
            <v>69</v>
          </cell>
          <cell r="D10">
            <v>8</v>
          </cell>
          <cell r="E10">
            <v>10</v>
          </cell>
          <cell r="F10">
            <v>34</v>
          </cell>
          <cell r="G10">
            <v>9</v>
          </cell>
          <cell r="H10">
            <v>8</v>
          </cell>
          <cell r="J10">
            <v>203</v>
          </cell>
          <cell r="K10" t="str">
            <v>Greenwich</v>
          </cell>
          <cell r="L10">
            <v>14</v>
          </cell>
          <cell r="M10">
            <v>2</v>
          </cell>
          <cell r="N10">
            <v>1</v>
          </cell>
          <cell r="O10">
            <v>7</v>
          </cell>
          <cell r="P10">
            <v>0</v>
          </cell>
          <cell r="Q10">
            <v>4</v>
          </cell>
        </row>
        <row r="11">
          <cell r="A11">
            <v>204</v>
          </cell>
          <cell r="B11" t="str">
            <v>Hackney</v>
          </cell>
          <cell r="C11">
            <v>58</v>
          </cell>
          <cell r="D11">
            <v>6</v>
          </cell>
          <cell r="E11">
            <v>9</v>
          </cell>
          <cell r="F11">
            <v>34</v>
          </cell>
          <cell r="G11">
            <v>4</v>
          </cell>
          <cell r="H11">
            <v>5</v>
          </cell>
          <cell r="J11">
            <v>204</v>
          </cell>
          <cell r="K11" t="str">
            <v>Hackney</v>
          </cell>
          <cell r="L11">
            <v>9</v>
          </cell>
          <cell r="M11">
            <v>1</v>
          </cell>
          <cell r="N11">
            <v>1</v>
          </cell>
          <cell r="O11">
            <v>5</v>
          </cell>
          <cell r="P11">
            <v>1</v>
          </cell>
          <cell r="Q11">
            <v>1</v>
          </cell>
        </row>
        <row r="12">
          <cell r="A12">
            <v>205</v>
          </cell>
          <cell r="B12" t="str">
            <v>Hammersmith and Fulham</v>
          </cell>
          <cell r="C12">
            <v>36</v>
          </cell>
          <cell r="D12">
            <v>5</v>
          </cell>
          <cell r="E12">
            <v>4</v>
          </cell>
          <cell r="F12">
            <v>16</v>
          </cell>
          <cell r="G12">
            <v>3</v>
          </cell>
          <cell r="H12">
            <v>8</v>
          </cell>
          <cell r="J12">
            <v>205</v>
          </cell>
          <cell r="K12" t="str">
            <v>Hammersmith and Fulham</v>
          </cell>
          <cell r="L12">
            <v>8</v>
          </cell>
          <cell r="M12">
            <v>0</v>
          </cell>
          <cell r="N12">
            <v>2</v>
          </cell>
          <cell r="O12">
            <v>5</v>
          </cell>
          <cell r="P12">
            <v>0</v>
          </cell>
          <cell r="Q12">
            <v>1</v>
          </cell>
        </row>
        <row r="13">
          <cell r="A13">
            <v>206</v>
          </cell>
          <cell r="B13" t="str">
            <v>Islington</v>
          </cell>
          <cell r="C13">
            <v>49</v>
          </cell>
          <cell r="D13">
            <v>6</v>
          </cell>
          <cell r="E13">
            <v>4</v>
          </cell>
          <cell r="F13">
            <v>29</v>
          </cell>
          <cell r="G13">
            <v>6</v>
          </cell>
          <cell r="H13">
            <v>4</v>
          </cell>
          <cell r="J13">
            <v>206</v>
          </cell>
          <cell r="K13" t="str">
            <v>Islington</v>
          </cell>
          <cell r="L13">
            <v>9</v>
          </cell>
          <cell r="M13">
            <v>1</v>
          </cell>
          <cell r="N13">
            <v>1</v>
          </cell>
          <cell r="O13">
            <v>5</v>
          </cell>
          <cell r="P13">
            <v>1</v>
          </cell>
          <cell r="Q13">
            <v>1</v>
          </cell>
        </row>
        <row r="14">
          <cell r="A14">
            <v>207</v>
          </cell>
          <cell r="B14" t="str">
            <v>Kensington and Chelsea</v>
          </cell>
          <cell r="C14">
            <v>26</v>
          </cell>
          <cell r="D14">
            <v>6</v>
          </cell>
          <cell r="E14">
            <v>2</v>
          </cell>
          <cell r="F14">
            <v>13</v>
          </cell>
          <cell r="G14">
            <v>0</v>
          </cell>
          <cell r="H14">
            <v>5</v>
          </cell>
          <cell r="J14">
            <v>207</v>
          </cell>
          <cell r="K14" t="str">
            <v>Kensington and Chelsea</v>
          </cell>
          <cell r="L14">
            <v>4</v>
          </cell>
          <cell r="M14">
            <v>1</v>
          </cell>
          <cell r="N14">
            <v>0</v>
          </cell>
          <cell r="O14">
            <v>2</v>
          </cell>
          <cell r="P14">
            <v>0</v>
          </cell>
          <cell r="Q14">
            <v>1</v>
          </cell>
        </row>
        <row r="15">
          <cell r="A15">
            <v>208</v>
          </cell>
          <cell r="B15" t="str">
            <v>Lambeth</v>
          </cell>
          <cell r="C15">
            <v>67</v>
          </cell>
          <cell r="D15">
            <v>8</v>
          </cell>
          <cell r="E15">
            <v>8</v>
          </cell>
          <cell r="F15">
            <v>35</v>
          </cell>
          <cell r="G15">
            <v>5</v>
          </cell>
          <cell r="H15">
            <v>11</v>
          </cell>
          <cell r="J15">
            <v>208</v>
          </cell>
          <cell r="K15" t="str">
            <v>Lambeth</v>
          </cell>
          <cell r="L15">
            <v>10</v>
          </cell>
          <cell r="M15">
            <v>2</v>
          </cell>
          <cell r="N15">
            <v>2</v>
          </cell>
          <cell r="O15">
            <v>4</v>
          </cell>
          <cell r="P15">
            <v>1</v>
          </cell>
          <cell r="Q15">
            <v>1</v>
          </cell>
        </row>
        <row r="16">
          <cell r="A16">
            <v>209</v>
          </cell>
          <cell r="B16" t="str">
            <v>Lewisham</v>
          </cell>
          <cell r="C16">
            <v>70</v>
          </cell>
          <cell r="D16">
            <v>2</v>
          </cell>
          <cell r="E16">
            <v>4</v>
          </cell>
          <cell r="F16">
            <v>34</v>
          </cell>
          <cell r="G16">
            <v>7</v>
          </cell>
          <cell r="H16">
            <v>23</v>
          </cell>
          <cell r="J16">
            <v>209</v>
          </cell>
          <cell r="K16" t="str">
            <v>Lewisham</v>
          </cell>
          <cell r="L16">
            <v>13</v>
          </cell>
          <cell r="M16">
            <v>2</v>
          </cell>
          <cell r="N16">
            <v>1</v>
          </cell>
          <cell r="O16">
            <v>8</v>
          </cell>
          <cell r="P16">
            <v>1</v>
          </cell>
          <cell r="Q16">
            <v>1</v>
          </cell>
        </row>
        <row r="17">
          <cell r="A17">
            <v>210</v>
          </cell>
          <cell r="B17" t="str">
            <v>Southwark</v>
          </cell>
          <cell r="C17">
            <v>72</v>
          </cell>
          <cell r="D17">
            <v>6</v>
          </cell>
          <cell r="E17">
            <v>5</v>
          </cell>
          <cell r="F17">
            <v>49</v>
          </cell>
          <cell r="G17">
            <v>5</v>
          </cell>
          <cell r="H17">
            <v>7</v>
          </cell>
          <cell r="J17">
            <v>210</v>
          </cell>
          <cell r="K17" t="str">
            <v>Southwark</v>
          </cell>
          <cell r="L17">
            <v>12</v>
          </cell>
          <cell r="M17">
            <v>0</v>
          </cell>
          <cell r="N17">
            <v>1</v>
          </cell>
          <cell r="O17">
            <v>8</v>
          </cell>
          <cell r="P17">
            <v>0</v>
          </cell>
          <cell r="Q17">
            <v>3</v>
          </cell>
        </row>
        <row r="18">
          <cell r="A18">
            <v>211</v>
          </cell>
          <cell r="B18" t="str">
            <v>Tower Hamlets</v>
          </cell>
          <cell r="C18">
            <v>73</v>
          </cell>
          <cell r="D18">
            <v>10</v>
          </cell>
          <cell r="E18">
            <v>6</v>
          </cell>
          <cell r="F18">
            <v>55</v>
          </cell>
          <cell r="G18">
            <v>2</v>
          </cell>
          <cell r="H18">
            <v>0</v>
          </cell>
          <cell r="J18">
            <v>211</v>
          </cell>
          <cell r="K18" t="str">
            <v>Tower Hamlets</v>
          </cell>
          <cell r="L18">
            <v>15</v>
          </cell>
          <cell r="M18">
            <v>1</v>
          </cell>
          <cell r="N18">
            <v>1</v>
          </cell>
          <cell r="O18">
            <v>13</v>
          </cell>
          <cell r="P18">
            <v>0</v>
          </cell>
          <cell r="Q18">
            <v>0</v>
          </cell>
        </row>
        <row r="19">
          <cell r="A19">
            <v>212</v>
          </cell>
          <cell r="B19" t="str">
            <v>Wandsworth</v>
          </cell>
          <cell r="C19">
            <v>58</v>
          </cell>
          <cell r="D19">
            <v>7</v>
          </cell>
          <cell r="E19">
            <v>9</v>
          </cell>
          <cell r="F19">
            <v>31</v>
          </cell>
          <cell r="G19">
            <v>4</v>
          </cell>
          <cell r="H19">
            <v>7</v>
          </cell>
          <cell r="J19">
            <v>212</v>
          </cell>
          <cell r="K19" t="str">
            <v>Wandsworth</v>
          </cell>
          <cell r="L19">
            <v>9</v>
          </cell>
          <cell r="M19">
            <v>1</v>
          </cell>
          <cell r="N19">
            <v>0</v>
          </cell>
          <cell r="O19">
            <v>7</v>
          </cell>
          <cell r="P19">
            <v>1</v>
          </cell>
          <cell r="Q19">
            <v>0</v>
          </cell>
        </row>
        <row r="20">
          <cell r="A20">
            <v>213</v>
          </cell>
          <cell r="B20" t="str">
            <v>Westminster</v>
          </cell>
          <cell r="C20">
            <v>40</v>
          </cell>
          <cell r="D20">
            <v>1</v>
          </cell>
          <cell r="E20">
            <v>3</v>
          </cell>
          <cell r="F20">
            <v>22</v>
          </cell>
          <cell r="G20">
            <v>4</v>
          </cell>
          <cell r="H20">
            <v>10</v>
          </cell>
          <cell r="J20">
            <v>213</v>
          </cell>
          <cell r="K20" t="str">
            <v>Westminster</v>
          </cell>
          <cell r="L20">
            <v>8</v>
          </cell>
          <cell r="M20">
            <v>0</v>
          </cell>
          <cell r="N20">
            <v>2</v>
          </cell>
          <cell r="O20">
            <v>2</v>
          </cell>
          <cell r="P20">
            <v>1</v>
          </cell>
          <cell r="Q20">
            <v>3</v>
          </cell>
        </row>
        <row r="21">
          <cell r="A21">
            <v>301</v>
          </cell>
          <cell r="B21" t="str">
            <v>Barking and Dagenham</v>
          </cell>
          <cell r="C21">
            <v>49</v>
          </cell>
          <cell r="D21">
            <v>3</v>
          </cell>
          <cell r="E21">
            <v>7</v>
          </cell>
          <cell r="F21">
            <v>30</v>
          </cell>
          <cell r="G21">
            <v>6</v>
          </cell>
          <cell r="H21">
            <v>3</v>
          </cell>
          <cell r="J21">
            <v>301</v>
          </cell>
          <cell r="K21" t="str">
            <v>Barking and Dagenham</v>
          </cell>
          <cell r="L21">
            <v>8</v>
          </cell>
          <cell r="M21">
            <v>0</v>
          </cell>
          <cell r="N21">
            <v>1</v>
          </cell>
          <cell r="O21">
            <v>5</v>
          </cell>
          <cell r="P21">
            <v>2</v>
          </cell>
          <cell r="Q21">
            <v>0</v>
          </cell>
        </row>
        <row r="22">
          <cell r="A22">
            <v>302</v>
          </cell>
          <cell r="B22" t="str">
            <v>Barnet</v>
          </cell>
          <cell r="C22">
            <v>90</v>
          </cell>
          <cell r="D22">
            <v>0</v>
          </cell>
          <cell r="E22">
            <v>6</v>
          </cell>
          <cell r="F22">
            <v>53</v>
          </cell>
          <cell r="G22">
            <v>13</v>
          </cell>
          <cell r="H22">
            <v>18</v>
          </cell>
          <cell r="J22">
            <v>302</v>
          </cell>
          <cell r="K22" t="str">
            <v>Barnet</v>
          </cell>
          <cell r="L22">
            <v>21</v>
          </cell>
          <cell r="M22">
            <v>0</v>
          </cell>
          <cell r="N22">
            <v>0</v>
          </cell>
          <cell r="O22">
            <v>13</v>
          </cell>
          <cell r="P22">
            <v>3</v>
          </cell>
          <cell r="Q22">
            <v>5</v>
          </cell>
        </row>
        <row r="23">
          <cell r="A23">
            <v>303</v>
          </cell>
          <cell r="B23" t="str">
            <v>Bexley</v>
          </cell>
          <cell r="C23">
            <v>63</v>
          </cell>
          <cell r="D23">
            <v>2</v>
          </cell>
          <cell r="E23">
            <v>2</v>
          </cell>
          <cell r="F23">
            <v>41</v>
          </cell>
          <cell r="G23">
            <v>6</v>
          </cell>
          <cell r="H23">
            <v>12</v>
          </cell>
          <cell r="J23">
            <v>303</v>
          </cell>
          <cell r="K23" t="str">
            <v>Bexley</v>
          </cell>
          <cell r="L23">
            <v>16</v>
          </cell>
          <cell r="M23">
            <v>0</v>
          </cell>
          <cell r="N23">
            <v>1</v>
          </cell>
          <cell r="O23">
            <v>14</v>
          </cell>
          <cell r="P23">
            <v>1</v>
          </cell>
          <cell r="Q23">
            <v>0</v>
          </cell>
        </row>
        <row r="24">
          <cell r="A24">
            <v>304</v>
          </cell>
          <cell r="B24" t="str">
            <v>Brent</v>
          </cell>
          <cell r="C24">
            <v>60</v>
          </cell>
          <cell r="D24">
            <v>5</v>
          </cell>
          <cell r="E24">
            <v>5</v>
          </cell>
          <cell r="F24">
            <v>30</v>
          </cell>
          <cell r="G24">
            <v>7</v>
          </cell>
          <cell r="H24">
            <v>13</v>
          </cell>
          <cell r="J24">
            <v>304</v>
          </cell>
          <cell r="K24" t="str">
            <v>Brent</v>
          </cell>
          <cell r="L24">
            <v>13</v>
          </cell>
          <cell r="M24">
            <v>1</v>
          </cell>
          <cell r="N24">
            <v>1</v>
          </cell>
          <cell r="O24">
            <v>7</v>
          </cell>
          <cell r="P24">
            <v>1</v>
          </cell>
          <cell r="Q24">
            <v>3</v>
          </cell>
        </row>
        <row r="25">
          <cell r="A25">
            <v>305</v>
          </cell>
          <cell r="B25" t="str">
            <v>Bromley</v>
          </cell>
          <cell r="C25">
            <v>78</v>
          </cell>
          <cell r="D25">
            <v>0</v>
          </cell>
          <cell r="E25">
            <v>6</v>
          </cell>
          <cell r="F25">
            <v>18</v>
          </cell>
          <cell r="G25">
            <v>16</v>
          </cell>
          <cell r="H25">
            <v>38</v>
          </cell>
          <cell r="J25">
            <v>305</v>
          </cell>
          <cell r="K25" t="str">
            <v>Bromley</v>
          </cell>
          <cell r="L25">
            <v>17</v>
          </cell>
          <cell r="M25">
            <v>0</v>
          </cell>
          <cell r="N25">
            <v>0</v>
          </cell>
          <cell r="O25">
            <v>12</v>
          </cell>
          <cell r="P25">
            <v>1</v>
          </cell>
          <cell r="Q25">
            <v>4</v>
          </cell>
        </row>
        <row r="26">
          <cell r="A26">
            <v>306</v>
          </cell>
          <cell r="B26" t="str">
            <v>Croydon</v>
          </cell>
          <cell r="C26">
            <v>94</v>
          </cell>
          <cell r="D26">
            <v>4</v>
          </cell>
          <cell r="E26">
            <v>7</v>
          </cell>
          <cell r="F26">
            <v>60</v>
          </cell>
          <cell r="G26">
            <v>10</v>
          </cell>
          <cell r="H26">
            <v>13</v>
          </cell>
          <cell r="J26">
            <v>306</v>
          </cell>
          <cell r="K26" t="str">
            <v>Croydon</v>
          </cell>
          <cell r="L26">
            <v>21</v>
          </cell>
          <cell r="M26">
            <v>1</v>
          </cell>
          <cell r="N26">
            <v>3</v>
          </cell>
          <cell r="O26">
            <v>11</v>
          </cell>
          <cell r="P26">
            <v>0</v>
          </cell>
          <cell r="Q26">
            <v>6</v>
          </cell>
        </row>
        <row r="27">
          <cell r="A27">
            <v>307</v>
          </cell>
          <cell r="B27" t="str">
            <v>Ealing</v>
          </cell>
          <cell r="C27">
            <v>65</v>
          </cell>
          <cell r="D27">
            <v>7</v>
          </cell>
          <cell r="E27">
            <v>9</v>
          </cell>
          <cell r="F27">
            <v>39</v>
          </cell>
          <cell r="G27">
            <v>3</v>
          </cell>
          <cell r="H27">
            <v>7</v>
          </cell>
          <cell r="J27">
            <v>307</v>
          </cell>
          <cell r="K27" t="str">
            <v>Ealing</v>
          </cell>
          <cell r="L27">
            <v>13</v>
          </cell>
          <cell r="M27">
            <v>0</v>
          </cell>
          <cell r="N27">
            <v>1</v>
          </cell>
          <cell r="O27">
            <v>7</v>
          </cell>
          <cell r="P27">
            <v>2</v>
          </cell>
          <cell r="Q27">
            <v>3</v>
          </cell>
        </row>
        <row r="28">
          <cell r="A28">
            <v>308</v>
          </cell>
          <cell r="B28" t="str">
            <v>Enfield</v>
          </cell>
          <cell r="C28">
            <v>66</v>
          </cell>
          <cell r="D28">
            <v>3</v>
          </cell>
          <cell r="E28">
            <v>0</v>
          </cell>
          <cell r="F28">
            <v>31</v>
          </cell>
          <cell r="G28">
            <v>12</v>
          </cell>
          <cell r="H28">
            <v>20</v>
          </cell>
          <cell r="J28">
            <v>308</v>
          </cell>
          <cell r="K28" t="str">
            <v>Enfield</v>
          </cell>
          <cell r="L28">
            <v>16</v>
          </cell>
          <cell r="M28">
            <v>0</v>
          </cell>
          <cell r="N28">
            <v>3</v>
          </cell>
          <cell r="O28">
            <v>11</v>
          </cell>
          <cell r="P28">
            <v>0</v>
          </cell>
          <cell r="Q28">
            <v>2</v>
          </cell>
        </row>
        <row r="29">
          <cell r="A29">
            <v>309</v>
          </cell>
          <cell r="B29" t="str">
            <v>Haringey</v>
          </cell>
          <cell r="C29">
            <v>69</v>
          </cell>
          <cell r="D29">
            <v>2</v>
          </cell>
          <cell r="E29">
            <v>5</v>
          </cell>
          <cell r="F29">
            <v>42</v>
          </cell>
          <cell r="G29">
            <v>4</v>
          </cell>
          <cell r="H29">
            <v>16</v>
          </cell>
          <cell r="J29">
            <v>309</v>
          </cell>
          <cell r="K29" t="str">
            <v>Haringey</v>
          </cell>
          <cell r="L29">
            <v>11</v>
          </cell>
          <cell r="M29">
            <v>0</v>
          </cell>
          <cell r="N29">
            <v>1</v>
          </cell>
          <cell r="O29">
            <v>7</v>
          </cell>
          <cell r="P29">
            <v>0</v>
          </cell>
          <cell r="Q29">
            <v>3</v>
          </cell>
        </row>
        <row r="30">
          <cell r="A30">
            <v>310</v>
          </cell>
          <cell r="B30" t="str">
            <v>Harrow</v>
          </cell>
          <cell r="C30">
            <v>56</v>
          </cell>
          <cell r="D30">
            <v>1</v>
          </cell>
          <cell r="E30">
            <v>7</v>
          </cell>
          <cell r="F30">
            <v>24</v>
          </cell>
          <cell r="G30">
            <v>8</v>
          </cell>
          <cell r="H30">
            <v>16</v>
          </cell>
          <cell r="J30">
            <v>310</v>
          </cell>
          <cell r="K30" t="str">
            <v>Harrow</v>
          </cell>
          <cell r="L30">
            <v>10</v>
          </cell>
          <cell r="M30">
            <v>0</v>
          </cell>
          <cell r="N30">
            <v>2</v>
          </cell>
          <cell r="O30">
            <v>7</v>
          </cell>
          <cell r="P30">
            <v>0</v>
          </cell>
          <cell r="Q30">
            <v>1</v>
          </cell>
        </row>
        <row r="31">
          <cell r="A31">
            <v>311</v>
          </cell>
          <cell r="B31" t="str">
            <v>Havering</v>
          </cell>
          <cell r="C31">
            <v>68</v>
          </cell>
          <cell r="D31">
            <v>6</v>
          </cell>
          <cell r="E31">
            <v>7</v>
          </cell>
          <cell r="F31">
            <v>42</v>
          </cell>
          <cell r="G31">
            <v>8</v>
          </cell>
          <cell r="H31">
            <v>5</v>
          </cell>
          <cell r="J31">
            <v>311</v>
          </cell>
          <cell r="K31" t="str">
            <v>Havering</v>
          </cell>
          <cell r="L31">
            <v>18</v>
          </cell>
          <cell r="M31">
            <v>2</v>
          </cell>
          <cell r="N31">
            <v>2</v>
          </cell>
          <cell r="O31">
            <v>10</v>
          </cell>
          <cell r="P31">
            <v>1</v>
          </cell>
          <cell r="Q31">
            <v>3</v>
          </cell>
        </row>
        <row r="32">
          <cell r="A32">
            <v>312</v>
          </cell>
          <cell r="B32" t="str">
            <v>Hillingdon</v>
          </cell>
          <cell r="C32">
            <v>67</v>
          </cell>
          <cell r="D32">
            <v>1</v>
          </cell>
          <cell r="E32">
            <v>6</v>
          </cell>
          <cell r="F32">
            <v>38</v>
          </cell>
          <cell r="G32">
            <v>8</v>
          </cell>
          <cell r="H32">
            <v>14</v>
          </cell>
          <cell r="J32">
            <v>312</v>
          </cell>
          <cell r="K32" t="str">
            <v>Hillingdon</v>
          </cell>
          <cell r="L32">
            <v>17</v>
          </cell>
          <cell r="M32">
            <v>2</v>
          </cell>
          <cell r="N32">
            <v>2</v>
          </cell>
          <cell r="O32">
            <v>9</v>
          </cell>
          <cell r="P32">
            <v>1</v>
          </cell>
          <cell r="Q32">
            <v>3</v>
          </cell>
        </row>
        <row r="33">
          <cell r="A33">
            <v>313</v>
          </cell>
          <cell r="B33" t="str">
            <v>Hounslow</v>
          </cell>
          <cell r="C33">
            <v>64</v>
          </cell>
          <cell r="D33">
            <v>4</v>
          </cell>
          <cell r="E33">
            <v>6</v>
          </cell>
          <cell r="F33">
            <v>43</v>
          </cell>
          <cell r="G33">
            <v>4</v>
          </cell>
          <cell r="H33">
            <v>7</v>
          </cell>
          <cell r="J33">
            <v>313</v>
          </cell>
          <cell r="K33" t="str">
            <v>Hounslow</v>
          </cell>
          <cell r="L33">
            <v>14</v>
          </cell>
          <cell r="M33">
            <v>0</v>
          </cell>
          <cell r="N33">
            <v>1</v>
          </cell>
          <cell r="O33">
            <v>7</v>
          </cell>
          <cell r="P33">
            <v>2</v>
          </cell>
          <cell r="Q33">
            <v>4</v>
          </cell>
        </row>
        <row r="34">
          <cell r="A34">
            <v>314</v>
          </cell>
          <cell r="B34" t="str">
            <v>Kingston upon Thames</v>
          </cell>
          <cell r="C34">
            <v>37</v>
          </cell>
          <cell r="D34">
            <v>1</v>
          </cell>
          <cell r="E34">
            <v>2</v>
          </cell>
          <cell r="F34">
            <v>8</v>
          </cell>
          <cell r="G34">
            <v>3</v>
          </cell>
          <cell r="H34">
            <v>23</v>
          </cell>
          <cell r="J34">
            <v>314</v>
          </cell>
          <cell r="K34" t="str">
            <v>Kingston upon Thames</v>
          </cell>
          <cell r="L34">
            <v>10</v>
          </cell>
          <cell r="M34">
            <v>1</v>
          </cell>
          <cell r="N34">
            <v>1</v>
          </cell>
          <cell r="O34">
            <v>6</v>
          </cell>
          <cell r="P34">
            <v>0</v>
          </cell>
          <cell r="Q34">
            <v>2</v>
          </cell>
        </row>
        <row r="35">
          <cell r="A35">
            <v>315</v>
          </cell>
          <cell r="B35" t="str">
            <v>Merton</v>
          </cell>
          <cell r="C35">
            <v>49</v>
          </cell>
          <cell r="D35">
            <v>5</v>
          </cell>
          <cell r="E35">
            <v>3</v>
          </cell>
          <cell r="F35">
            <v>20</v>
          </cell>
          <cell r="G35">
            <v>10</v>
          </cell>
          <cell r="H35">
            <v>11</v>
          </cell>
          <cell r="J35">
            <v>315</v>
          </cell>
          <cell r="K35" t="str">
            <v>Merton</v>
          </cell>
          <cell r="L35">
            <v>11</v>
          </cell>
          <cell r="M35">
            <v>2</v>
          </cell>
          <cell r="N35">
            <v>3</v>
          </cell>
          <cell r="O35">
            <v>3</v>
          </cell>
          <cell r="P35">
            <v>1</v>
          </cell>
          <cell r="Q35">
            <v>2</v>
          </cell>
        </row>
        <row r="36">
          <cell r="A36">
            <v>316</v>
          </cell>
          <cell r="B36" t="str">
            <v>Newham</v>
          </cell>
          <cell r="C36">
            <v>64</v>
          </cell>
          <cell r="D36">
            <v>3</v>
          </cell>
          <cell r="E36">
            <v>2</v>
          </cell>
          <cell r="F36">
            <v>44</v>
          </cell>
          <cell r="G36">
            <v>8</v>
          </cell>
          <cell r="H36">
            <v>7</v>
          </cell>
          <cell r="J36">
            <v>316</v>
          </cell>
          <cell r="K36" t="str">
            <v>Newham</v>
          </cell>
          <cell r="L36">
            <v>14</v>
          </cell>
          <cell r="M36">
            <v>1</v>
          </cell>
          <cell r="N36">
            <v>1</v>
          </cell>
          <cell r="O36">
            <v>8</v>
          </cell>
          <cell r="P36">
            <v>2</v>
          </cell>
          <cell r="Q36">
            <v>2</v>
          </cell>
        </row>
        <row r="37">
          <cell r="A37">
            <v>317</v>
          </cell>
          <cell r="B37" t="str">
            <v>Redbridge</v>
          </cell>
          <cell r="C37">
            <v>52</v>
          </cell>
          <cell r="D37">
            <v>2</v>
          </cell>
          <cell r="E37">
            <v>4</v>
          </cell>
          <cell r="F37">
            <v>26</v>
          </cell>
          <cell r="G37">
            <v>3</v>
          </cell>
          <cell r="H37">
            <v>17</v>
          </cell>
          <cell r="J37">
            <v>317</v>
          </cell>
          <cell r="K37" t="str">
            <v>Redbridge</v>
          </cell>
          <cell r="L37">
            <v>16</v>
          </cell>
          <cell r="M37">
            <v>0</v>
          </cell>
          <cell r="N37">
            <v>2</v>
          </cell>
          <cell r="O37">
            <v>9</v>
          </cell>
          <cell r="P37">
            <v>2</v>
          </cell>
          <cell r="Q37">
            <v>3</v>
          </cell>
        </row>
        <row r="38">
          <cell r="A38">
            <v>318</v>
          </cell>
          <cell r="B38" t="str">
            <v>Richmond upon Thames</v>
          </cell>
          <cell r="C38">
            <v>39</v>
          </cell>
          <cell r="D38">
            <v>0</v>
          </cell>
          <cell r="E38">
            <v>3</v>
          </cell>
          <cell r="F38">
            <v>23</v>
          </cell>
          <cell r="G38">
            <v>4</v>
          </cell>
          <cell r="H38">
            <v>9</v>
          </cell>
          <cell r="J38">
            <v>318</v>
          </cell>
          <cell r="K38" t="str">
            <v>Richmond upon Thames</v>
          </cell>
          <cell r="L38">
            <v>8</v>
          </cell>
          <cell r="M38">
            <v>1</v>
          </cell>
          <cell r="N38">
            <v>0</v>
          </cell>
          <cell r="O38">
            <v>3</v>
          </cell>
          <cell r="P38">
            <v>2</v>
          </cell>
          <cell r="Q38">
            <v>2</v>
          </cell>
        </row>
        <row r="39">
          <cell r="A39">
            <v>319</v>
          </cell>
          <cell r="B39" t="str">
            <v>Sutton</v>
          </cell>
          <cell r="C39">
            <v>43</v>
          </cell>
          <cell r="D39">
            <v>1</v>
          </cell>
          <cell r="E39">
            <v>3</v>
          </cell>
          <cell r="F39">
            <v>22</v>
          </cell>
          <cell r="G39">
            <v>7</v>
          </cell>
          <cell r="H39">
            <v>10</v>
          </cell>
          <cell r="J39">
            <v>319</v>
          </cell>
          <cell r="K39" t="str">
            <v>Sutton</v>
          </cell>
          <cell r="L39">
            <v>14</v>
          </cell>
          <cell r="M39">
            <v>0</v>
          </cell>
          <cell r="N39">
            <v>1</v>
          </cell>
          <cell r="O39">
            <v>8</v>
          </cell>
          <cell r="P39">
            <v>2</v>
          </cell>
          <cell r="Q39">
            <v>3</v>
          </cell>
        </row>
        <row r="40">
          <cell r="A40">
            <v>320</v>
          </cell>
          <cell r="B40" t="str">
            <v>Waltham Forest</v>
          </cell>
          <cell r="C40">
            <v>65</v>
          </cell>
          <cell r="D40">
            <v>5</v>
          </cell>
          <cell r="E40">
            <v>6</v>
          </cell>
          <cell r="F40">
            <v>37</v>
          </cell>
          <cell r="G40">
            <v>6</v>
          </cell>
          <cell r="H40">
            <v>11</v>
          </cell>
          <cell r="J40">
            <v>320</v>
          </cell>
          <cell r="K40" t="str">
            <v>Waltham Forest</v>
          </cell>
          <cell r="L40">
            <v>16</v>
          </cell>
          <cell r="M40">
            <v>1</v>
          </cell>
          <cell r="N40">
            <v>1</v>
          </cell>
          <cell r="O40">
            <v>11</v>
          </cell>
          <cell r="P40">
            <v>0</v>
          </cell>
          <cell r="Q40">
            <v>3</v>
          </cell>
        </row>
        <row r="41">
          <cell r="A41">
            <v>330</v>
          </cell>
          <cell r="B41" t="str">
            <v>Birmingham</v>
          </cell>
          <cell r="C41">
            <v>328</v>
          </cell>
          <cell r="D41">
            <v>33</v>
          </cell>
          <cell r="E41">
            <v>23</v>
          </cell>
          <cell r="F41">
            <v>191</v>
          </cell>
          <cell r="G41">
            <v>28</v>
          </cell>
          <cell r="H41">
            <v>53</v>
          </cell>
          <cell r="J41">
            <v>330</v>
          </cell>
          <cell r="K41" t="str">
            <v>Birmingham</v>
          </cell>
          <cell r="L41">
            <v>77</v>
          </cell>
          <cell r="M41">
            <v>8</v>
          </cell>
          <cell r="N41">
            <v>9</v>
          </cell>
          <cell r="O41">
            <v>42</v>
          </cell>
          <cell r="P41">
            <v>4</v>
          </cell>
          <cell r="Q41">
            <v>14</v>
          </cell>
        </row>
        <row r="42">
          <cell r="A42">
            <v>331</v>
          </cell>
          <cell r="B42" t="str">
            <v>Coventry</v>
          </cell>
          <cell r="C42">
            <v>89</v>
          </cell>
          <cell r="D42">
            <v>11</v>
          </cell>
          <cell r="E42">
            <v>5</v>
          </cell>
          <cell r="F42">
            <v>61</v>
          </cell>
          <cell r="G42">
            <v>9</v>
          </cell>
          <cell r="H42">
            <v>3</v>
          </cell>
          <cell r="J42">
            <v>331</v>
          </cell>
          <cell r="K42" t="str">
            <v>Coventry</v>
          </cell>
          <cell r="L42">
            <v>19</v>
          </cell>
          <cell r="M42">
            <v>2</v>
          </cell>
          <cell r="N42">
            <v>3</v>
          </cell>
          <cell r="O42">
            <v>12</v>
          </cell>
          <cell r="P42">
            <v>2</v>
          </cell>
          <cell r="Q42">
            <v>0</v>
          </cell>
        </row>
        <row r="43">
          <cell r="A43">
            <v>332</v>
          </cell>
          <cell r="B43" t="str">
            <v>Dudley</v>
          </cell>
          <cell r="C43">
            <v>82</v>
          </cell>
          <cell r="D43">
            <v>12</v>
          </cell>
          <cell r="E43">
            <v>8</v>
          </cell>
          <cell r="F43">
            <v>48</v>
          </cell>
          <cell r="G43">
            <v>5</v>
          </cell>
          <cell r="H43">
            <v>9</v>
          </cell>
          <cell r="J43">
            <v>332</v>
          </cell>
          <cell r="K43" t="str">
            <v>Dudley</v>
          </cell>
          <cell r="L43">
            <v>22</v>
          </cell>
          <cell r="M43">
            <v>1</v>
          </cell>
          <cell r="N43">
            <v>2</v>
          </cell>
          <cell r="O43">
            <v>12</v>
          </cell>
          <cell r="P43">
            <v>4</v>
          </cell>
          <cell r="Q43">
            <v>3</v>
          </cell>
        </row>
        <row r="44">
          <cell r="A44">
            <v>333</v>
          </cell>
          <cell r="B44" t="str">
            <v>Sandwell</v>
          </cell>
          <cell r="C44">
            <v>102</v>
          </cell>
          <cell r="D44">
            <v>8</v>
          </cell>
          <cell r="E44">
            <v>10</v>
          </cell>
          <cell r="F44">
            <v>36</v>
          </cell>
          <cell r="G44">
            <v>11</v>
          </cell>
          <cell r="H44">
            <v>37</v>
          </cell>
          <cell r="J44">
            <v>333</v>
          </cell>
          <cell r="K44" t="str">
            <v>Sandwell</v>
          </cell>
          <cell r="L44">
            <v>20</v>
          </cell>
          <cell r="M44">
            <v>3</v>
          </cell>
          <cell r="N44">
            <v>4</v>
          </cell>
          <cell r="O44">
            <v>7</v>
          </cell>
          <cell r="P44">
            <v>2</v>
          </cell>
          <cell r="Q44">
            <v>4</v>
          </cell>
        </row>
        <row r="45">
          <cell r="A45">
            <v>334</v>
          </cell>
          <cell r="B45" t="str">
            <v>Solihull</v>
          </cell>
          <cell r="C45">
            <v>68</v>
          </cell>
          <cell r="D45">
            <v>5</v>
          </cell>
          <cell r="E45">
            <v>8</v>
          </cell>
          <cell r="F45">
            <v>30</v>
          </cell>
          <cell r="G45">
            <v>4</v>
          </cell>
          <cell r="H45">
            <v>21</v>
          </cell>
          <cell r="J45">
            <v>334</v>
          </cell>
          <cell r="K45" t="str">
            <v>Solihull</v>
          </cell>
          <cell r="L45">
            <v>13</v>
          </cell>
          <cell r="M45">
            <v>0</v>
          </cell>
          <cell r="N45">
            <v>1</v>
          </cell>
          <cell r="O45">
            <v>11</v>
          </cell>
          <cell r="P45">
            <v>0</v>
          </cell>
          <cell r="Q45">
            <v>1</v>
          </cell>
        </row>
        <row r="46">
          <cell r="A46">
            <v>335</v>
          </cell>
          <cell r="B46" t="str">
            <v>Walsall</v>
          </cell>
          <cell r="C46">
            <v>96</v>
          </cell>
          <cell r="D46">
            <v>5</v>
          </cell>
          <cell r="E46">
            <v>12</v>
          </cell>
          <cell r="F46">
            <v>60</v>
          </cell>
          <cell r="G46">
            <v>5</v>
          </cell>
          <cell r="H46">
            <v>14</v>
          </cell>
          <cell r="J46">
            <v>335</v>
          </cell>
          <cell r="K46" t="str">
            <v>Walsall</v>
          </cell>
          <cell r="L46">
            <v>20</v>
          </cell>
          <cell r="M46">
            <v>1</v>
          </cell>
          <cell r="N46">
            <v>1</v>
          </cell>
          <cell r="O46">
            <v>14</v>
          </cell>
          <cell r="P46">
            <v>3</v>
          </cell>
          <cell r="Q46">
            <v>1</v>
          </cell>
        </row>
        <row r="47">
          <cell r="A47">
            <v>336</v>
          </cell>
          <cell r="B47" t="str">
            <v>Wolverhampton</v>
          </cell>
          <cell r="C47">
            <v>91</v>
          </cell>
          <cell r="D47">
            <v>18</v>
          </cell>
          <cell r="E47">
            <v>12</v>
          </cell>
          <cell r="F47">
            <v>44</v>
          </cell>
          <cell r="G47">
            <v>7</v>
          </cell>
          <cell r="H47">
            <v>10</v>
          </cell>
          <cell r="J47">
            <v>336</v>
          </cell>
          <cell r="K47" t="str">
            <v>Wolverhampton</v>
          </cell>
          <cell r="L47">
            <v>18</v>
          </cell>
          <cell r="M47">
            <v>2</v>
          </cell>
          <cell r="N47">
            <v>2</v>
          </cell>
          <cell r="O47">
            <v>8</v>
          </cell>
          <cell r="P47">
            <v>3</v>
          </cell>
          <cell r="Q47">
            <v>3</v>
          </cell>
        </row>
        <row r="48">
          <cell r="A48">
            <v>340</v>
          </cell>
          <cell r="B48" t="str">
            <v>Knowsley</v>
          </cell>
          <cell r="C48">
            <v>60</v>
          </cell>
          <cell r="D48">
            <v>14</v>
          </cell>
          <cell r="E48">
            <v>7</v>
          </cell>
          <cell r="F48">
            <v>29</v>
          </cell>
          <cell r="G48">
            <v>1</v>
          </cell>
          <cell r="H48">
            <v>9</v>
          </cell>
          <cell r="J48">
            <v>340</v>
          </cell>
          <cell r="K48" t="str">
            <v>Knowsley</v>
          </cell>
          <cell r="L48">
            <v>11</v>
          </cell>
          <cell r="M48">
            <v>1</v>
          </cell>
          <cell r="N48">
            <v>3</v>
          </cell>
          <cell r="O48">
            <v>7</v>
          </cell>
          <cell r="P48">
            <v>0</v>
          </cell>
          <cell r="Q48">
            <v>0</v>
          </cell>
        </row>
        <row r="49">
          <cell r="A49">
            <v>341</v>
          </cell>
          <cell r="B49" t="str">
            <v>Liverpool</v>
          </cell>
          <cell r="C49">
            <v>157</v>
          </cell>
          <cell r="D49">
            <v>31</v>
          </cell>
          <cell r="E49">
            <v>33</v>
          </cell>
          <cell r="F49">
            <v>64</v>
          </cell>
          <cell r="G49">
            <v>10</v>
          </cell>
          <cell r="H49">
            <v>19</v>
          </cell>
          <cell r="J49">
            <v>341</v>
          </cell>
          <cell r="K49" t="str">
            <v>Liverpool</v>
          </cell>
          <cell r="L49">
            <v>34</v>
          </cell>
          <cell r="M49">
            <v>2</v>
          </cell>
          <cell r="N49">
            <v>7</v>
          </cell>
          <cell r="O49">
            <v>16</v>
          </cell>
          <cell r="P49">
            <v>2</v>
          </cell>
          <cell r="Q49">
            <v>7</v>
          </cell>
        </row>
        <row r="50">
          <cell r="A50">
            <v>342</v>
          </cell>
          <cell r="B50" t="str">
            <v>St. Helens</v>
          </cell>
          <cell r="C50">
            <v>60</v>
          </cell>
          <cell r="D50">
            <v>9</v>
          </cell>
          <cell r="E50">
            <v>10</v>
          </cell>
          <cell r="F50">
            <v>23</v>
          </cell>
          <cell r="G50">
            <v>6</v>
          </cell>
          <cell r="H50">
            <v>12</v>
          </cell>
          <cell r="J50">
            <v>342</v>
          </cell>
          <cell r="K50" t="str">
            <v>St. Helens</v>
          </cell>
          <cell r="L50">
            <v>12</v>
          </cell>
          <cell r="M50">
            <v>0</v>
          </cell>
          <cell r="N50">
            <v>3</v>
          </cell>
          <cell r="O50">
            <v>6</v>
          </cell>
          <cell r="P50">
            <v>0</v>
          </cell>
          <cell r="Q50">
            <v>3</v>
          </cell>
        </row>
        <row r="51">
          <cell r="A51">
            <v>343</v>
          </cell>
          <cell r="B51" t="str">
            <v>Sefton</v>
          </cell>
          <cell r="C51">
            <v>92</v>
          </cell>
          <cell r="D51">
            <v>14</v>
          </cell>
          <cell r="E51">
            <v>12</v>
          </cell>
          <cell r="F51">
            <v>49</v>
          </cell>
          <cell r="G51">
            <v>4</v>
          </cell>
          <cell r="H51">
            <v>13</v>
          </cell>
          <cell r="J51">
            <v>343</v>
          </cell>
          <cell r="K51" t="str">
            <v>Sefton</v>
          </cell>
          <cell r="L51">
            <v>22</v>
          </cell>
          <cell r="M51">
            <v>2</v>
          </cell>
          <cell r="N51">
            <v>3</v>
          </cell>
          <cell r="O51">
            <v>11</v>
          </cell>
          <cell r="P51">
            <v>2</v>
          </cell>
          <cell r="Q51">
            <v>4</v>
          </cell>
        </row>
        <row r="52">
          <cell r="A52">
            <v>344</v>
          </cell>
          <cell r="B52" t="str">
            <v>Wirral</v>
          </cell>
          <cell r="C52">
            <v>101</v>
          </cell>
          <cell r="D52">
            <v>20</v>
          </cell>
          <cell r="E52">
            <v>18</v>
          </cell>
          <cell r="F52">
            <v>41</v>
          </cell>
          <cell r="G52">
            <v>8</v>
          </cell>
          <cell r="H52">
            <v>14</v>
          </cell>
          <cell r="J52">
            <v>344</v>
          </cell>
          <cell r="K52" t="str">
            <v>Wirral</v>
          </cell>
          <cell r="L52">
            <v>23</v>
          </cell>
          <cell r="M52">
            <v>2</v>
          </cell>
          <cell r="N52">
            <v>1</v>
          </cell>
          <cell r="O52">
            <v>14</v>
          </cell>
          <cell r="P52">
            <v>3</v>
          </cell>
          <cell r="Q52">
            <v>3</v>
          </cell>
        </row>
        <row r="53">
          <cell r="A53">
            <v>350</v>
          </cell>
          <cell r="B53" t="str">
            <v>Bolton</v>
          </cell>
          <cell r="C53">
            <v>105</v>
          </cell>
          <cell r="D53">
            <v>9</v>
          </cell>
          <cell r="E53">
            <v>8</v>
          </cell>
          <cell r="F53">
            <v>60</v>
          </cell>
          <cell r="G53">
            <v>3</v>
          </cell>
          <cell r="H53">
            <v>25</v>
          </cell>
          <cell r="J53">
            <v>350</v>
          </cell>
          <cell r="K53" t="str">
            <v>Bolton</v>
          </cell>
          <cell r="L53">
            <v>16</v>
          </cell>
          <cell r="M53">
            <v>1</v>
          </cell>
          <cell r="N53">
            <v>0</v>
          </cell>
          <cell r="O53">
            <v>8</v>
          </cell>
          <cell r="P53">
            <v>3</v>
          </cell>
          <cell r="Q53">
            <v>4</v>
          </cell>
        </row>
        <row r="54">
          <cell r="A54">
            <v>351</v>
          </cell>
          <cell r="B54" t="str">
            <v>Bury</v>
          </cell>
          <cell r="C54">
            <v>70</v>
          </cell>
          <cell r="D54">
            <v>3</v>
          </cell>
          <cell r="E54">
            <v>3</v>
          </cell>
          <cell r="F54">
            <v>36</v>
          </cell>
          <cell r="G54">
            <v>6</v>
          </cell>
          <cell r="H54">
            <v>22</v>
          </cell>
          <cell r="J54">
            <v>351</v>
          </cell>
          <cell r="K54" t="str">
            <v>Bury</v>
          </cell>
          <cell r="L54">
            <v>14</v>
          </cell>
          <cell r="M54">
            <v>1</v>
          </cell>
          <cell r="N54">
            <v>0</v>
          </cell>
          <cell r="O54">
            <v>9</v>
          </cell>
          <cell r="P54">
            <v>1</v>
          </cell>
          <cell r="Q54">
            <v>3</v>
          </cell>
        </row>
        <row r="55">
          <cell r="A55">
            <v>352</v>
          </cell>
          <cell r="B55" t="str">
            <v>Manchester</v>
          </cell>
          <cell r="C55">
            <v>150</v>
          </cell>
          <cell r="D55">
            <v>27</v>
          </cell>
          <cell r="E55">
            <v>27</v>
          </cell>
          <cell r="F55">
            <v>78</v>
          </cell>
          <cell r="G55">
            <v>6</v>
          </cell>
          <cell r="H55">
            <v>12</v>
          </cell>
          <cell r="J55">
            <v>352</v>
          </cell>
          <cell r="K55" t="str">
            <v>Manchester</v>
          </cell>
          <cell r="L55">
            <v>25</v>
          </cell>
          <cell r="M55">
            <v>6</v>
          </cell>
          <cell r="N55">
            <v>3</v>
          </cell>
          <cell r="O55">
            <v>8</v>
          </cell>
          <cell r="P55">
            <v>3</v>
          </cell>
          <cell r="Q55">
            <v>5</v>
          </cell>
        </row>
        <row r="56">
          <cell r="A56">
            <v>353</v>
          </cell>
          <cell r="B56" t="str">
            <v>Oldham</v>
          </cell>
          <cell r="C56">
            <v>101</v>
          </cell>
          <cell r="D56">
            <v>4</v>
          </cell>
          <cell r="E56">
            <v>17</v>
          </cell>
          <cell r="F56">
            <v>48</v>
          </cell>
          <cell r="G56">
            <v>7</v>
          </cell>
          <cell r="H56">
            <v>25</v>
          </cell>
          <cell r="J56">
            <v>353</v>
          </cell>
          <cell r="K56" t="str">
            <v>Oldham</v>
          </cell>
          <cell r="L56">
            <v>15</v>
          </cell>
          <cell r="M56">
            <v>2</v>
          </cell>
          <cell r="N56">
            <v>0</v>
          </cell>
          <cell r="O56">
            <v>9</v>
          </cell>
          <cell r="P56">
            <v>1</v>
          </cell>
          <cell r="Q56">
            <v>3</v>
          </cell>
        </row>
        <row r="57">
          <cell r="A57">
            <v>354</v>
          </cell>
          <cell r="B57" t="str">
            <v>Rochdale</v>
          </cell>
          <cell r="C57">
            <v>76</v>
          </cell>
          <cell r="D57">
            <v>7</v>
          </cell>
          <cell r="E57">
            <v>7</v>
          </cell>
          <cell r="F57">
            <v>42</v>
          </cell>
          <cell r="G57">
            <v>7</v>
          </cell>
          <cell r="H57">
            <v>13</v>
          </cell>
          <cell r="J57">
            <v>354</v>
          </cell>
          <cell r="K57" t="str">
            <v>Rochdale</v>
          </cell>
          <cell r="L57">
            <v>14</v>
          </cell>
          <cell r="M57">
            <v>2</v>
          </cell>
          <cell r="N57">
            <v>3</v>
          </cell>
          <cell r="O57">
            <v>7</v>
          </cell>
          <cell r="P57">
            <v>1</v>
          </cell>
          <cell r="Q57">
            <v>1</v>
          </cell>
        </row>
        <row r="58">
          <cell r="A58">
            <v>355</v>
          </cell>
          <cell r="B58" t="str">
            <v>Salford</v>
          </cell>
          <cell r="C58">
            <v>86</v>
          </cell>
          <cell r="D58">
            <v>29</v>
          </cell>
          <cell r="E58">
            <v>12</v>
          </cell>
          <cell r="F58">
            <v>38</v>
          </cell>
          <cell r="G58">
            <v>2</v>
          </cell>
          <cell r="H58">
            <v>5</v>
          </cell>
          <cell r="J58">
            <v>355</v>
          </cell>
          <cell r="K58" t="str">
            <v>Salford</v>
          </cell>
          <cell r="L58">
            <v>17</v>
          </cell>
          <cell r="M58">
            <v>5</v>
          </cell>
          <cell r="N58">
            <v>4</v>
          </cell>
          <cell r="O58">
            <v>5</v>
          </cell>
          <cell r="P58">
            <v>1</v>
          </cell>
          <cell r="Q58">
            <v>2</v>
          </cell>
        </row>
        <row r="59">
          <cell r="A59">
            <v>356</v>
          </cell>
          <cell r="B59" t="str">
            <v>Stockport</v>
          </cell>
          <cell r="C59">
            <v>103</v>
          </cell>
          <cell r="D59">
            <v>11</v>
          </cell>
          <cell r="E59">
            <v>19</v>
          </cell>
          <cell r="F59">
            <v>59</v>
          </cell>
          <cell r="G59">
            <v>7</v>
          </cell>
          <cell r="H59">
            <v>7</v>
          </cell>
          <cell r="J59">
            <v>356</v>
          </cell>
          <cell r="K59" t="str">
            <v>Stockport</v>
          </cell>
          <cell r="L59">
            <v>14</v>
          </cell>
          <cell r="M59">
            <v>0</v>
          </cell>
          <cell r="N59">
            <v>0</v>
          </cell>
          <cell r="O59">
            <v>11</v>
          </cell>
          <cell r="P59">
            <v>1</v>
          </cell>
          <cell r="Q59">
            <v>2</v>
          </cell>
        </row>
        <row r="60">
          <cell r="A60">
            <v>357</v>
          </cell>
          <cell r="B60" t="str">
            <v>Tameside</v>
          </cell>
          <cell r="C60">
            <v>79</v>
          </cell>
          <cell r="D60">
            <v>4</v>
          </cell>
          <cell r="E60">
            <v>8</v>
          </cell>
          <cell r="F60">
            <v>42</v>
          </cell>
          <cell r="G60">
            <v>13</v>
          </cell>
          <cell r="H60">
            <v>12</v>
          </cell>
          <cell r="J60">
            <v>357</v>
          </cell>
          <cell r="K60" t="str">
            <v>Tameside</v>
          </cell>
          <cell r="L60">
            <v>18</v>
          </cell>
          <cell r="M60">
            <v>2</v>
          </cell>
          <cell r="N60">
            <v>0</v>
          </cell>
          <cell r="O60">
            <v>8</v>
          </cell>
          <cell r="P60">
            <v>5</v>
          </cell>
          <cell r="Q60">
            <v>3</v>
          </cell>
        </row>
        <row r="61">
          <cell r="A61">
            <v>358</v>
          </cell>
          <cell r="B61" t="str">
            <v>Trafford</v>
          </cell>
          <cell r="C61">
            <v>76</v>
          </cell>
          <cell r="D61">
            <v>7</v>
          </cell>
          <cell r="E61">
            <v>8</v>
          </cell>
          <cell r="F61">
            <v>46</v>
          </cell>
          <cell r="G61">
            <v>4</v>
          </cell>
          <cell r="H61">
            <v>11</v>
          </cell>
          <cell r="J61">
            <v>358</v>
          </cell>
          <cell r="K61" t="str">
            <v>Trafford</v>
          </cell>
          <cell r="L61">
            <v>18</v>
          </cell>
          <cell r="M61">
            <v>1</v>
          </cell>
          <cell r="N61">
            <v>1</v>
          </cell>
          <cell r="O61">
            <v>10</v>
          </cell>
          <cell r="P61">
            <v>3</v>
          </cell>
          <cell r="Q61">
            <v>3</v>
          </cell>
        </row>
        <row r="62">
          <cell r="A62">
            <v>359</v>
          </cell>
          <cell r="B62" t="str">
            <v>Wigan</v>
          </cell>
          <cell r="C62">
            <v>112</v>
          </cell>
          <cell r="D62">
            <v>10</v>
          </cell>
          <cell r="E62">
            <v>11</v>
          </cell>
          <cell r="F62">
            <v>55</v>
          </cell>
          <cell r="G62">
            <v>14</v>
          </cell>
          <cell r="H62">
            <v>22</v>
          </cell>
          <cell r="J62">
            <v>359</v>
          </cell>
          <cell r="K62" t="str">
            <v>Wigan</v>
          </cell>
          <cell r="L62">
            <v>21</v>
          </cell>
          <cell r="M62">
            <v>2</v>
          </cell>
          <cell r="N62">
            <v>0</v>
          </cell>
          <cell r="O62">
            <v>9</v>
          </cell>
          <cell r="P62">
            <v>4</v>
          </cell>
          <cell r="Q62">
            <v>6</v>
          </cell>
        </row>
        <row r="63">
          <cell r="A63">
            <v>370</v>
          </cell>
          <cell r="B63" t="str">
            <v>Barnsley</v>
          </cell>
          <cell r="C63">
            <v>87</v>
          </cell>
          <cell r="D63">
            <v>5</v>
          </cell>
          <cell r="E63">
            <v>15</v>
          </cell>
          <cell r="F63">
            <v>55</v>
          </cell>
          <cell r="G63">
            <v>9</v>
          </cell>
          <cell r="H63">
            <v>3</v>
          </cell>
          <cell r="J63">
            <v>370</v>
          </cell>
          <cell r="K63" t="str">
            <v>Barnsley</v>
          </cell>
          <cell r="L63">
            <v>14</v>
          </cell>
          <cell r="M63">
            <v>1</v>
          </cell>
          <cell r="N63">
            <v>0</v>
          </cell>
          <cell r="O63">
            <v>12</v>
          </cell>
          <cell r="P63">
            <v>1</v>
          </cell>
          <cell r="Q63">
            <v>0</v>
          </cell>
        </row>
        <row r="64">
          <cell r="A64">
            <v>371</v>
          </cell>
          <cell r="B64" t="str">
            <v>Doncaster</v>
          </cell>
          <cell r="C64">
            <v>113</v>
          </cell>
          <cell r="D64">
            <v>23</v>
          </cell>
          <cell r="E64">
            <v>19</v>
          </cell>
          <cell r="F64">
            <v>59</v>
          </cell>
          <cell r="G64">
            <v>7</v>
          </cell>
          <cell r="H64">
            <v>5</v>
          </cell>
          <cell r="J64">
            <v>371</v>
          </cell>
          <cell r="K64" t="str">
            <v>Doncaster</v>
          </cell>
          <cell r="L64">
            <v>17</v>
          </cell>
          <cell r="M64">
            <v>0</v>
          </cell>
          <cell r="N64">
            <v>3</v>
          </cell>
          <cell r="O64">
            <v>9</v>
          </cell>
          <cell r="P64">
            <v>1</v>
          </cell>
          <cell r="Q64">
            <v>4</v>
          </cell>
        </row>
        <row r="65">
          <cell r="A65">
            <v>372</v>
          </cell>
          <cell r="B65" t="str">
            <v>Rotherham</v>
          </cell>
          <cell r="C65">
            <v>110</v>
          </cell>
          <cell r="D65">
            <v>7</v>
          </cell>
          <cell r="E65">
            <v>20</v>
          </cell>
          <cell r="F65">
            <v>57</v>
          </cell>
          <cell r="G65">
            <v>12</v>
          </cell>
          <cell r="H65">
            <v>14</v>
          </cell>
          <cell r="J65">
            <v>372</v>
          </cell>
          <cell r="K65" t="str">
            <v>Rotherham</v>
          </cell>
          <cell r="L65">
            <v>17</v>
          </cell>
          <cell r="M65">
            <v>1</v>
          </cell>
          <cell r="N65">
            <v>3</v>
          </cell>
          <cell r="O65">
            <v>10</v>
          </cell>
          <cell r="P65">
            <v>0</v>
          </cell>
          <cell r="Q65">
            <v>3</v>
          </cell>
        </row>
        <row r="66">
          <cell r="A66">
            <v>373</v>
          </cell>
          <cell r="B66" t="str">
            <v>Sheffield</v>
          </cell>
          <cell r="C66">
            <v>148</v>
          </cell>
          <cell r="D66">
            <v>17</v>
          </cell>
          <cell r="E66">
            <v>16</v>
          </cell>
          <cell r="F66">
            <v>68</v>
          </cell>
          <cell r="G66">
            <v>12</v>
          </cell>
          <cell r="H66">
            <v>35</v>
          </cell>
          <cell r="J66">
            <v>373</v>
          </cell>
          <cell r="K66" t="str">
            <v>Sheffield</v>
          </cell>
          <cell r="L66">
            <v>27</v>
          </cell>
          <cell r="M66">
            <v>0</v>
          </cell>
          <cell r="N66">
            <v>4</v>
          </cell>
          <cell r="O66">
            <v>16</v>
          </cell>
          <cell r="P66">
            <v>1</v>
          </cell>
          <cell r="Q66">
            <v>6</v>
          </cell>
        </row>
        <row r="67">
          <cell r="A67">
            <v>380</v>
          </cell>
          <cell r="B67" t="str">
            <v>Bradford</v>
          </cell>
          <cell r="C67">
            <v>163</v>
          </cell>
          <cell r="D67">
            <v>14</v>
          </cell>
          <cell r="E67">
            <v>21</v>
          </cell>
          <cell r="F67">
            <v>80</v>
          </cell>
          <cell r="G67">
            <v>13</v>
          </cell>
          <cell r="H67">
            <v>35</v>
          </cell>
          <cell r="J67">
            <v>380</v>
          </cell>
          <cell r="K67" t="str">
            <v>Bradford</v>
          </cell>
          <cell r="L67">
            <v>82</v>
          </cell>
          <cell r="M67">
            <v>42</v>
          </cell>
          <cell r="N67">
            <v>12</v>
          </cell>
          <cell r="O67">
            <v>21</v>
          </cell>
          <cell r="P67">
            <v>2</v>
          </cell>
          <cell r="Q67">
            <v>5</v>
          </cell>
        </row>
        <row r="68">
          <cell r="A68">
            <v>381</v>
          </cell>
          <cell r="B68" t="str">
            <v>Calderdale</v>
          </cell>
          <cell r="C68">
            <v>89</v>
          </cell>
          <cell r="D68">
            <v>12</v>
          </cell>
          <cell r="E68">
            <v>9</v>
          </cell>
          <cell r="F68">
            <v>42</v>
          </cell>
          <cell r="G68">
            <v>8</v>
          </cell>
          <cell r="H68">
            <v>18</v>
          </cell>
          <cell r="J68">
            <v>381</v>
          </cell>
          <cell r="K68" t="str">
            <v>Calderdale</v>
          </cell>
          <cell r="L68">
            <v>15</v>
          </cell>
          <cell r="M68">
            <v>0</v>
          </cell>
          <cell r="N68">
            <v>1</v>
          </cell>
          <cell r="O68">
            <v>9</v>
          </cell>
          <cell r="P68">
            <v>1</v>
          </cell>
          <cell r="Q68">
            <v>4</v>
          </cell>
        </row>
        <row r="69">
          <cell r="A69">
            <v>382</v>
          </cell>
          <cell r="B69" t="str">
            <v>Kirklees</v>
          </cell>
          <cell r="C69">
            <v>152</v>
          </cell>
          <cell r="D69">
            <v>14</v>
          </cell>
          <cell r="E69">
            <v>18</v>
          </cell>
          <cell r="F69">
            <v>85</v>
          </cell>
          <cell r="G69">
            <v>16</v>
          </cell>
          <cell r="H69">
            <v>19</v>
          </cell>
          <cell r="J69">
            <v>382</v>
          </cell>
          <cell r="K69" t="str">
            <v>Kirklees</v>
          </cell>
          <cell r="L69">
            <v>32</v>
          </cell>
          <cell r="M69">
            <v>3</v>
          </cell>
          <cell r="N69">
            <v>2</v>
          </cell>
          <cell r="O69">
            <v>20</v>
          </cell>
          <cell r="P69">
            <v>2</v>
          </cell>
          <cell r="Q69">
            <v>5</v>
          </cell>
        </row>
        <row r="70">
          <cell r="A70">
            <v>383</v>
          </cell>
          <cell r="B70" t="str">
            <v>Leeds</v>
          </cell>
          <cell r="C70">
            <v>244</v>
          </cell>
          <cell r="D70">
            <v>50</v>
          </cell>
          <cell r="E70">
            <v>24</v>
          </cell>
          <cell r="F70">
            <v>141</v>
          </cell>
          <cell r="G70">
            <v>13</v>
          </cell>
          <cell r="H70">
            <v>16</v>
          </cell>
          <cell r="J70">
            <v>383</v>
          </cell>
          <cell r="K70" t="str">
            <v>Leeds</v>
          </cell>
          <cell r="L70">
            <v>43</v>
          </cell>
          <cell r="M70">
            <v>7</v>
          </cell>
          <cell r="N70">
            <v>2</v>
          </cell>
          <cell r="O70">
            <v>27</v>
          </cell>
          <cell r="P70">
            <v>5</v>
          </cell>
          <cell r="Q70">
            <v>2</v>
          </cell>
        </row>
        <row r="71">
          <cell r="A71">
            <v>384</v>
          </cell>
          <cell r="B71" t="str">
            <v>Wakefield</v>
          </cell>
          <cell r="C71">
            <v>130</v>
          </cell>
          <cell r="D71">
            <v>14</v>
          </cell>
          <cell r="E71">
            <v>13</v>
          </cell>
          <cell r="F71">
            <v>76</v>
          </cell>
          <cell r="G71">
            <v>14</v>
          </cell>
          <cell r="H71">
            <v>13</v>
          </cell>
          <cell r="J71">
            <v>384</v>
          </cell>
          <cell r="K71" t="str">
            <v>Wakefield</v>
          </cell>
          <cell r="L71">
            <v>18</v>
          </cell>
          <cell r="M71">
            <v>2</v>
          </cell>
          <cell r="N71">
            <v>1</v>
          </cell>
          <cell r="O71">
            <v>12</v>
          </cell>
          <cell r="P71">
            <v>1</v>
          </cell>
          <cell r="Q71">
            <v>2</v>
          </cell>
        </row>
        <row r="72">
          <cell r="A72">
            <v>390</v>
          </cell>
          <cell r="B72" t="str">
            <v>Gateshead</v>
          </cell>
          <cell r="C72">
            <v>76</v>
          </cell>
          <cell r="D72">
            <v>8</v>
          </cell>
          <cell r="E72">
            <v>9</v>
          </cell>
          <cell r="F72">
            <v>51</v>
          </cell>
          <cell r="G72">
            <v>4</v>
          </cell>
          <cell r="H72">
            <v>4</v>
          </cell>
          <cell r="J72">
            <v>390</v>
          </cell>
          <cell r="K72" t="str">
            <v>Gateshead</v>
          </cell>
          <cell r="L72">
            <v>10</v>
          </cell>
          <cell r="M72">
            <v>0</v>
          </cell>
          <cell r="N72">
            <v>1</v>
          </cell>
          <cell r="O72">
            <v>5</v>
          </cell>
          <cell r="P72">
            <v>2</v>
          </cell>
          <cell r="Q72">
            <v>2</v>
          </cell>
        </row>
        <row r="73">
          <cell r="A73">
            <v>391</v>
          </cell>
          <cell r="B73" t="str">
            <v>Newcastle upon Tyne</v>
          </cell>
          <cell r="C73">
            <v>76</v>
          </cell>
          <cell r="D73">
            <v>23</v>
          </cell>
          <cell r="E73">
            <v>11</v>
          </cell>
          <cell r="F73">
            <v>30</v>
          </cell>
          <cell r="G73">
            <v>2</v>
          </cell>
          <cell r="H73">
            <v>10</v>
          </cell>
          <cell r="J73">
            <v>391</v>
          </cell>
          <cell r="K73" t="str">
            <v>Newcastle upon Tyne</v>
          </cell>
          <cell r="L73">
            <v>21</v>
          </cell>
          <cell r="M73">
            <v>4</v>
          </cell>
          <cell r="N73">
            <v>2</v>
          </cell>
          <cell r="O73">
            <v>12</v>
          </cell>
          <cell r="P73">
            <v>2</v>
          </cell>
          <cell r="Q73">
            <v>1</v>
          </cell>
        </row>
        <row r="74">
          <cell r="A74">
            <v>392</v>
          </cell>
          <cell r="B74" t="str">
            <v>North Tyneside</v>
          </cell>
          <cell r="C74">
            <v>56</v>
          </cell>
          <cell r="D74">
            <v>13</v>
          </cell>
          <cell r="E74">
            <v>5</v>
          </cell>
          <cell r="F74">
            <v>24</v>
          </cell>
          <cell r="G74">
            <v>6</v>
          </cell>
          <cell r="H74">
            <v>8</v>
          </cell>
          <cell r="J74">
            <v>392</v>
          </cell>
          <cell r="K74" t="str">
            <v>North Tyneside</v>
          </cell>
          <cell r="L74">
            <v>23</v>
          </cell>
          <cell r="M74">
            <v>6</v>
          </cell>
          <cell r="N74">
            <v>4</v>
          </cell>
          <cell r="O74">
            <v>10</v>
          </cell>
          <cell r="P74">
            <v>0</v>
          </cell>
          <cell r="Q74">
            <v>3</v>
          </cell>
        </row>
        <row r="75">
          <cell r="A75">
            <v>393</v>
          </cell>
          <cell r="B75" t="str">
            <v>South Tyneside</v>
          </cell>
          <cell r="C75">
            <v>57</v>
          </cell>
          <cell r="D75">
            <v>8</v>
          </cell>
          <cell r="E75">
            <v>8</v>
          </cell>
          <cell r="F75">
            <v>32</v>
          </cell>
          <cell r="G75">
            <v>3</v>
          </cell>
          <cell r="H75">
            <v>6</v>
          </cell>
          <cell r="J75">
            <v>393</v>
          </cell>
          <cell r="K75" t="str">
            <v>South Tyneside</v>
          </cell>
          <cell r="L75">
            <v>11</v>
          </cell>
          <cell r="M75">
            <v>1</v>
          </cell>
          <cell r="N75">
            <v>2</v>
          </cell>
          <cell r="O75">
            <v>6</v>
          </cell>
          <cell r="P75">
            <v>1</v>
          </cell>
          <cell r="Q75">
            <v>1</v>
          </cell>
        </row>
        <row r="76">
          <cell r="A76">
            <v>394</v>
          </cell>
          <cell r="B76" t="str">
            <v>Sunderland</v>
          </cell>
          <cell r="C76">
            <v>96</v>
          </cell>
          <cell r="D76">
            <v>24</v>
          </cell>
          <cell r="E76">
            <v>17</v>
          </cell>
          <cell r="F76">
            <v>49</v>
          </cell>
          <cell r="G76">
            <v>4</v>
          </cell>
          <cell r="H76">
            <v>2</v>
          </cell>
          <cell r="J76">
            <v>394</v>
          </cell>
          <cell r="K76" t="str">
            <v>Sunderland</v>
          </cell>
          <cell r="L76">
            <v>17</v>
          </cell>
          <cell r="M76">
            <v>2</v>
          </cell>
          <cell r="N76">
            <v>1</v>
          </cell>
          <cell r="O76">
            <v>10</v>
          </cell>
          <cell r="P76">
            <v>3</v>
          </cell>
          <cell r="Q76">
            <v>1</v>
          </cell>
        </row>
        <row r="77">
          <cell r="A77">
            <v>420</v>
          </cell>
          <cell r="B77" t="str">
            <v>Isles of Scilly</v>
          </cell>
          <cell r="C77">
            <v>4</v>
          </cell>
          <cell r="D77">
            <v>1</v>
          </cell>
          <cell r="E77">
            <v>3</v>
          </cell>
          <cell r="F77">
            <v>0</v>
          </cell>
          <cell r="G77">
            <v>0</v>
          </cell>
          <cell r="H77">
            <v>0</v>
          </cell>
          <cell r="J77">
            <v>420</v>
          </cell>
          <cell r="K77" t="str">
            <v>Isles of Scilly</v>
          </cell>
          <cell r="L77">
            <v>1</v>
          </cell>
          <cell r="M77">
            <v>1</v>
          </cell>
          <cell r="N77">
            <v>0</v>
          </cell>
          <cell r="O77">
            <v>0</v>
          </cell>
          <cell r="P77">
            <v>0</v>
          </cell>
          <cell r="Q77">
            <v>0</v>
          </cell>
        </row>
        <row r="78">
          <cell r="A78">
            <v>800</v>
          </cell>
          <cell r="B78" t="str">
            <v>Bath and North East Somerset</v>
          </cell>
          <cell r="C78">
            <v>69</v>
          </cell>
          <cell r="D78">
            <v>5</v>
          </cell>
          <cell r="E78">
            <v>11</v>
          </cell>
          <cell r="F78">
            <v>35</v>
          </cell>
          <cell r="G78">
            <v>8</v>
          </cell>
          <cell r="H78">
            <v>10</v>
          </cell>
          <cell r="J78">
            <v>800</v>
          </cell>
          <cell r="K78" t="str">
            <v>Bath and North East Somerset</v>
          </cell>
          <cell r="L78">
            <v>13</v>
          </cell>
          <cell r="M78">
            <v>1</v>
          </cell>
          <cell r="N78">
            <v>2</v>
          </cell>
          <cell r="O78">
            <v>7</v>
          </cell>
          <cell r="P78">
            <v>1</v>
          </cell>
          <cell r="Q78">
            <v>2</v>
          </cell>
        </row>
        <row r="79">
          <cell r="A79">
            <v>801</v>
          </cell>
          <cell r="B79" t="str">
            <v>Bristol, City of</v>
          </cell>
          <cell r="C79">
            <v>121</v>
          </cell>
          <cell r="D79">
            <v>14</v>
          </cell>
          <cell r="E79">
            <v>11</v>
          </cell>
          <cell r="F79">
            <v>64</v>
          </cell>
          <cell r="G79">
            <v>7</v>
          </cell>
          <cell r="H79">
            <v>25</v>
          </cell>
          <cell r="J79">
            <v>801</v>
          </cell>
          <cell r="K79" t="str">
            <v>Bristol, City of</v>
          </cell>
          <cell r="L79">
            <v>22</v>
          </cell>
          <cell r="M79">
            <v>2</v>
          </cell>
          <cell r="N79">
            <v>8</v>
          </cell>
          <cell r="O79">
            <v>10</v>
          </cell>
          <cell r="P79">
            <v>1</v>
          </cell>
          <cell r="Q79">
            <v>1</v>
          </cell>
        </row>
        <row r="80">
          <cell r="A80">
            <v>802</v>
          </cell>
          <cell r="B80" t="str">
            <v>North Somerset</v>
          </cell>
          <cell r="C80">
            <v>65</v>
          </cell>
          <cell r="D80">
            <v>1</v>
          </cell>
          <cell r="E80">
            <v>3</v>
          </cell>
          <cell r="F80">
            <v>46</v>
          </cell>
          <cell r="G80">
            <v>6</v>
          </cell>
          <cell r="H80">
            <v>9</v>
          </cell>
          <cell r="J80">
            <v>802</v>
          </cell>
          <cell r="K80" t="str">
            <v>North Somerset</v>
          </cell>
          <cell r="L80">
            <v>10</v>
          </cell>
          <cell r="M80">
            <v>0</v>
          </cell>
          <cell r="N80">
            <v>1</v>
          </cell>
          <cell r="O80">
            <v>8</v>
          </cell>
          <cell r="P80">
            <v>1</v>
          </cell>
          <cell r="Q80">
            <v>0</v>
          </cell>
        </row>
        <row r="81">
          <cell r="A81">
            <v>803</v>
          </cell>
          <cell r="B81" t="str">
            <v>South Gloucestershire</v>
          </cell>
          <cell r="C81">
            <v>97</v>
          </cell>
          <cell r="D81">
            <v>7</v>
          </cell>
          <cell r="E81">
            <v>11</v>
          </cell>
          <cell r="F81">
            <v>53</v>
          </cell>
          <cell r="G81">
            <v>3</v>
          </cell>
          <cell r="H81">
            <v>23</v>
          </cell>
          <cell r="J81">
            <v>803</v>
          </cell>
          <cell r="K81" t="str">
            <v>South Gloucestershire</v>
          </cell>
          <cell r="L81">
            <v>14</v>
          </cell>
          <cell r="M81">
            <v>1</v>
          </cell>
          <cell r="N81">
            <v>2</v>
          </cell>
          <cell r="O81">
            <v>8</v>
          </cell>
          <cell r="P81">
            <v>2</v>
          </cell>
          <cell r="Q81">
            <v>1</v>
          </cell>
        </row>
        <row r="82">
          <cell r="A82">
            <v>805</v>
          </cell>
          <cell r="B82" t="str">
            <v>Hartlepool</v>
          </cell>
          <cell r="C82">
            <v>30</v>
          </cell>
          <cell r="D82">
            <v>2</v>
          </cell>
          <cell r="E82">
            <v>4</v>
          </cell>
          <cell r="F82">
            <v>20</v>
          </cell>
          <cell r="G82">
            <v>0</v>
          </cell>
          <cell r="H82">
            <v>4</v>
          </cell>
          <cell r="J82">
            <v>805</v>
          </cell>
          <cell r="K82" t="str">
            <v>Hartlepool</v>
          </cell>
          <cell r="L82">
            <v>6</v>
          </cell>
          <cell r="M82">
            <v>0</v>
          </cell>
          <cell r="N82">
            <v>1</v>
          </cell>
          <cell r="O82">
            <v>5</v>
          </cell>
          <cell r="P82">
            <v>0</v>
          </cell>
          <cell r="Q82">
            <v>0</v>
          </cell>
        </row>
        <row r="83">
          <cell r="A83">
            <v>806</v>
          </cell>
          <cell r="B83" t="str">
            <v>Middlesbrough</v>
          </cell>
          <cell r="C83">
            <v>47</v>
          </cell>
          <cell r="D83">
            <v>5</v>
          </cell>
          <cell r="E83">
            <v>6</v>
          </cell>
          <cell r="F83">
            <v>33</v>
          </cell>
          <cell r="G83">
            <v>1</v>
          </cell>
          <cell r="H83">
            <v>2</v>
          </cell>
          <cell r="J83">
            <v>806</v>
          </cell>
          <cell r="K83" t="str">
            <v>Middlesbrough</v>
          </cell>
          <cell r="L83">
            <v>11</v>
          </cell>
          <cell r="M83">
            <v>1</v>
          </cell>
          <cell r="N83">
            <v>2</v>
          </cell>
          <cell r="O83">
            <v>6</v>
          </cell>
          <cell r="P83">
            <v>0</v>
          </cell>
          <cell r="Q83">
            <v>2</v>
          </cell>
        </row>
        <row r="84">
          <cell r="A84">
            <v>807</v>
          </cell>
          <cell r="B84" t="str">
            <v>Redcar and Cleveland</v>
          </cell>
          <cell r="C84">
            <v>53</v>
          </cell>
          <cell r="D84">
            <v>6</v>
          </cell>
          <cell r="E84">
            <v>8</v>
          </cell>
          <cell r="F84">
            <v>35</v>
          </cell>
          <cell r="G84">
            <v>4</v>
          </cell>
          <cell r="H84">
            <v>0</v>
          </cell>
          <cell r="J84">
            <v>807</v>
          </cell>
          <cell r="K84" t="str">
            <v>Redcar and Cleveland</v>
          </cell>
          <cell r="L84">
            <v>13</v>
          </cell>
          <cell r="M84">
            <v>2</v>
          </cell>
          <cell r="N84">
            <v>3</v>
          </cell>
          <cell r="O84">
            <v>7</v>
          </cell>
          <cell r="P84">
            <v>1</v>
          </cell>
          <cell r="Q84">
            <v>0</v>
          </cell>
        </row>
        <row r="85">
          <cell r="A85">
            <v>808</v>
          </cell>
          <cell r="B85" t="str">
            <v>Stockton-on-Tees</v>
          </cell>
          <cell r="C85">
            <v>64</v>
          </cell>
          <cell r="D85">
            <v>2</v>
          </cell>
          <cell r="E85">
            <v>5</v>
          </cell>
          <cell r="F85">
            <v>47</v>
          </cell>
          <cell r="G85">
            <v>3</v>
          </cell>
          <cell r="H85">
            <v>7</v>
          </cell>
          <cell r="J85">
            <v>808</v>
          </cell>
          <cell r="K85" t="str">
            <v>Stockton-on-Tees</v>
          </cell>
          <cell r="L85">
            <v>13</v>
          </cell>
          <cell r="M85">
            <v>2</v>
          </cell>
          <cell r="N85">
            <v>0</v>
          </cell>
          <cell r="O85">
            <v>11</v>
          </cell>
          <cell r="P85">
            <v>0</v>
          </cell>
          <cell r="Q85">
            <v>0</v>
          </cell>
        </row>
        <row r="86">
          <cell r="A86">
            <v>810</v>
          </cell>
          <cell r="B86" t="str">
            <v>Kingston Upon Hull, City of</v>
          </cell>
          <cell r="C86">
            <v>80</v>
          </cell>
          <cell r="D86">
            <v>16</v>
          </cell>
          <cell r="E86">
            <v>17</v>
          </cell>
          <cell r="F86">
            <v>36</v>
          </cell>
          <cell r="G86">
            <v>2</v>
          </cell>
          <cell r="H86">
            <v>9</v>
          </cell>
          <cell r="J86">
            <v>810</v>
          </cell>
          <cell r="K86" t="str">
            <v>Kingston Upon Hull, City of</v>
          </cell>
          <cell r="L86">
            <v>16</v>
          </cell>
          <cell r="M86">
            <v>3</v>
          </cell>
          <cell r="N86">
            <v>1</v>
          </cell>
          <cell r="O86">
            <v>8</v>
          </cell>
          <cell r="P86">
            <v>3</v>
          </cell>
          <cell r="Q86">
            <v>1</v>
          </cell>
        </row>
        <row r="87">
          <cell r="A87">
            <v>811</v>
          </cell>
          <cell r="B87" t="str">
            <v>East Riding of Yorkshire</v>
          </cell>
          <cell r="C87">
            <v>135</v>
          </cell>
          <cell r="D87">
            <v>14</v>
          </cell>
          <cell r="E87">
            <v>28</v>
          </cell>
          <cell r="F87">
            <v>65</v>
          </cell>
          <cell r="G87">
            <v>4</v>
          </cell>
          <cell r="H87">
            <v>24</v>
          </cell>
          <cell r="J87">
            <v>811</v>
          </cell>
          <cell r="K87" t="str">
            <v>East Riding of Yorkshire</v>
          </cell>
          <cell r="L87">
            <v>18</v>
          </cell>
          <cell r="M87">
            <v>1</v>
          </cell>
          <cell r="N87">
            <v>1</v>
          </cell>
          <cell r="O87">
            <v>11</v>
          </cell>
          <cell r="P87">
            <v>3</v>
          </cell>
          <cell r="Q87">
            <v>2</v>
          </cell>
        </row>
        <row r="88">
          <cell r="A88">
            <v>812</v>
          </cell>
          <cell r="B88" t="str">
            <v>North East Lincolnshire</v>
          </cell>
          <cell r="C88">
            <v>62</v>
          </cell>
          <cell r="D88">
            <v>11</v>
          </cell>
          <cell r="E88">
            <v>16</v>
          </cell>
          <cell r="F88">
            <v>33</v>
          </cell>
          <cell r="G88">
            <v>1</v>
          </cell>
          <cell r="H88">
            <v>1</v>
          </cell>
          <cell r="J88">
            <v>812</v>
          </cell>
          <cell r="K88" t="str">
            <v>North East Lincolnshire</v>
          </cell>
          <cell r="L88">
            <v>12</v>
          </cell>
          <cell r="M88">
            <v>0</v>
          </cell>
          <cell r="N88">
            <v>1</v>
          </cell>
          <cell r="O88">
            <v>10</v>
          </cell>
          <cell r="P88">
            <v>0</v>
          </cell>
          <cell r="Q88">
            <v>1</v>
          </cell>
        </row>
        <row r="89">
          <cell r="A89">
            <v>813</v>
          </cell>
          <cell r="B89" t="str">
            <v>North Lincolnshire</v>
          </cell>
          <cell r="C89">
            <v>69</v>
          </cell>
          <cell r="D89">
            <v>8</v>
          </cell>
          <cell r="E89">
            <v>12</v>
          </cell>
          <cell r="F89">
            <v>41</v>
          </cell>
          <cell r="G89">
            <v>5</v>
          </cell>
          <cell r="H89">
            <v>3</v>
          </cell>
          <cell r="J89">
            <v>813</v>
          </cell>
          <cell r="K89" t="str">
            <v>North Lincolnshire</v>
          </cell>
          <cell r="L89">
            <v>14</v>
          </cell>
          <cell r="M89">
            <v>3</v>
          </cell>
          <cell r="N89">
            <v>0</v>
          </cell>
          <cell r="O89">
            <v>8</v>
          </cell>
          <cell r="P89">
            <v>1</v>
          </cell>
          <cell r="Q89">
            <v>2</v>
          </cell>
        </row>
        <row r="90">
          <cell r="A90">
            <v>815</v>
          </cell>
          <cell r="B90" t="str">
            <v>North Yorkshire</v>
          </cell>
          <cell r="C90">
            <v>328</v>
          </cell>
          <cell r="D90">
            <v>37</v>
          </cell>
          <cell r="E90">
            <v>78</v>
          </cell>
          <cell r="F90">
            <v>150</v>
          </cell>
          <cell r="G90">
            <v>13</v>
          </cell>
          <cell r="H90">
            <v>50</v>
          </cell>
          <cell r="J90">
            <v>815</v>
          </cell>
          <cell r="K90" t="str">
            <v>North Yorkshire</v>
          </cell>
          <cell r="L90">
            <v>47</v>
          </cell>
          <cell r="M90">
            <v>2</v>
          </cell>
          <cell r="N90">
            <v>3</v>
          </cell>
          <cell r="O90">
            <v>25</v>
          </cell>
          <cell r="P90">
            <v>6</v>
          </cell>
          <cell r="Q90">
            <v>11</v>
          </cell>
        </row>
        <row r="91">
          <cell r="A91">
            <v>816</v>
          </cell>
          <cell r="B91" t="str">
            <v>York</v>
          </cell>
          <cell r="C91">
            <v>60</v>
          </cell>
          <cell r="D91">
            <v>10</v>
          </cell>
          <cell r="E91">
            <v>8</v>
          </cell>
          <cell r="F91">
            <v>31</v>
          </cell>
          <cell r="G91">
            <v>3</v>
          </cell>
          <cell r="H91">
            <v>8</v>
          </cell>
          <cell r="J91">
            <v>816</v>
          </cell>
          <cell r="K91" t="str">
            <v>York</v>
          </cell>
          <cell r="L91">
            <v>12</v>
          </cell>
          <cell r="M91">
            <v>1</v>
          </cell>
          <cell r="N91">
            <v>3</v>
          </cell>
          <cell r="O91">
            <v>7</v>
          </cell>
          <cell r="P91">
            <v>0</v>
          </cell>
          <cell r="Q91">
            <v>1</v>
          </cell>
        </row>
        <row r="92">
          <cell r="A92">
            <v>820</v>
          </cell>
          <cell r="B92" t="str">
            <v>Bedfordshire</v>
          </cell>
          <cell r="C92">
            <v>147</v>
          </cell>
          <cell r="D92">
            <v>23</v>
          </cell>
          <cell r="E92">
            <v>34</v>
          </cell>
          <cell r="F92">
            <v>63</v>
          </cell>
          <cell r="G92">
            <v>14</v>
          </cell>
          <cell r="H92">
            <v>13</v>
          </cell>
          <cell r="J92">
            <v>820</v>
          </cell>
          <cell r="K92" t="str">
            <v>Bedfordshire</v>
          </cell>
          <cell r="L92">
            <v>57</v>
          </cell>
          <cell r="M92">
            <v>10</v>
          </cell>
          <cell r="N92">
            <v>3</v>
          </cell>
          <cell r="O92">
            <v>30</v>
          </cell>
          <cell r="P92">
            <v>8</v>
          </cell>
          <cell r="Q92">
            <v>6</v>
          </cell>
        </row>
        <row r="93">
          <cell r="A93">
            <v>821</v>
          </cell>
          <cell r="B93" t="str">
            <v>Luton</v>
          </cell>
          <cell r="C93">
            <v>65</v>
          </cell>
          <cell r="D93">
            <v>7</v>
          </cell>
          <cell r="E93">
            <v>11</v>
          </cell>
          <cell r="F93">
            <v>44</v>
          </cell>
          <cell r="G93">
            <v>2</v>
          </cell>
          <cell r="H93">
            <v>1</v>
          </cell>
          <cell r="J93">
            <v>821</v>
          </cell>
          <cell r="K93" t="str">
            <v>Luton</v>
          </cell>
          <cell r="L93">
            <v>12</v>
          </cell>
          <cell r="M93">
            <v>0</v>
          </cell>
          <cell r="N93">
            <v>0</v>
          </cell>
          <cell r="O93">
            <v>9</v>
          </cell>
          <cell r="P93">
            <v>3</v>
          </cell>
          <cell r="Q93">
            <v>0</v>
          </cell>
        </row>
        <row r="94">
          <cell r="A94">
            <v>825</v>
          </cell>
          <cell r="B94" t="str">
            <v>Buckinghamshire</v>
          </cell>
          <cell r="C94">
            <v>195</v>
          </cell>
          <cell r="D94">
            <v>42</v>
          </cell>
          <cell r="E94">
            <v>38</v>
          </cell>
          <cell r="F94">
            <v>92</v>
          </cell>
          <cell r="G94">
            <v>10</v>
          </cell>
          <cell r="H94">
            <v>13</v>
          </cell>
          <cell r="J94">
            <v>825</v>
          </cell>
          <cell r="K94" t="str">
            <v>Buckinghamshire</v>
          </cell>
          <cell r="L94">
            <v>34</v>
          </cell>
          <cell r="M94">
            <v>2</v>
          </cell>
          <cell r="N94">
            <v>0</v>
          </cell>
          <cell r="O94">
            <v>16</v>
          </cell>
          <cell r="P94">
            <v>8</v>
          </cell>
          <cell r="Q94">
            <v>8</v>
          </cell>
        </row>
        <row r="95">
          <cell r="A95">
            <v>826</v>
          </cell>
          <cell r="B95" t="str">
            <v>Milton Keynes</v>
          </cell>
          <cell r="C95">
            <v>86</v>
          </cell>
          <cell r="D95">
            <v>14</v>
          </cell>
          <cell r="E95">
            <v>21</v>
          </cell>
          <cell r="F95">
            <v>43</v>
          </cell>
          <cell r="G95">
            <v>4</v>
          </cell>
          <cell r="H95">
            <v>4</v>
          </cell>
          <cell r="J95">
            <v>826</v>
          </cell>
          <cell r="K95" t="str">
            <v>Milton Keynes</v>
          </cell>
          <cell r="L95">
            <v>11</v>
          </cell>
          <cell r="M95">
            <v>3</v>
          </cell>
          <cell r="N95">
            <v>0</v>
          </cell>
          <cell r="O95">
            <v>6</v>
          </cell>
          <cell r="P95">
            <v>1</v>
          </cell>
          <cell r="Q95">
            <v>1</v>
          </cell>
        </row>
        <row r="96">
          <cell r="A96">
            <v>830</v>
          </cell>
          <cell r="B96" t="str">
            <v>Derbyshire</v>
          </cell>
          <cell r="C96">
            <v>362</v>
          </cell>
          <cell r="D96">
            <v>43</v>
          </cell>
          <cell r="E96">
            <v>54</v>
          </cell>
          <cell r="F96">
            <v>123</v>
          </cell>
          <cell r="G96">
            <v>22</v>
          </cell>
          <cell r="H96">
            <v>120</v>
          </cell>
          <cell r="J96">
            <v>830</v>
          </cell>
          <cell r="K96" t="str">
            <v>Derbyshire</v>
          </cell>
          <cell r="L96">
            <v>47</v>
          </cell>
          <cell r="M96">
            <v>8</v>
          </cell>
          <cell r="N96">
            <v>4</v>
          </cell>
          <cell r="O96">
            <v>16</v>
          </cell>
          <cell r="P96">
            <v>4</v>
          </cell>
          <cell r="Q96">
            <v>15</v>
          </cell>
        </row>
        <row r="97">
          <cell r="A97">
            <v>831</v>
          </cell>
          <cell r="B97" t="str">
            <v>Derby</v>
          </cell>
          <cell r="C97">
            <v>81</v>
          </cell>
          <cell r="D97">
            <v>3</v>
          </cell>
          <cell r="E97">
            <v>9</v>
          </cell>
          <cell r="F97">
            <v>55</v>
          </cell>
          <cell r="G97">
            <v>6</v>
          </cell>
          <cell r="H97">
            <v>8</v>
          </cell>
          <cell r="J97">
            <v>831</v>
          </cell>
          <cell r="K97" t="str">
            <v>Derby</v>
          </cell>
          <cell r="L97">
            <v>14</v>
          </cell>
          <cell r="M97">
            <v>4</v>
          </cell>
          <cell r="N97">
            <v>0</v>
          </cell>
          <cell r="O97">
            <v>8</v>
          </cell>
          <cell r="P97">
            <v>0</v>
          </cell>
          <cell r="Q97">
            <v>2</v>
          </cell>
        </row>
        <row r="98">
          <cell r="A98">
            <v>835</v>
          </cell>
          <cell r="B98" t="str">
            <v>Dorset</v>
          </cell>
          <cell r="C98">
            <v>138</v>
          </cell>
          <cell r="D98">
            <v>14</v>
          </cell>
          <cell r="E98">
            <v>24</v>
          </cell>
          <cell r="F98">
            <v>66</v>
          </cell>
          <cell r="G98">
            <v>12</v>
          </cell>
          <cell r="H98">
            <v>22</v>
          </cell>
          <cell r="J98">
            <v>835</v>
          </cell>
          <cell r="K98" t="str">
            <v>Dorset</v>
          </cell>
          <cell r="L98">
            <v>37</v>
          </cell>
          <cell r="M98">
            <v>2</v>
          </cell>
          <cell r="N98">
            <v>3</v>
          </cell>
          <cell r="O98">
            <v>21</v>
          </cell>
          <cell r="P98">
            <v>3</v>
          </cell>
          <cell r="Q98">
            <v>8</v>
          </cell>
        </row>
        <row r="99">
          <cell r="A99">
            <v>836</v>
          </cell>
          <cell r="B99" t="str">
            <v>Poole</v>
          </cell>
          <cell r="C99">
            <v>30</v>
          </cell>
          <cell r="D99">
            <v>2</v>
          </cell>
          <cell r="E99">
            <v>3</v>
          </cell>
          <cell r="F99">
            <v>15</v>
          </cell>
          <cell r="G99">
            <v>3</v>
          </cell>
          <cell r="H99">
            <v>7</v>
          </cell>
          <cell r="J99">
            <v>836</v>
          </cell>
          <cell r="K99" t="str">
            <v>Poole</v>
          </cell>
          <cell r="L99">
            <v>9</v>
          </cell>
          <cell r="M99">
            <v>0</v>
          </cell>
          <cell r="N99">
            <v>1</v>
          </cell>
          <cell r="O99">
            <v>7</v>
          </cell>
          <cell r="P99">
            <v>0</v>
          </cell>
          <cell r="Q99">
            <v>1</v>
          </cell>
        </row>
        <row r="100">
          <cell r="A100">
            <v>837</v>
          </cell>
          <cell r="B100" t="str">
            <v>Bournemouth</v>
          </cell>
          <cell r="C100">
            <v>28</v>
          </cell>
          <cell r="D100">
            <v>1</v>
          </cell>
          <cell r="E100">
            <v>1</v>
          </cell>
          <cell r="F100">
            <v>9</v>
          </cell>
          <cell r="G100">
            <v>9</v>
          </cell>
          <cell r="H100">
            <v>8</v>
          </cell>
          <cell r="J100">
            <v>837</v>
          </cell>
          <cell r="K100" t="str">
            <v>Bournemouth</v>
          </cell>
          <cell r="L100">
            <v>10</v>
          </cell>
          <cell r="M100">
            <v>1</v>
          </cell>
          <cell r="N100">
            <v>0</v>
          </cell>
          <cell r="O100">
            <v>8</v>
          </cell>
          <cell r="P100">
            <v>0</v>
          </cell>
          <cell r="Q100">
            <v>1</v>
          </cell>
        </row>
        <row r="101">
          <cell r="A101">
            <v>840</v>
          </cell>
          <cell r="B101" t="str">
            <v>Durham</v>
          </cell>
          <cell r="C101">
            <v>247</v>
          </cell>
          <cell r="D101">
            <v>53</v>
          </cell>
          <cell r="E101">
            <v>45</v>
          </cell>
          <cell r="F101">
            <v>108</v>
          </cell>
          <cell r="G101">
            <v>14</v>
          </cell>
          <cell r="H101">
            <v>27</v>
          </cell>
          <cell r="J101">
            <v>840</v>
          </cell>
          <cell r="K101" t="str">
            <v>Durham</v>
          </cell>
          <cell r="L101">
            <v>36</v>
          </cell>
          <cell r="M101">
            <v>4</v>
          </cell>
          <cell r="N101">
            <v>5</v>
          </cell>
          <cell r="O101">
            <v>23</v>
          </cell>
          <cell r="P101">
            <v>1</v>
          </cell>
          <cell r="Q101">
            <v>3</v>
          </cell>
        </row>
        <row r="102">
          <cell r="A102">
            <v>841</v>
          </cell>
          <cell r="B102" t="str">
            <v>Darlington</v>
          </cell>
          <cell r="C102">
            <v>38</v>
          </cell>
          <cell r="D102">
            <v>6</v>
          </cell>
          <cell r="E102">
            <v>3</v>
          </cell>
          <cell r="F102">
            <v>17</v>
          </cell>
          <cell r="G102">
            <v>4</v>
          </cell>
          <cell r="H102">
            <v>8</v>
          </cell>
          <cell r="J102">
            <v>841</v>
          </cell>
          <cell r="K102" t="str">
            <v>Darlington</v>
          </cell>
          <cell r="L102">
            <v>7</v>
          </cell>
          <cell r="M102">
            <v>0</v>
          </cell>
          <cell r="N102">
            <v>2</v>
          </cell>
          <cell r="O102">
            <v>3</v>
          </cell>
          <cell r="P102">
            <v>1</v>
          </cell>
          <cell r="Q102">
            <v>1</v>
          </cell>
        </row>
        <row r="103">
          <cell r="A103">
            <v>845</v>
          </cell>
          <cell r="B103" t="str">
            <v>East Sussex</v>
          </cell>
          <cell r="C103">
            <v>155</v>
          </cell>
          <cell r="D103">
            <v>10</v>
          </cell>
          <cell r="E103">
            <v>22</v>
          </cell>
          <cell r="F103">
            <v>70</v>
          </cell>
          <cell r="G103">
            <v>14</v>
          </cell>
          <cell r="H103">
            <v>39</v>
          </cell>
          <cell r="J103">
            <v>845</v>
          </cell>
          <cell r="K103" t="str">
            <v>East Sussex</v>
          </cell>
          <cell r="L103">
            <v>26</v>
          </cell>
          <cell r="M103">
            <v>1</v>
          </cell>
          <cell r="N103">
            <v>1</v>
          </cell>
          <cell r="O103">
            <v>17</v>
          </cell>
          <cell r="P103">
            <v>2</v>
          </cell>
          <cell r="Q103">
            <v>5</v>
          </cell>
        </row>
        <row r="104">
          <cell r="A104">
            <v>846</v>
          </cell>
          <cell r="B104" t="str">
            <v>Brighton and Hove</v>
          </cell>
          <cell r="C104">
            <v>58</v>
          </cell>
          <cell r="D104">
            <v>7</v>
          </cell>
          <cell r="E104">
            <v>6</v>
          </cell>
          <cell r="F104">
            <v>32</v>
          </cell>
          <cell r="G104">
            <v>5</v>
          </cell>
          <cell r="H104">
            <v>8</v>
          </cell>
          <cell r="J104">
            <v>846</v>
          </cell>
          <cell r="K104" t="str">
            <v>Brighton and Hove</v>
          </cell>
          <cell r="L104">
            <v>10</v>
          </cell>
          <cell r="M104">
            <v>2</v>
          </cell>
          <cell r="N104">
            <v>1</v>
          </cell>
          <cell r="O104">
            <v>4</v>
          </cell>
          <cell r="P104">
            <v>2</v>
          </cell>
          <cell r="Q104">
            <v>1</v>
          </cell>
        </row>
        <row r="105">
          <cell r="A105">
            <v>850</v>
          </cell>
          <cell r="B105" t="str">
            <v>Hampshire</v>
          </cell>
          <cell r="C105">
            <v>439</v>
          </cell>
          <cell r="D105">
            <v>36</v>
          </cell>
          <cell r="E105">
            <v>59</v>
          </cell>
          <cell r="F105">
            <v>284</v>
          </cell>
          <cell r="G105">
            <v>28</v>
          </cell>
          <cell r="H105">
            <v>32</v>
          </cell>
          <cell r="J105">
            <v>850</v>
          </cell>
          <cell r="K105" t="str">
            <v>Hampshire</v>
          </cell>
          <cell r="L105">
            <v>71</v>
          </cell>
          <cell r="M105">
            <v>6</v>
          </cell>
          <cell r="N105">
            <v>7</v>
          </cell>
          <cell r="O105">
            <v>47</v>
          </cell>
          <cell r="P105">
            <v>4</v>
          </cell>
          <cell r="Q105">
            <v>7</v>
          </cell>
        </row>
        <row r="106">
          <cell r="A106">
            <v>851</v>
          </cell>
          <cell r="B106" t="str">
            <v>Portsmouth</v>
          </cell>
          <cell r="C106">
            <v>53</v>
          </cell>
          <cell r="D106">
            <v>3</v>
          </cell>
          <cell r="E106">
            <v>10</v>
          </cell>
          <cell r="F106">
            <v>30</v>
          </cell>
          <cell r="G106">
            <v>2</v>
          </cell>
          <cell r="H106">
            <v>8</v>
          </cell>
          <cell r="J106">
            <v>851</v>
          </cell>
          <cell r="K106" t="str">
            <v>Portsmouth</v>
          </cell>
          <cell r="L106">
            <v>10</v>
          </cell>
          <cell r="M106">
            <v>0</v>
          </cell>
          <cell r="N106">
            <v>0</v>
          </cell>
          <cell r="O106">
            <v>6</v>
          </cell>
          <cell r="P106">
            <v>2</v>
          </cell>
          <cell r="Q106">
            <v>2</v>
          </cell>
        </row>
        <row r="107">
          <cell r="A107">
            <v>852</v>
          </cell>
          <cell r="B107" t="str">
            <v>Southampton</v>
          </cell>
          <cell r="C107">
            <v>67</v>
          </cell>
          <cell r="D107">
            <v>11</v>
          </cell>
          <cell r="E107">
            <v>9</v>
          </cell>
          <cell r="F107">
            <v>40</v>
          </cell>
          <cell r="G107">
            <v>4</v>
          </cell>
          <cell r="H107">
            <v>3</v>
          </cell>
          <cell r="J107">
            <v>852</v>
          </cell>
          <cell r="K107" t="str">
            <v>Southampton</v>
          </cell>
          <cell r="L107">
            <v>14</v>
          </cell>
          <cell r="M107">
            <v>0</v>
          </cell>
          <cell r="N107">
            <v>2</v>
          </cell>
          <cell r="O107">
            <v>10</v>
          </cell>
          <cell r="P107">
            <v>2</v>
          </cell>
          <cell r="Q107">
            <v>0</v>
          </cell>
        </row>
        <row r="108">
          <cell r="A108">
            <v>855</v>
          </cell>
          <cell r="B108" t="str">
            <v>Leicestershire</v>
          </cell>
          <cell r="C108">
            <v>228</v>
          </cell>
          <cell r="D108">
            <v>13</v>
          </cell>
          <cell r="E108">
            <v>18</v>
          </cell>
          <cell r="F108">
            <v>109</v>
          </cell>
          <cell r="G108">
            <v>25</v>
          </cell>
          <cell r="H108">
            <v>63</v>
          </cell>
          <cell r="J108">
            <v>855</v>
          </cell>
          <cell r="K108" t="str">
            <v>Leicestershire</v>
          </cell>
          <cell r="L108">
            <v>54</v>
          </cell>
          <cell r="M108">
            <v>5</v>
          </cell>
          <cell r="N108">
            <v>7</v>
          </cell>
          <cell r="O108">
            <v>30</v>
          </cell>
          <cell r="P108">
            <v>3</v>
          </cell>
          <cell r="Q108">
            <v>9</v>
          </cell>
        </row>
        <row r="109">
          <cell r="A109">
            <v>856</v>
          </cell>
          <cell r="B109" t="str">
            <v>Leicester</v>
          </cell>
          <cell r="C109">
            <v>87</v>
          </cell>
          <cell r="D109">
            <v>16</v>
          </cell>
          <cell r="E109">
            <v>14</v>
          </cell>
          <cell r="F109">
            <v>47</v>
          </cell>
          <cell r="G109">
            <v>7</v>
          </cell>
          <cell r="H109">
            <v>3</v>
          </cell>
          <cell r="J109">
            <v>856</v>
          </cell>
          <cell r="K109" t="str">
            <v>Leicester</v>
          </cell>
          <cell r="L109">
            <v>16</v>
          </cell>
          <cell r="M109">
            <v>0</v>
          </cell>
          <cell r="N109">
            <v>1</v>
          </cell>
          <cell r="O109">
            <v>12</v>
          </cell>
          <cell r="P109">
            <v>1</v>
          </cell>
          <cell r="Q109">
            <v>2</v>
          </cell>
        </row>
        <row r="110">
          <cell r="A110">
            <v>857</v>
          </cell>
          <cell r="B110" t="str">
            <v>Rutland</v>
          </cell>
          <cell r="C110">
            <v>18</v>
          </cell>
          <cell r="D110">
            <v>5</v>
          </cell>
          <cell r="E110">
            <v>6</v>
          </cell>
          <cell r="F110">
            <v>5</v>
          </cell>
          <cell r="G110">
            <v>2</v>
          </cell>
          <cell r="H110">
            <v>0</v>
          </cell>
          <cell r="J110">
            <v>857</v>
          </cell>
          <cell r="K110" t="str">
            <v>Rutland</v>
          </cell>
          <cell r="L110">
            <v>3</v>
          </cell>
          <cell r="M110">
            <v>1</v>
          </cell>
          <cell r="N110">
            <v>0</v>
          </cell>
          <cell r="O110">
            <v>1</v>
          </cell>
          <cell r="P110">
            <v>0</v>
          </cell>
          <cell r="Q110">
            <v>1</v>
          </cell>
        </row>
        <row r="111">
          <cell r="A111">
            <v>860</v>
          </cell>
          <cell r="B111" t="str">
            <v>Staffordshire</v>
          </cell>
          <cell r="C111">
            <v>313</v>
          </cell>
          <cell r="D111">
            <v>35</v>
          </cell>
          <cell r="E111">
            <v>49</v>
          </cell>
          <cell r="F111">
            <v>139</v>
          </cell>
          <cell r="G111">
            <v>23</v>
          </cell>
          <cell r="H111">
            <v>67</v>
          </cell>
          <cell r="J111">
            <v>860</v>
          </cell>
          <cell r="K111" t="str">
            <v>Staffordshire</v>
          </cell>
          <cell r="L111">
            <v>69</v>
          </cell>
          <cell r="M111">
            <v>1</v>
          </cell>
          <cell r="N111">
            <v>3</v>
          </cell>
          <cell r="O111">
            <v>18</v>
          </cell>
          <cell r="P111">
            <v>3</v>
          </cell>
          <cell r="Q111">
            <v>44</v>
          </cell>
        </row>
        <row r="112">
          <cell r="A112">
            <v>861</v>
          </cell>
          <cell r="B112" t="str">
            <v>Stoke-on-Trent</v>
          </cell>
          <cell r="C112">
            <v>88</v>
          </cell>
          <cell r="D112">
            <v>22</v>
          </cell>
          <cell r="E112">
            <v>15</v>
          </cell>
          <cell r="F112">
            <v>45</v>
          </cell>
          <cell r="G112">
            <v>3</v>
          </cell>
          <cell r="H112">
            <v>3</v>
          </cell>
          <cell r="J112">
            <v>861</v>
          </cell>
          <cell r="K112" t="str">
            <v>Stoke-on-Trent</v>
          </cell>
          <cell r="L112">
            <v>17</v>
          </cell>
          <cell r="M112">
            <v>2</v>
          </cell>
          <cell r="N112">
            <v>2</v>
          </cell>
          <cell r="O112">
            <v>10</v>
          </cell>
          <cell r="P112">
            <v>1</v>
          </cell>
          <cell r="Q112">
            <v>2</v>
          </cell>
        </row>
        <row r="113">
          <cell r="A113">
            <v>865</v>
          </cell>
          <cell r="B113" t="str">
            <v>Wiltshire</v>
          </cell>
          <cell r="C113">
            <v>217</v>
          </cell>
          <cell r="D113">
            <v>33</v>
          </cell>
          <cell r="E113">
            <v>35</v>
          </cell>
          <cell r="F113">
            <v>108</v>
          </cell>
          <cell r="G113">
            <v>16</v>
          </cell>
          <cell r="H113">
            <v>25</v>
          </cell>
          <cell r="J113">
            <v>865</v>
          </cell>
          <cell r="K113" t="str">
            <v>Wiltshire</v>
          </cell>
          <cell r="L113">
            <v>33</v>
          </cell>
          <cell r="M113">
            <v>4</v>
          </cell>
          <cell r="N113">
            <v>5</v>
          </cell>
          <cell r="O113">
            <v>18</v>
          </cell>
          <cell r="P113">
            <v>2</v>
          </cell>
          <cell r="Q113">
            <v>4</v>
          </cell>
        </row>
        <row r="114">
          <cell r="A114">
            <v>866</v>
          </cell>
          <cell r="B114" t="str">
            <v>Swindon</v>
          </cell>
          <cell r="C114">
            <v>69</v>
          </cell>
          <cell r="D114">
            <v>11</v>
          </cell>
          <cell r="E114">
            <v>5</v>
          </cell>
          <cell r="F114">
            <v>45</v>
          </cell>
          <cell r="G114">
            <v>4</v>
          </cell>
          <cell r="H114">
            <v>4</v>
          </cell>
          <cell r="J114">
            <v>866</v>
          </cell>
          <cell r="K114" t="str">
            <v>Swindon</v>
          </cell>
          <cell r="L114">
            <v>11</v>
          </cell>
          <cell r="M114">
            <v>1</v>
          </cell>
          <cell r="N114">
            <v>0</v>
          </cell>
          <cell r="O114">
            <v>9</v>
          </cell>
          <cell r="P114">
            <v>0</v>
          </cell>
          <cell r="Q114">
            <v>1</v>
          </cell>
        </row>
        <row r="115">
          <cell r="A115">
            <v>867</v>
          </cell>
          <cell r="B115" t="str">
            <v>Bracknell Forest</v>
          </cell>
          <cell r="C115">
            <v>33</v>
          </cell>
          <cell r="D115">
            <v>5</v>
          </cell>
          <cell r="E115">
            <v>6</v>
          </cell>
          <cell r="F115">
            <v>18</v>
          </cell>
          <cell r="G115">
            <v>2</v>
          </cell>
          <cell r="H115">
            <v>2</v>
          </cell>
          <cell r="J115">
            <v>867</v>
          </cell>
          <cell r="K115" t="str">
            <v>Bracknell Forest</v>
          </cell>
          <cell r="L115">
            <v>6</v>
          </cell>
          <cell r="M115">
            <v>1</v>
          </cell>
          <cell r="N115">
            <v>0</v>
          </cell>
          <cell r="O115">
            <v>3</v>
          </cell>
          <cell r="P115">
            <v>1</v>
          </cell>
          <cell r="Q115">
            <v>1</v>
          </cell>
        </row>
        <row r="116">
          <cell r="A116">
            <v>868</v>
          </cell>
          <cell r="B116" t="str">
            <v>Windsor and Maidenhead</v>
          </cell>
          <cell r="C116">
            <v>46</v>
          </cell>
          <cell r="D116">
            <v>3</v>
          </cell>
          <cell r="E116">
            <v>5</v>
          </cell>
          <cell r="F116">
            <v>25</v>
          </cell>
          <cell r="G116">
            <v>6</v>
          </cell>
          <cell r="H116">
            <v>7</v>
          </cell>
          <cell r="J116">
            <v>868</v>
          </cell>
          <cell r="K116" t="str">
            <v>Windsor and Maidenhead</v>
          </cell>
          <cell r="L116">
            <v>14</v>
          </cell>
          <cell r="M116">
            <v>2</v>
          </cell>
          <cell r="N116">
            <v>0</v>
          </cell>
          <cell r="O116">
            <v>7</v>
          </cell>
          <cell r="P116">
            <v>2</v>
          </cell>
          <cell r="Q116">
            <v>3</v>
          </cell>
        </row>
        <row r="117">
          <cell r="A117">
            <v>869</v>
          </cell>
          <cell r="B117" t="str">
            <v>West Berkshire</v>
          </cell>
          <cell r="C117">
            <v>68</v>
          </cell>
          <cell r="D117">
            <v>7</v>
          </cell>
          <cell r="E117">
            <v>13</v>
          </cell>
          <cell r="F117">
            <v>39</v>
          </cell>
          <cell r="G117">
            <v>6</v>
          </cell>
          <cell r="H117">
            <v>3</v>
          </cell>
          <cell r="J117">
            <v>869</v>
          </cell>
          <cell r="K117" t="str">
            <v>West Berkshire</v>
          </cell>
          <cell r="L117">
            <v>10</v>
          </cell>
          <cell r="M117">
            <v>0</v>
          </cell>
          <cell r="N117">
            <v>2</v>
          </cell>
          <cell r="O117">
            <v>4</v>
          </cell>
          <cell r="P117">
            <v>2</v>
          </cell>
          <cell r="Q117">
            <v>2</v>
          </cell>
        </row>
        <row r="118">
          <cell r="A118">
            <v>870</v>
          </cell>
          <cell r="B118" t="str">
            <v>Reading</v>
          </cell>
          <cell r="C118">
            <v>39</v>
          </cell>
          <cell r="D118">
            <v>1</v>
          </cell>
          <cell r="E118">
            <v>4</v>
          </cell>
          <cell r="F118">
            <v>21</v>
          </cell>
          <cell r="G118">
            <v>2</v>
          </cell>
          <cell r="H118">
            <v>11</v>
          </cell>
          <cell r="J118">
            <v>870</v>
          </cell>
          <cell r="K118" t="str">
            <v>Reading</v>
          </cell>
          <cell r="L118">
            <v>8</v>
          </cell>
          <cell r="M118">
            <v>2</v>
          </cell>
          <cell r="N118">
            <v>1</v>
          </cell>
          <cell r="O118">
            <v>4</v>
          </cell>
          <cell r="P118">
            <v>1</v>
          </cell>
          <cell r="Q118">
            <v>0</v>
          </cell>
        </row>
        <row r="119">
          <cell r="A119">
            <v>871</v>
          </cell>
          <cell r="B119" t="str">
            <v>Slough</v>
          </cell>
          <cell r="C119">
            <v>31</v>
          </cell>
          <cell r="D119">
            <v>2</v>
          </cell>
          <cell r="E119">
            <v>3</v>
          </cell>
          <cell r="F119">
            <v>20</v>
          </cell>
          <cell r="G119">
            <v>2</v>
          </cell>
          <cell r="H119">
            <v>4</v>
          </cell>
          <cell r="J119">
            <v>871</v>
          </cell>
          <cell r="K119" t="str">
            <v>Slough</v>
          </cell>
          <cell r="L119">
            <v>11</v>
          </cell>
          <cell r="M119">
            <v>1</v>
          </cell>
          <cell r="N119">
            <v>0</v>
          </cell>
          <cell r="O119">
            <v>5</v>
          </cell>
          <cell r="P119">
            <v>2</v>
          </cell>
          <cell r="Q119">
            <v>3</v>
          </cell>
        </row>
        <row r="120">
          <cell r="A120">
            <v>872</v>
          </cell>
          <cell r="B120" t="str">
            <v>Wokingham</v>
          </cell>
          <cell r="C120">
            <v>54</v>
          </cell>
          <cell r="D120">
            <v>2</v>
          </cell>
          <cell r="E120">
            <v>4</v>
          </cell>
          <cell r="F120">
            <v>26</v>
          </cell>
          <cell r="G120">
            <v>7</v>
          </cell>
          <cell r="H120">
            <v>15</v>
          </cell>
          <cell r="J120">
            <v>872</v>
          </cell>
          <cell r="K120" t="str">
            <v>Wokingham</v>
          </cell>
          <cell r="L120">
            <v>9</v>
          </cell>
          <cell r="M120">
            <v>0</v>
          </cell>
          <cell r="N120">
            <v>0</v>
          </cell>
          <cell r="O120">
            <v>6</v>
          </cell>
          <cell r="P120">
            <v>2</v>
          </cell>
          <cell r="Q120">
            <v>1</v>
          </cell>
        </row>
        <row r="121">
          <cell r="A121">
            <v>873</v>
          </cell>
          <cell r="B121" t="str">
            <v>Cambridgeshire</v>
          </cell>
          <cell r="C121">
            <v>207</v>
          </cell>
          <cell r="D121">
            <v>20</v>
          </cell>
          <cell r="E121">
            <v>26</v>
          </cell>
          <cell r="F121">
            <v>125</v>
          </cell>
          <cell r="G121">
            <v>19</v>
          </cell>
          <cell r="H121">
            <v>17</v>
          </cell>
          <cell r="J121">
            <v>873</v>
          </cell>
          <cell r="K121" t="str">
            <v>Cambridgeshire</v>
          </cell>
          <cell r="L121">
            <v>31</v>
          </cell>
          <cell r="M121">
            <v>1</v>
          </cell>
          <cell r="N121">
            <v>2</v>
          </cell>
          <cell r="O121">
            <v>17</v>
          </cell>
          <cell r="P121">
            <v>7</v>
          </cell>
          <cell r="Q121">
            <v>4</v>
          </cell>
        </row>
        <row r="122">
          <cell r="A122">
            <v>874</v>
          </cell>
          <cell r="B122" t="str">
            <v>Peterborough</v>
          </cell>
          <cell r="C122">
            <v>57</v>
          </cell>
          <cell r="D122">
            <v>9</v>
          </cell>
          <cell r="E122">
            <v>5</v>
          </cell>
          <cell r="F122">
            <v>37</v>
          </cell>
          <cell r="G122">
            <v>5</v>
          </cell>
          <cell r="H122">
            <v>1</v>
          </cell>
          <cell r="J122">
            <v>874</v>
          </cell>
          <cell r="K122" t="str">
            <v>Peterborough</v>
          </cell>
          <cell r="L122">
            <v>13</v>
          </cell>
          <cell r="M122">
            <v>3</v>
          </cell>
          <cell r="N122">
            <v>0</v>
          </cell>
          <cell r="O122">
            <v>8</v>
          </cell>
          <cell r="P122">
            <v>2</v>
          </cell>
          <cell r="Q122">
            <v>0</v>
          </cell>
        </row>
        <row r="123">
          <cell r="A123">
            <v>875</v>
          </cell>
          <cell r="B123" t="str">
            <v>Cheshire</v>
          </cell>
          <cell r="C123">
            <v>290</v>
          </cell>
          <cell r="D123">
            <v>41</v>
          </cell>
          <cell r="E123">
            <v>36</v>
          </cell>
          <cell r="F123">
            <v>154</v>
          </cell>
          <cell r="G123">
            <v>19</v>
          </cell>
          <cell r="H123">
            <v>40</v>
          </cell>
          <cell r="J123">
            <v>875</v>
          </cell>
          <cell r="K123" t="str">
            <v>Cheshire</v>
          </cell>
          <cell r="L123">
            <v>46</v>
          </cell>
          <cell r="M123">
            <v>5</v>
          </cell>
          <cell r="N123">
            <v>3</v>
          </cell>
          <cell r="O123">
            <v>24</v>
          </cell>
          <cell r="P123">
            <v>7</v>
          </cell>
          <cell r="Q123">
            <v>7</v>
          </cell>
        </row>
        <row r="124">
          <cell r="A124">
            <v>876</v>
          </cell>
          <cell r="B124" t="str">
            <v>Halton</v>
          </cell>
          <cell r="C124">
            <v>55</v>
          </cell>
          <cell r="D124">
            <v>20</v>
          </cell>
          <cell r="E124">
            <v>11</v>
          </cell>
          <cell r="F124">
            <v>19</v>
          </cell>
          <cell r="G124">
            <v>3</v>
          </cell>
          <cell r="H124">
            <v>2</v>
          </cell>
          <cell r="J124">
            <v>876</v>
          </cell>
          <cell r="K124" t="str">
            <v>Halton</v>
          </cell>
          <cell r="L124">
            <v>9</v>
          </cell>
          <cell r="M124">
            <v>2</v>
          </cell>
          <cell r="N124">
            <v>0</v>
          </cell>
          <cell r="O124">
            <v>5</v>
          </cell>
          <cell r="P124">
            <v>1</v>
          </cell>
          <cell r="Q124">
            <v>1</v>
          </cell>
        </row>
        <row r="125">
          <cell r="A125">
            <v>877</v>
          </cell>
          <cell r="B125" t="str">
            <v>Warrington</v>
          </cell>
          <cell r="C125">
            <v>75</v>
          </cell>
          <cell r="D125">
            <v>16</v>
          </cell>
          <cell r="E125">
            <v>7</v>
          </cell>
          <cell r="F125">
            <v>40</v>
          </cell>
          <cell r="G125">
            <v>3</v>
          </cell>
          <cell r="H125">
            <v>9</v>
          </cell>
          <cell r="J125">
            <v>877</v>
          </cell>
          <cell r="K125" t="str">
            <v>Warrington</v>
          </cell>
          <cell r="L125">
            <v>12</v>
          </cell>
          <cell r="M125">
            <v>0</v>
          </cell>
          <cell r="N125">
            <v>0</v>
          </cell>
          <cell r="O125">
            <v>9</v>
          </cell>
          <cell r="P125">
            <v>0</v>
          </cell>
          <cell r="Q125">
            <v>3</v>
          </cell>
        </row>
        <row r="126">
          <cell r="A126">
            <v>878</v>
          </cell>
          <cell r="B126" t="str">
            <v>Devon</v>
          </cell>
          <cell r="C126">
            <v>324</v>
          </cell>
          <cell r="D126">
            <v>23</v>
          </cell>
          <cell r="E126">
            <v>68</v>
          </cell>
          <cell r="F126">
            <v>152</v>
          </cell>
          <cell r="G126">
            <v>24</v>
          </cell>
          <cell r="H126">
            <v>57</v>
          </cell>
          <cell r="J126">
            <v>878</v>
          </cell>
          <cell r="K126" t="str">
            <v>Devon</v>
          </cell>
          <cell r="L126">
            <v>37</v>
          </cell>
          <cell r="M126">
            <v>0</v>
          </cell>
          <cell r="N126">
            <v>1</v>
          </cell>
          <cell r="O126">
            <v>24</v>
          </cell>
          <cell r="P126">
            <v>6</v>
          </cell>
          <cell r="Q126">
            <v>6</v>
          </cell>
        </row>
        <row r="127">
          <cell r="A127">
            <v>879</v>
          </cell>
          <cell r="B127" t="str">
            <v>Plymouth</v>
          </cell>
          <cell r="C127">
            <v>80</v>
          </cell>
          <cell r="D127">
            <v>21</v>
          </cell>
          <cell r="E127">
            <v>15</v>
          </cell>
          <cell r="F127">
            <v>39</v>
          </cell>
          <cell r="G127">
            <v>4</v>
          </cell>
          <cell r="H127">
            <v>1</v>
          </cell>
          <cell r="J127">
            <v>879</v>
          </cell>
          <cell r="K127" t="str">
            <v>Plymouth</v>
          </cell>
          <cell r="L127">
            <v>18</v>
          </cell>
          <cell r="M127">
            <v>3</v>
          </cell>
          <cell r="N127">
            <v>2</v>
          </cell>
          <cell r="O127">
            <v>9</v>
          </cell>
          <cell r="P127">
            <v>1</v>
          </cell>
          <cell r="Q127">
            <v>3</v>
          </cell>
        </row>
        <row r="128">
          <cell r="A128">
            <v>880</v>
          </cell>
          <cell r="B128" t="str">
            <v>Torbay</v>
          </cell>
          <cell r="C128">
            <v>33</v>
          </cell>
          <cell r="D128">
            <v>3</v>
          </cell>
          <cell r="E128">
            <v>2</v>
          </cell>
          <cell r="F128">
            <v>14</v>
          </cell>
          <cell r="G128">
            <v>7</v>
          </cell>
          <cell r="H128">
            <v>7</v>
          </cell>
          <cell r="J128">
            <v>880</v>
          </cell>
          <cell r="K128" t="str">
            <v>Torbay</v>
          </cell>
          <cell r="L128">
            <v>8</v>
          </cell>
          <cell r="M128">
            <v>0</v>
          </cell>
          <cell r="N128">
            <v>0</v>
          </cell>
          <cell r="O128">
            <v>8</v>
          </cell>
          <cell r="P128">
            <v>0</v>
          </cell>
          <cell r="Q128">
            <v>0</v>
          </cell>
        </row>
        <row r="129">
          <cell r="A129">
            <v>881</v>
          </cell>
          <cell r="B129" t="str">
            <v>Essex</v>
          </cell>
          <cell r="C129">
            <v>490</v>
          </cell>
          <cell r="D129">
            <v>41</v>
          </cell>
          <cell r="E129">
            <v>64</v>
          </cell>
          <cell r="F129">
            <v>281</v>
          </cell>
          <cell r="G129">
            <v>54</v>
          </cell>
          <cell r="H129">
            <v>50</v>
          </cell>
          <cell r="J129">
            <v>881</v>
          </cell>
          <cell r="K129" t="str">
            <v>Essex</v>
          </cell>
          <cell r="L129">
            <v>79</v>
          </cell>
          <cell r="M129">
            <v>9</v>
          </cell>
          <cell r="N129">
            <v>10</v>
          </cell>
          <cell r="O129">
            <v>51</v>
          </cell>
          <cell r="P129">
            <v>3</v>
          </cell>
          <cell r="Q129">
            <v>6</v>
          </cell>
        </row>
        <row r="130">
          <cell r="A130">
            <v>882</v>
          </cell>
          <cell r="B130" t="str">
            <v>Southend-on-Sea</v>
          </cell>
          <cell r="C130">
            <v>43</v>
          </cell>
          <cell r="D130">
            <v>1</v>
          </cell>
          <cell r="E130">
            <v>5</v>
          </cell>
          <cell r="F130">
            <v>31</v>
          </cell>
          <cell r="G130">
            <v>5</v>
          </cell>
          <cell r="H130">
            <v>1</v>
          </cell>
          <cell r="J130">
            <v>882</v>
          </cell>
          <cell r="K130" t="str">
            <v>Southend-on-Sea</v>
          </cell>
          <cell r="L130">
            <v>12</v>
          </cell>
          <cell r="M130">
            <v>1</v>
          </cell>
          <cell r="N130">
            <v>0</v>
          </cell>
          <cell r="O130">
            <v>8</v>
          </cell>
          <cell r="P130">
            <v>2</v>
          </cell>
          <cell r="Q130">
            <v>1</v>
          </cell>
        </row>
        <row r="131">
          <cell r="A131">
            <v>883</v>
          </cell>
          <cell r="B131" t="str">
            <v>Thurrock</v>
          </cell>
          <cell r="C131">
            <v>47</v>
          </cell>
          <cell r="D131">
            <v>3</v>
          </cell>
          <cell r="E131">
            <v>8</v>
          </cell>
          <cell r="F131">
            <v>31</v>
          </cell>
          <cell r="G131">
            <v>4</v>
          </cell>
          <cell r="H131">
            <v>1</v>
          </cell>
          <cell r="J131">
            <v>883</v>
          </cell>
          <cell r="K131" t="str">
            <v>Thurrock</v>
          </cell>
          <cell r="L131">
            <v>10</v>
          </cell>
          <cell r="M131">
            <v>1</v>
          </cell>
          <cell r="N131">
            <v>2</v>
          </cell>
          <cell r="O131">
            <v>7</v>
          </cell>
          <cell r="P131">
            <v>0</v>
          </cell>
          <cell r="Q131">
            <v>0</v>
          </cell>
        </row>
        <row r="132">
          <cell r="A132">
            <v>884</v>
          </cell>
          <cell r="B132" t="str">
            <v>Herefordshire</v>
          </cell>
          <cell r="C132">
            <v>85</v>
          </cell>
          <cell r="D132">
            <v>10</v>
          </cell>
          <cell r="E132">
            <v>19</v>
          </cell>
          <cell r="F132">
            <v>48</v>
          </cell>
          <cell r="G132">
            <v>3</v>
          </cell>
          <cell r="H132">
            <v>5</v>
          </cell>
          <cell r="J132">
            <v>884</v>
          </cell>
          <cell r="K132" t="str">
            <v>Herefordshire</v>
          </cell>
          <cell r="L132">
            <v>14</v>
          </cell>
          <cell r="M132">
            <v>3</v>
          </cell>
          <cell r="N132">
            <v>2</v>
          </cell>
          <cell r="O132">
            <v>6</v>
          </cell>
          <cell r="P132">
            <v>2</v>
          </cell>
          <cell r="Q132">
            <v>1</v>
          </cell>
        </row>
        <row r="133">
          <cell r="A133">
            <v>885</v>
          </cell>
          <cell r="B133" t="str">
            <v>Worcestershire</v>
          </cell>
          <cell r="C133">
            <v>197</v>
          </cell>
          <cell r="D133">
            <v>18</v>
          </cell>
          <cell r="E133">
            <v>32</v>
          </cell>
          <cell r="F133">
            <v>126</v>
          </cell>
          <cell r="G133">
            <v>11</v>
          </cell>
          <cell r="H133">
            <v>10</v>
          </cell>
          <cell r="J133">
            <v>885</v>
          </cell>
          <cell r="K133" t="str">
            <v>Worcestershire</v>
          </cell>
          <cell r="L133">
            <v>61</v>
          </cell>
          <cell r="M133">
            <v>10</v>
          </cell>
          <cell r="N133">
            <v>3</v>
          </cell>
          <cell r="O133">
            <v>39</v>
          </cell>
          <cell r="P133">
            <v>5</v>
          </cell>
          <cell r="Q133">
            <v>4</v>
          </cell>
        </row>
        <row r="134">
          <cell r="A134">
            <v>886</v>
          </cell>
          <cell r="B134" t="str">
            <v>Kent</v>
          </cell>
          <cell r="C134">
            <v>475</v>
          </cell>
          <cell r="D134">
            <v>23</v>
          </cell>
          <cell r="E134">
            <v>37</v>
          </cell>
          <cell r="F134">
            <v>270</v>
          </cell>
          <cell r="G134">
            <v>56</v>
          </cell>
          <cell r="H134">
            <v>89</v>
          </cell>
          <cell r="J134">
            <v>886</v>
          </cell>
          <cell r="K134" t="str">
            <v>Kent</v>
          </cell>
          <cell r="L134">
            <v>106</v>
          </cell>
          <cell r="M134">
            <v>10</v>
          </cell>
          <cell r="N134">
            <v>8</v>
          </cell>
          <cell r="O134">
            <v>56</v>
          </cell>
          <cell r="P134">
            <v>9</v>
          </cell>
          <cell r="Q134">
            <v>23</v>
          </cell>
        </row>
        <row r="135">
          <cell r="A135">
            <v>887</v>
          </cell>
          <cell r="B135" t="str">
            <v>Medway</v>
          </cell>
          <cell r="C135">
            <v>89</v>
          </cell>
          <cell r="D135">
            <v>8</v>
          </cell>
          <cell r="E135">
            <v>11</v>
          </cell>
          <cell r="F135">
            <v>43</v>
          </cell>
          <cell r="G135">
            <v>9</v>
          </cell>
          <cell r="H135">
            <v>18</v>
          </cell>
          <cell r="J135">
            <v>887</v>
          </cell>
          <cell r="K135" t="str">
            <v>Medway</v>
          </cell>
          <cell r="L135">
            <v>20</v>
          </cell>
          <cell r="M135">
            <v>2</v>
          </cell>
          <cell r="N135">
            <v>3</v>
          </cell>
          <cell r="O135">
            <v>14</v>
          </cell>
          <cell r="P135">
            <v>0</v>
          </cell>
          <cell r="Q135">
            <v>1</v>
          </cell>
        </row>
        <row r="136">
          <cell r="A136">
            <v>888</v>
          </cell>
          <cell r="B136" t="str">
            <v>Lancashire</v>
          </cell>
          <cell r="C136">
            <v>502</v>
          </cell>
          <cell r="D136">
            <v>72</v>
          </cell>
          <cell r="E136">
            <v>74</v>
          </cell>
          <cell r="F136">
            <v>227</v>
          </cell>
          <cell r="G136">
            <v>40</v>
          </cell>
          <cell r="H136">
            <v>89</v>
          </cell>
          <cell r="J136">
            <v>888</v>
          </cell>
          <cell r="K136" t="str">
            <v>Lancashire</v>
          </cell>
          <cell r="L136">
            <v>89</v>
          </cell>
          <cell r="M136">
            <v>7</v>
          </cell>
          <cell r="N136">
            <v>6</v>
          </cell>
          <cell r="O136">
            <v>43</v>
          </cell>
          <cell r="P136">
            <v>14</v>
          </cell>
          <cell r="Q136">
            <v>19</v>
          </cell>
        </row>
        <row r="137">
          <cell r="A137">
            <v>889</v>
          </cell>
          <cell r="B137" t="str">
            <v>Blackburn with Darwen</v>
          </cell>
          <cell r="C137">
            <v>59</v>
          </cell>
          <cell r="D137">
            <v>2</v>
          </cell>
          <cell r="E137">
            <v>4</v>
          </cell>
          <cell r="F137">
            <v>25</v>
          </cell>
          <cell r="G137">
            <v>10</v>
          </cell>
          <cell r="H137">
            <v>18</v>
          </cell>
          <cell r="J137">
            <v>889</v>
          </cell>
          <cell r="K137" t="str">
            <v>Blackburn with Darwen</v>
          </cell>
          <cell r="L137">
            <v>9</v>
          </cell>
          <cell r="M137">
            <v>0</v>
          </cell>
          <cell r="N137">
            <v>2</v>
          </cell>
          <cell r="O137">
            <v>5</v>
          </cell>
          <cell r="P137">
            <v>0</v>
          </cell>
          <cell r="Q137">
            <v>2</v>
          </cell>
        </row>
        <row r="138">
          <cell r="A138">
            <v>890</v>
          </cell>
          <cell r="B138" t="str">
            <v>Blackpool</v>
          </cell>
          <cell r="C138">
            <v>33</v>
          </cell>
          <cell r="D138">
            <v>1</v>
          </cell>
          <cell r="E138">
            <v>3</v>
          </cell>
          <cell r="F138">
            <v>12</v>
          </cell>
          <cell r="G138">
            <v>3</v>
          </cell>
          <cell r="H138">
            <v>14</v>
          </cell>
          <cell r="J138">
            <v>890</v>
          </cell>
          <cell r="K138" t="str">
            <v>Blackpool</v>
          </cell>
          <cell r="L138">
            <v>8</v>
          </cell>
          <cell r="M138">
            <v>1</v>
          </cell>
          <cell r="N138">
            <v>0</v>
          </cell>
          <cell r="O138">
            <v>2</v>
          </cell>
          <cell r="P138">
            <v>2</v>
          </cell>
          <cell r="Q138">
            <v>3</v>
          </cell>
        </row>
        <row r="139">
          <cell r="A139">
            <v>891</v>
          </cell>
          <cell r="B139" t="str">
            <v>Nottinghamshire</v>
          </cell>
          <cell r="C139">
            <v>315</v>
          </cell>
          <cell r="D139">
            <v>29</v>
          </cell>
          <cell r="E139">
            <v>50</v>
          </cell>
          <cell r="F139">
            <v>158</v>
          </cell>
          <cell r="G139">
            <v>27</v>
          </cell>
          <cell r="H139">
            <v>51</v>
          </cell>
          <cell r="J139">
            <v>891</v>
          </cell>
          <cell r="K139" t="str">
            <v>Nottinghamshire</v>
          </cell>
          <cell r="L139">
            <v>58</v>
          </cell>
          <cell r="M139">
            <v>12</v>
          </cell>
          <cell r="N139">
            <v>11</v>
          </cell>
          <cell r="O139">
            <v>25</v>
          </cell>
          <cell r="P139">
            <v>2</v>
          </cell>
          <cell r="Q139">
            <v>8</v>
          </cell>
        </row>
        <row r="140">
          <cell r="A140">
            <v>892</v>
          </cell>
          <cell r="B140" t="str">
            <v>Nottingham</v>
          </cell>
          <cell r="C140">
            <v>101</v>
          </cell>
          <cell r="D140">
            <v>16</v>
          </cell>
          <cell r="E140">
            <v>14</v>
          </cell>
          <cell r="F140">
            <v>52</v>
          </cell>
          <cell r="G140">
            <v>6</v>
          </cell>
          <cell r="H140">
            <v>13</v>
          </cell>
          <cell r="J140">
            <v>892</v>
          </cell>
          <cell r="K140" t="str">
            <v>Nottingham</v>
          </cell>
          <cell r="L140">
            <v>21</v>
          </cell>
          <cell r="M140">
            <v>8</v>
          </cell>
          <cell r="N140">
            <v>4</v>
          </cell>
          <cell r="O140">
            <v>7</v>
          </cell>
          <cell r="P140">
            <v>1</v>
          </cell>
          <cell r="Q140">
            <v>1</v>
          </cell>
        </row>
        <row r="141">
          <cell r="A141">
            <v>893</v>
          </cell>
          <cell r="B141" t="str">
            <v>Shropshire</v>
          </cell>
          <cell r="C141">
            <v>144</v>
          </cell>
          <cell r="D141">
            <v>19</v>
          </cell>
          <cell r="E141">
            <v>31</v>
          </cell>
          <cell r="F141">
            <v>66</v>
          </cell>
          <cell r="G141">
            <v>10</v>
          </cell>
          <cell r="H141">
            <v>18</v>
          </cell>
          <cell r="J141">
            <v>893</v>
          </cell>
          <cell r="K141" t="str">
            <v>Shropshire</v>
          </cell>
          <cell r="L141">
            <v>22</v>
          </cell>
          <cell r="M141">
            <v>1</v>
          </cell>
          <cell r="N141">
            <v>1</v>
          </cell>
          <cell r="O141">
            <v>14</v>
          </cell>
          <cell r="P141">
            <v>4</v>
          </cell>
          <cell r="Q141">
            <v>2</v>
          </cell>
        </row>
        <row r="142">
          <cell r="A142">
            <v>894</v>
          </cell>
          <cell r="B142" t="str">
            <v>Telford &amp; Wrekin</v>
          </cell>
          <cell r="C142">
            <v>66</v>
          </cell>
          <cell r="D142">
            <v>3</v>
          </cell>
          <cell r="E142">
            <v>11</v>
          </cell>
          <cell r="F142">
            <v>44</v>
          </cell>
          <cell r="G142">
            <v>3</v>
          </cell>
          <cell r="H142">
            <v>5</v>
          </cell>
          <cell r="J142">
            <v>894</v>
          </cell>
          <cell r="K142" t="str">
            <v>Telford &amp; Wrekin</v>
          </cell>
          <cell r="L142">
            <v>13</v>
          </cell>
          <cell r="M142">
            <v>3</v>
          </cell>
          <cell r="N142">
            <v>0</v>
          </cell>
          <cell r="O142">
            <v>4</v>
          </cell>
          <cell r="P142">
            <v>0</v>
          </cell>
          <cell r="Q142">
            <v>6</v>
          </cell>
        </row>
        <row r="143">
          <cell r="A143">
            <v>908</v>
          </cell>
          <cell r="B143" t="str">
            <v>Cornwall</v>
          </cell>
          <cell r="C143">
            <v>245</v>
          </cell>
          <cell r="D143">
            <v>20</v>
          </cell>
          <cell r="E143">
            <v>43</v>
          </cell>
          <cell r="F143">
            <v>100</v>
          </cell>
          <cell r="G143">
            <v>19</v>
          </cell>
          <cell r="H143">
            <v>63</v>
          </cell>
          <cell r="J143">
            <v>908</v>
          </cell>
          <cell r="K143" t="str">
            <v>Cornwall</v>
          </cell>
          <cell r="L143">
            <v>31</v>
          </cell>
          <cell r="M143">
            <v>0</v>
          </cell>
          <cell r="N143">
            <v>0</v>
          </cell>
          <cell r="O143">
            <v>11</v>
          </cell>
          <cell r="P143">
            <v>4</v>
          </cell>
          <cell r="Q143">
            <v>16</v>
          </cell>
        </row>
        <row r="144">
          <cell r="A144">
            <v>909</v>
          </cell>
          <cell r="B144" t="str">
            <v>Cumbria</v>
          </cell>
          <cell r="C144">
            <v>296</v>
          </cell>
          <cell r="D144">
            <v>38</v>
          </cell>
          <cell r="E144">
            <v>78</v>
          </cell>
          <cell r="F144">
            <v>125</v>
          </cell>
          <cell r="G144">
            <v>25</v>
          </cell>
          <cell r="H144">
            <v>30</v>
          </cell>
          <cell r="J144">
            <v>909</v>
          </cell>
          <cell r="K144" t="str">
            <v>Cumbria</v>
          </cell>
          <cell r="L144">
            <v>42</v>
          </cell>
          <cell r="M144">
            <v>9</v>
          </cell>
          <cell r="N144">
            <v>5</v>
          </cell>
          <cell r="O144">
            <v>22</v>
          </cell>
          <cell r="P144">
            <v>2</v>
          </cell>
          <cell r="Q144">
            <v>4</v>
          </cell>
        </row>
        <row r="145">
          <cell r="A145">
            <v>916</v>
          </cell>
          <cell r="B145" t="str">
            <v>Gloucestershire</v>
          </cell>
          <cell r="C145">
            <v>254</v>
          </cell>
          <cell r="D145">
            <v>21</v>
          </cell>
          <cell r="E145">
            <v>39</v>
          </cell>
          <cell r="F145">
            <v>140</v>
          </cell>
          <cell r="G145">
            <v>20</v>
          </cell>
          <cell r="H145">
            <v>34</v>
          </cell>
          <cell r="J145">
            <v>916</v>
          </cell>
          <cell r="K145" t="str">
            <v>Gloucestershire</v>
          </cell>
          <cell r="L145">
            <v>42</v>
          </cell>
          <cell r="M145">
            <v>2</v>
          </cell>
          <cell r="N145">
            <v>5</v>
          </cell>
          <cell r="O145">
            <v>22</v>
          </cell>
          <cell r="P145">
            <v>2</v>
          </cell>
          <cell r="Q145">
            <v>11</v>
          </cell>
        </row>
        <row r="146">
          <cell r="A146">
            <v>919</v>
          </cell>
          <cell r="B146" t="str">
            <v>Hertfordshire</v>
          </cell>
          <cell r="C146">
            <v>426</v>
          </cell>
          <cell r="D146">
            <v>42</v>
          </cell>
          <cell r="E146">
            <v>46</v>
          </cell>
          <cell r="F146">
            <v>274</v>
          </cell>
          <cell r="G146">
            <v>28</v>
          </cell>
          <cell r="H146">
            <v>36</v>
          </cell>
          <cell r="J146">
            <v>919</v>
          </cell>
          <cell r="K146" t="str">
            <v>Hertfordshire</v>
          </cell>
          <cell r="L146">
            <v>87</v>
          </cell>
          <cell r="M146">
            <v>12</v>
          </cell>
          <cell r="N146">
            <v>11</v>
          </cell>
          <cell r="O146">
            <v>48</v>
          </cell>
          <cell r="P146">
            <v>3</v>
          </cell>
          <cell r="Q146">
            <v>13</v>
          </cell>
        </row>
        <row r="147">
          <cell r="A147">
            <v>921</v>
          </cell>
          <cell r="B147" t="str">
            <v>Isle of Wight</v>
          </cell>
          <cell r="C147">
            <v>46</v>
          </cell>
          <cell r="D147">
            <v>1</v>
          </cell>
          <cell r="E147">
            <v>4</v>
          </cell>
          <cell r="F147">
            <v>27</v>
          </cell>
          <cell r="G147">
            <v>3</v>
          </cell>
          <cell r="H147">
            <v>11</v>
          </cell>
          <cell r="J147">
            <v>921</v>
          </cell>
          <cell r="K147" t="str">
            <v>Isle of Wight</v>
          </cell>
          <cell r="L147">
            <v>21</v>
          </cell>
          <cell r="M147">
            <v>0</v>
          </cell>
          <cell r="N147">
            <v>1</v>
          </cell>
          <cell r="O147">
            <v>14</v>
          </cell>
          <cell r="P147">
            <v>1</v>
          </cell>
          <cell r="Q147">
            <v>5</v>
          </cell>
        </row>
        <row r="148">
          <cell r="A148">
            <v>925</v>
          </cell>
          <cell r="B148" t="str">
            <v>Lincolnshire</v>
          </cell>
          <cell r="C148">
            <v>289</v>
          </cell>
          <cell r="D148">
            <v>37</v>
          </cell>
          <cell r="E148">
            <v>42</v>
          </cell>
          <cell r="F148">
            <v>152</v>
          </cell>
          <cell r="G148">
            <v>24</v>
          </cell>
          <cell r="H148">
            <v>34</v>
          </cell>
          <cell r="J148">
            <v>925</v>
          </cell>
          <cell r="K148" t="str">
            <v>Lincolnshire</v>
          </cell>
          <cell r="L148">
            <v>63</v>
          </cell>
          <cell r="M148">
            <v>9</v>
          </cell>
          <cell r="N148">
            <v>9</v>
          </cell>
          <cell r="O148">
            <v>31</v>
          </cell>
          <cell r="P148">
            <v>4</v>
          </cell>
          <cell r="Q148">
            <v>10</v>
          </cell>
        </row>
        <row r="149">
          <cell r="A149">
            <v>926</v>
          </cell>
          <cell r="B149" t="str">
            <v>Norfolk</v>
          </cell>
          <cell r="C149">
            <v>389</v>
          </cell>
          <cell r="D149">
            <v>21</v>
          </cell>
          <cell r="E149">
            <v>77</v>
          </cell>
          <cell r="F149">
            <v>175</v>
          </cell>
          <cell r="G149">
            <v>33</v>
          </cell>
          <cell r="H149">
            <v>83</v>
          </cell>
          <cell r="J149">
            <v>926</v>
          </cell>
          <cell r="K149" t="str">
            <v>Norfolk</v>
          </cell>
          <cell r="L149">
            <v>52</v>
          </cell>
          <cell r="M149">
            <v>5</v>
          </cell>
          <cell r="N149">
            <v>2</v>
          </cell>
          <cell r="O149">
            <v>24</v>
          </cell>
          <cell r="P149">
            <v>9</v>
          </cell>
          <cell r="Q149">
            <v>12</v>
          </cell>
        </row>
        <row r="150">
          <cell r="A150">
            <v>928</v>
          </cell>
          <cell r="B150" t="str">
            <v>Northamptonshire</v>
          </cell>
          <cell r="C150">
            <v>270</v>
          </cell>
          <cell r="D150">
            <v>27</v>
          </cell>
          <cell r="E150">
            <v>34</v>
          </cell>
          <cell r="F150">
            <v>151</v>
          </cell>
          <cell r="G150">
            <v>13</v>
          </cell>
          <cell r="H150">
            <v>45</v>
          </cell>
          <cell r="J150">
            <v>928</v>
          </cell>
          <cell r="K150" t="str">
            <v>Northamptonshire</v>
          </cell>
          <cell r="L150">
            <v>61</v>
          </cell>
          <cell r="M150">
            <v>9</v>
          </cell>
          <cell r="N150">
            <v>6</v>
          </cell>
          <cell r="O150">
            <v>30</v>
          </cell>
          <cell r="P150">
            <v>6</v>
          </cell>
          <cell r="Q150">
            <v>10</v>
          </cell>
        </row>
        <row r="151">
          <cell r="A151">
            <v>929</v>
          </cell>
          <cell r="B151" t="str">
            <v>Northumberland</v>
          </cell>
          <cell r="C151">
            <v>143</v>
          </cell>
          <cell r="D151">
            <v>24</v>
          </cell>
          <cell r="E151">
            <v>45</v>
          </cell>
          <cell r="F151">
            <v>60</v>
          </cell>
          <cell r="G151">
            <v>6</v>
          </cell>
          <cell r="H151">
            <v>8</v>
          </cell>
          <cell r="J151">
            <v>929</v>
          </cell>
          <cell r="K151" t="str">
            <v>Northumberland</v>
          </cell>
          <cell r="L151">
            <v>61</v>
          </cell>
          <cell r="M151">
            <v>14</v>
          </cell>
          <cell r="N151">
            <v>9</v>
          </cell>
          <cell r="O151">
            <v>31</v>
          </cell>
          <cell r="P151">
            <v>3</v>
          </cell>
          <cell r="Q151">
            <v>4</v>
          </cell>
        </row>
        <row r="152">
          <cell r="A152">
            <v>931</v>
          </cell>
          <cell r="B152" t="str">
            <v>Oxfordshire</v>
          </cell>
          <cell r="C152">
            <v>233</v>
          </cell>
          <cell r="D152">
            <v>25</v>
          </cell>
          <cell r="E152">
            <v>38</v>
          </cell>
          <cell r="F152">
            <v>132</v>
          </cell>
          <cell r="G152">
            <v>15</v>
          </cell>
          <cell r="H152">
            <v>23</v>
          </cell>
          <cell r="J152">
            <v>931</v>
          </cell>
          <cell r="K152" t="str">
            <v>Oxfordshire</v>
          </cell>
          <cell r="L152">
            <v>45</v>
          </cell>
          <cell r="M152">
            <v>5</v>
          </cell>
          <cell r="N152">
            <v>8</v>
          </cell>
          <cell r="O152">
            <v>26</v>
          </cell>
          <cell r="P152">
            <v>2</v>
          </cell>
          <cell r="Q152">
            <v>4</v>
          </cell>
        </row>
        <row r="153">
          <cell r="A153">
            <v>933</v>
          </cell>
          <cell r="B153" t="str">
            <v>Somerset</v>
          </cell>
          <cell r="C153">
            <v>224</v>
          </cell>
          <cell r="D153">
            <v>11</v>
          </cell>
          <cell r="E153">
            <v>31</v>
          </cell>
          <cell r="F153">
            <v>132</v>
          </cell>
          <cell r="G153">
            <v>24</v>
          </cell>
          <cell r="H153">
            <v>26</v>
          </cell>
          <cell r="J153">
            <v>933</v>
          </cell>
          <cell r="K153" t="str">
            <v>Somerset</v>
          </cell>
          <cell r="L153">
            <v>39</v>
          </cell>
          <cell r="M153">
            <v>6</v>
          </cell>
          <cell r="N153">
            <v>4</v>
          </cell>
          <cell r="O153">
            <v>25</v>
          </cell>
          <cell r="P153">
            <v>3</v>
          </cell>
          <cell r="Q153">
            <v>1</v>
          </cell>
        </row>
        <row r="154">
          <cell r="A154">
            <v>935</v>
          </cell>
          <cell r="B154" t="str">
            <v>Suffolk</v>
          </cell>
          <cell r="C154">
            <v>256</v>
          </cell>
          <cell r="D154">
            <v>28</v>
          </cell>
          <cell r="E154">
            <v>66</v>
          </cell>
          <cell r="F154">
            <v>137</v>
          </cell>
          <cell r="G154">
            <v>5</v>
          </cell>
          <cell r="H154">
            <v>20</v>
          </cell>
          <cell r="J154">
            <v>935</v>
          </cell>
          <cell r="K154" t="str">
            <v>Suffolk</v>
          </cell>
          <cell r="L154">
            <v>78</v>
          </cell>
          <cell r="M154">
            <v>4</v>
          </cell>
          <cell r="N154">
            <v>9</v>
          </cell>
          <cell r="O154">
            <v>53</v>
          </cell>
          <cell r="P154">
            <v>4</v>
          </cell>
          <cell r="Q154">
            <v>8</v>
          </cell>
        </row>
        <row r="155">
          <cell r="A155">
            <v>936</v>
          </cell>
          <cell r="B155" t="str">
            <v>Surrey</v>
          </cell>
          <cell r="C155">
            <v>327</v>
          </cell>
          <cell r="D155">
            <v>54</v>
          </cell>
          <cell r="E155">
            <v>51</v>
          </cell>
          <cell r="F155">
            <v>184</v>
          </cell>
          <cell r="G155">
            <v>19</v>
          </cell>
          <cell r="H155">
            <v>19</v>
          </cell>
          <cell r="J155">
            <v>936</v>
          </cell>
          <cell r="K155" t="str">
            <v>Surrey</v>
          </cell>
          <cell r="L155">
            <v>53</v>
          </cell>
          <cell r="M155">
            <v>4</v>
          </cell>
          <cell r="N155">
            <v>6</v>
          </cell>
          <cell r="O155">
            <v>27</v>
          </cell>
          <cell r="P155">
            <v>4</v>
          </cell>
          <cell r="Q155">
            <v>12</v>
          </cell>
        </row>
        <row r="156">
          <cell r="A156">
            <v>937</v>
          </cell>
          <cell r="B156" t="str">
            <v>Warwickshire</v>
          </cell>
          <cell r="C156">
            <v>200</v>
          </cell>
          <cell r="D156">
            <v>22</v>
          </cell>
          <cell r="E156">
            <v>27</v>
          </cell>
          <cell r="F156">
            <v>118</v>
          </cell>
          <cell r="G156">
            <v>12</v>
          </cell>
          <cell r="H156">
            <v>21</v>
          </cell>
          <cell r="J156">
            <v>937</v>
          </cell>
          <cell r="K156" t="str">
            <v>Warwickshire</v>
          </cell>
          <cell r="L156">
            <v>37</v>
          </cell>
          <cell r="M156">
            <v>5</v>
          </cell>
          <cell r="N156">
            <v>5</v>
          </cell>
          <cell r="O156">
            <v>20</v>
          </cell>
          <cell r="P156">
            <v>2</v>
          </cell>
          <cell r="Q156">
            <v>5</v>
          </cell>
        </row>
        <row r="157">
          <cell r="A157">
            <v>938</v>
          </cell>
          <cell r="B157" t="str">
            <v>West Sussex</v>
          </cell>
          <cell r="C157">
            <v>250</v>
          </cell>
          <cell r="D157">
            <v>27</v>
          </cell>
          <cell r="E157">
            <v>39</v>
          </cell>
          <cell r="F157">
            <v>142</v>
          </cell>
          <cell r="G157">
            <v>20</v>
          </cell>
          <cell r="H157">
            <v>22</v>
          </cell>
          <cell r="J157">
            <v>938</v>
          </cell>
          <cell r="K157" t="str">
            <v>West Sussex</v>
          </cell>
          <cell r="L157">
            <v>39</v>
          </cell>
          <cell r="M157">
            <v>5</v>
          </cell>
          <cell r="N157">
            <v>6</v>
          </cell>
          <cell r="O157">
            <v>23</v>
          </cell>
          <cell r="P157">
            <v>2</v>
          </cell>
          <cell r="Q157">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row r="8">
          <cell r="A8">
            <v>201</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row r="8">
          <cell r="A8">
            <v>201</v>
          </cell>
        </row>
      </sheetData>
      <sheetData sheetId="44"/>
      <sheetData sheetId="45"/>
      <sheetData sheetId="46"/>
      <sheetData sheetId="47"/>
      <sheetData sheetId="4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Codes"/>
      <sheetName val="Income"/>
      <sheetName val="INC"/>
      <sheetName val="S251Final"/>
      <sheetName val="S251Draft"/>
      <sheetName val="SchoolsForum"/>
      <sheetName val="Recoupment"/>
      <sheetName val="Schools"/>
      <sheetName val="EarlyYears"/>
      <sheetName val="HighNeeds"/>
      <sheetName val="Central"/>
      <sheetName val="CostCentres"/>
      <sheetName val="DSG"/>
      <sheetName val="IntegraCCs"/>
      <sheetName val="OriginalTRANS"/>
      <sheetName val="Siobhan"/>
      <sheetName val="EYProjections"/>
      <sheetName val="Sheet2"/>
      <sheetName val="BudgetTRANS"/>
      <sheetName val="Sheet2 (2)"/>
      <sheetName val="Sheet2_(2)"/>
    </sheetNames>
    <sheetDataSet>
      <sheetData sheetId="0"/>
      <sheetData sheetId="1" refreshError="1">
        <row r="13">
          <cell r="C13" t="str">
            <v>1.7.1</v>
          </cell>
          <cell r="D13" t="str">
            <v>Estimated Dedicated Schools Grant for 2014-15</v>
          </cell>
        </row>
        <row r="14">
          <cell r="C14" t="str">
            <v>1.7.2</v>
          </cell>
          <cell r="D14" t="str">
            <v>Dedicated Schools Grant b/f from 2013/14</v>
          </cell>
        </row>
        <row r="15">
          <cell r="C15" t="str">
            <v>1.7.3</v>
          </cell>
          <cell r="D15" t="str">
            <v>Dedicated Schools Grant c/f to 2015-16</v>
          </cell>
        </row>
        <row r="16">
          <cell r="C16" t="str">
            <v>1.7.4</v>
          </cell>
          <cell r="D16" t="str">
            <v>EFA funding</v>
          </cell>
        </row>
        <row r="17">
          <cell r="C17" t="str">
            <v>1.7.5</v>
          </cell>
          <cell r="D17" t="str">
            <v>Local authority additional contribution</v>
          </cell>
        </row>
        <row r="18">
          <cell r="C18" t="str">
            <v>1.7.6</v>
          </cell>
          <cell r="D18" t="str">
            <v>Total funding supporting the Schools Budget 1.7.1 - 1.7.5</v>
          </cell>
        </row>
        <row r="20">
          <cell r="C20" t="str">
            <v>1.8.1</v>
          </cell>
          <cell r="D20" t="str">
            <v>Academy recoupment</v>
          </cell>
        </row>
      </sheetData>
      <sheetData sheetId="2"/>
      <sheetData sheetId="3"/>
      <sheetData sheetId="4">
        <row r="1">
          <cell r="C1">
            <v>1</v>
          </cell>
        </row>
      </sheetData>
      <sheetData sheetId="5"/>
      <sheetData sheetId="6"/>
      <sheetData sheetId="7" refreshError="1">
        <row r="11">
          <cell r="C11" t="str">
            <v>1.0.1</v>
          </cell>
          <cell r="D11" t="str">
            <v>Individual Schools Budget before Academy recoupment</v>
          </cell>
          <cell r="E11">
            <v>0</v>
          </cell>
          <cell r="F11">
            <v>0</v>
          </cell>
          <cell r="G11">
            <v>0</v>
          </cell>
          <cell r="H11">
            <v>0</v>
          </cell>
          <cell r="I11" t="str">
            <v>Individual Schools Budget before Academy recoupment</v>
          </cell>
          <cell r="J11">
            <v>0</v>
          </cell>
          <cell r="K11">
            <v>0</v>
          </cell>
          <cell r="L11">
            <v>0</v>
          </cell>
          <cell r="M11">
            <v>0</v>
          </cell>
          <cell r="N11">
            <v>0</v>
          </cell>
          <cell r="O11">
            <v>0</v>
          </cell>
          <cell r="P11">
            <v>237860961.61178011</v>
          </cell>
          <cell r="Q11">
            <v>241711328.59710491</v>
          </cell>
          <cell r="R11">
            <v>1647981.4166666665</v>
          </cell>
          <cell r="S11">
            <v>243359310.01377156</v>
          </cell>
          <cell r="T11">
            <v>0</v>
          </cell>
          <cell r="U11">
            <v>0</v>
          </cell>
          <cell r="V11">
            <v>243359310.01377156</v>
          </cell>
          <cell r="W11">
            <v>19060940</v>
          </cell>
          <cell r="X11">
            <v>122041483.98104502</v>
          </cell>
          <cell r="Y11">
            <v>96704055.36605987</v>
          </cell>
          <cell r="Z11">
            <v>4560830.666666667</v>
          </cell>
          <cell r="AA11">
            <v>992000</v>
          </cell>
          <cell r="AB11">
            <v>0</v>
          </cell>
          <cell r="AC11">
            <v>73264851.745923445</v>
          </cell>
          <cell r="AD11">
            <v>9261973</v>
          </cell>
          <cell r="AE11">
            <v>128181508.16937834</v>
          </cell>
          <cell r="AF11">
            <v>90166069.117798865</v>
          </cell>
          <cell r="AG11">
            <v>4331084.833333334</v>
          </cell>
          <cell r="AH11">
            <v>944000</v>
          </cell>
          <cell r="AI11">
            <v>0</v>
          </cell>
          <cell r="AJ11">
            <v>232884635.12051052</v>
          </cell>
          <cell r="AK11">
            <v>10474674.893261019</v>
          </cell>
          <cell r="AL11">
            <v>0</v>
          </cell>
          <cell r="AM11">
            <v>243359310.01377156</v>
          </cell>
          <cell r="AN11">
            <v>10474674.893261019</v>
          </cell>
          <cell r="AO11">
            <v>0</v>
          </cell>
          <cell r="AP11">
            <v>0</v>
          </cell>
          <cell r="AQ11">
            <v>0</v>
          </cell>
          <cell r="AR11">
            <v>0</v>
          </cell>
          <cell r="AS11">
            <v>0</v>
          </cell>
          <cell r="AT11">
            <v>0</v>
          </cell>
          <cell r="AU11">
            <v>0</v>
          </cell>
          <cell r="AV11">
            <v>0</v>
          </cell>
          <cell r="AW11">
            <v>0</v>
          </cell>
          <cell r="AX11">
            <v>0</v>
          </cell>
          <cell r="AY11">
            <v>0</v>
          </cell>
          <cell r="AZ11">
            <v>0</v>
          </cell>
        </row>
        <row r="12">
          <cell r="F12">
            <v>0</v>
          </cell>
          <cell r="G12">
            <v>0</v>
          </cell>
          <cell r="H12">
            <v>0</v>
          </cell>
          <cell r="I12">
            <v>0</v>
          </cell>
          <cell r="J12">
            <v>0</v>
          </cell>
          <cell r="K12">
            <v>0</v>
          </cell>
          <cell r="L12">
            <v>0</v>
          </cell>
          <cell r="M12">
            <v>0</v>
          </cell>
          <cell r="N12">
            <v>0</v>
          </cell>
          <cell r="O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F13">
            <v>0</v>
          </cell>
          <cell r="G13">
            <v>0</v>
          </cell>
          <cell r="H13">
            <v>0</v>
          </cell>
          <cell r="I13">
            <v>0</v>
          </cell>
          <cell r="J13">
            <v>0</v>
          </cell>
          <cell r="K13">
            <v>0</v>
          </cell>
          <cell r="L13">
            <v>0</v>
          </cell>
          <cell r="M13">
            <v>0</v>
          </cell>
          <cell r="N13">
            <v>0</v>
          </cell>
          <cell r="O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t="str">
            <v>1.1.1</v>
          </cell>
          <cell r="D14" t="str">
            <v>Contingencies</v>
          </cell>
          <cell r="E14" t="str">
            <v>1.1.1</v>
          </cell>
          <cell r="F14">
            <v>0</v>
          </cell>
          <cell r="G14">
            <v>0</v>
          </cell>
          <cell r="H14">
            <v>0</v>
          </cell>
          <cell r="I14" t="str">
            <v>Contingencies</v>
          </cell>
          <cell r="J14">
            <v>0</v>
          </cell>
          <cell r="K14">
            <v>0</v>
          </cell>
          <cell r="L14">
            <v>0</v>
          </cell>
          <cell r="M14">
            <v>0</v>
          </cell>
          <cell r="N14">
            <v>0</v>
          </cell>
          <cell r="O14">
            <v>0</v>
          </cell>
          <cell r="P14">
            <v>472087</v>
          </cell>
          <cell r="Q14">
            <v>0</v>
          </cell>
          <cell r="R14">
            <v>385000</v>
          </cell>
          <cell r="S14">
            <v>385000</v>
          </cell>
          <cell r="T14">
            <v>0</v>
          </cell>
          <cell r="U14">
            <v>0</v>
          </cell>
          <cell r="V14">
            <v>597000</v>
          </cell>
          <cell r="W14">
            <v>0</v>
          </cell>
          <cell r="X14">
            <v>347000</v>
          </cell>
          <cell r="Y14">
            <v>250000</v>
          </cell>
          <cell r="Z14">
            <v>0</v>
          </cell>
          <cell r="AA14">
            <v>0</v>
          </cell>
          <cell r="AB14">
            <v>0</v>
          </cell>
          <cell r="AC14">
            <v>0</v>
          </cell>
          <cell r="AD14">
            <v>0</v>
          </cell>
          <cell r="AE14">
            <v>0</v>
          </cell>
          <cell r="AF14">
            <v>0</v>
          </cell>
          <cell r="AG14">
            <v>0</v>
          </cell>
          <cell r="AH14">
            <v>0</v>
          </cell>
          <cell r="AI14">
            <v>0</v>
          </cell>
          <cell r="AJ14">
            <v>0</v>
          </cell>
          <cell r="AK14">
            <v>385000</v>
          </cell>
          <cell r="AL14">
            <v>212000</v>
          </cell>
          <cell r="AM14">
            <v>597000</v>
          </cell>
          <cell r="AN14">
            <v>597000</v>
          </cell>
          <cell r="AO14">
            <v>0</v>
          </cell>
          <cell r="AP14">
            <v>0</v>
          </cell>
          <cell r="AQ14">
            <v>0</v>
          </cell>
          <cell r="AR14">
            <v>0</v>
          </cell>
          <cell r="AS14">
            <v>0</v>
          </cell>
          <cell r="AT14">
            <v>0</v>
          </cell>
          <cell r="AU14">
            <v>0</v>
          </cell>
          <cell r="AV14">
            <v>0</v>
          </cell>
          <cell r="AW14">
            <v>0</v>
          </cell>
          <cell r="AX14">
            <v>0</v>
          </cell>
          <cell r="AY14">
            <v>0</v>
          </cell>
          <cell r="AZ14">
            <v>0</v>
          </cell>
        </row>
        <row r="15">
          <cell r="C15" t="str">
            <v>1.1.2</v>
          </cell>
          <cell r="D15" t="str">
            <v>Behaviour Support Services</v>
          </cell>
          <cell r="E15" t="str">
            <v>1.1.2</v>
          </cell>
          <cell r="F15">
            <v>0</v>
          </cell>
          <cell r="G15">
            <v>0</v>
          </cell>
          <cell r="H15">
            <v>0</v>
          </cell>
          <cell r="I15" t="str">
            <v>Behaviour Support Services</v>
          </cell>
          <cell r="J15">
            <v>0</v>
          </cell>
          <cell r="K15">
            <v>0</v>
          </cell>
          <cell r="L15">
            <v>0</v>
          </cell>
          <cell r="M15">
            <v>0</v>
          </cell>
          <cell r="N15">
            <v>0</v>
          </cell>
          <cell r="O15">
            <v>0</v>
          </cell>
          <cell r="P15">
            <v>127660</v>
          </cell>
          <cell r="Q15">
            <v>76326.325833333307</v>
          </cell>
          <cell r="R15">
            <v>0</v>
          </cell>
          <cell r="S15">
            <v>76326.325833333307</v>
          </cell>
          <cell r="T15">
            <v>0</v>
          </cell>
          <cell r="U15">
            <v>0</v>
          </cell>
          <cell r="V15">
            <v>76326.325833333307</v>
          </cell>
          <cell r="W15">
            <v>0</v>
          </cell>
          <cell r="X15">
            <v>76326.325833333307</v>
          </cell>
          <cell r="Y15">
            <v>0</v>
          </cell>
          <cell r="Z15">
            <v>0</v>
          </cell>
          <cell r="AA15">
            <v>0</v>
          </cell>
          <cell r="AB15">
            <v>0</v>
          </cell>
          <cell r="AC15">
            <v>0</v>
          </cell>
          <cell r="AD15">
            <v>0</v>
          </cell>
          <cell r="AE15">
            <v>0</v>
          </cell>
          <cell r="AF15">
            <v>0</v>
          </cell>
          <cell r="AG15">
            <v>0</v>
          </cell>
          <cell r="AH15">
            <v>0</v>
          </cell>
          <cell r="AI15">
            <v>0</v>
          </cell>
          <cell r="AJ15">
            <v>0</v>
          </cell>
          <cell r="AK15">
            <v>76326.325833333307</v>
          </cell>
          <cell r="AL15">
            <v>0</v>
          </cell>
          <cell r="AM15">
            <v>76326.325833333307</v>
          </cell>
          <cell r="AN15">
            <v>76326.325833333307</v>
          </cell>
          <cell r="AO15">
            <v>0</v>
          </cell>
          <cell r="AP15">
            <v>0</v>
          </cell>
          <cell r="AQ15">
            <v>0</v>
          </cell>
          <cell r="AR15">
            <v>0</v>
          </cell>
          <cell r="AS15">
            <v>0</v>
          </cell>
          <cell r="AT15">
            <v>0</v>
          </cell>
          <cell r="AU15">
            <v>0</v>
          </cell>
          <cell r="AV15">
            <v>0</v>
          </cell>
          <cell r="AW15">
            <v>0</v>
          </cell>
          <cell r="AX15">
            <v>0</v>
          </cell>
          <cell r="AY15">
            <v>0</v>
          </cell>
          <cell r="AZ15">
            <v>0</v>
          </cell>
        </row>
        <row r="16">
          <cell r="C16" t="str">
            <v>1.1.3</v>
          </cell>
          <cell r="D16" t="str">
            <v>Support to UPEG and bilingual learners</v>
          </cell>
          <cell r="E16" t="str">
            <v>1.1.3</v>
          </cell>
          <cell r="F16">
            <v>0</v>
          </cell>
          <cell r="G16">
            <v>0</v>
          </cell>
          <cell r="H16">
            <v>0</v>
          </cell>
          <cell r="I16" t="str">
            <v>Support to UPEG and bilingual learners</v>
          </cell>
          <cell r="J16">
            <v>0</v>
          </cell>
          <cell r="K16">
            <v>0</v>
          </cell>
          <cell r="L16">
            <v>0</v>
          </cell>
          <cell r="M16">
            <v>0</v>
          </cell>
          <cell r="N16">
            <v>0</v>
          </cell>
          <cell r="O16">
            <v>0</v>
          </cell>
          <cell r="P16">
            <v>84786</v>
          </cell>
          <cell r="Q16">
            <v>86190.988707375815</v>
          </cell>
          <cell r="R16">
            <v>0</v>
          </cell>
          <cell r="S16">
            <v>86190.988707375815</v>
          </cell>
          <cell r="T16">
            <v>0</v>
          </cell>
          <cell r="U16">
            <v>0</v>
          </cell>
          <cell r="V16">
            <v>86190.57</v>
          </cell>
          <cell r="W16">
            <v>0</v>
          </cell>
          <cell r="X16">
            <v>65238.57</v>
          </cell>
          <cell r="Y16">
            <v>20952</v>
          </cell>
          <cell r="Z16">
            <v>0</v>
          </cell>
          <cell r="AA16">
            <v>0</v>
          </cell>
          <cell r="AB16">
            <v>0</v>
          </cell>
          <cell r="AC16">
            <v>0</v>
          </cell>
          <cell r="AD16">
            <v>0</v>
          </cell>
          <cell r="AE16">
            <v>0</v>
          </cell>
          <cell r="AF16">
            <v>0</v>
          </cell>
          <cell r="AG16">
            <v>0</v>
          </cell>
          <cell r="AH16">
            <v>0</v>
          </cell>
          <cell r="AI16">
            <v>0</v>
          </cell>
          <cell r="AJ16">
            <v>0</v>
          </cell>
          <cell r="AK16">
            <v>86190.988707375815</v>
          </cell>
          <cell r="AL16">
            <v>0</v>
          </cell>
          <cell r="AM16">
            <v>86190.988707375815</v>
          </cell>
          <cell r="AN16">
            <v>86190.988707375815</v>
          </cell>
          <cell r="AO16">
            <v>0</v>
          </cell>
          <cell r="AP16">
            <v>0</v>
          </cell>
          <cell r="AQ16">
            <v>0</v>
          </cell>
          <cell r="AR16">
            <v>0</v>
          </cell>
          <cell r="AS16">
            <v>0</v>
          </cell>
          <cell r="AT16">
            <v>0</v>
          </cell>
          <cell r="AU16">
            <v>0</v>
          </cell>
          <cell r="AV16">
            <v>0</v>
          </cell>
          <cell r="AW16">
            <v>0</v>
          </cell>
          <cell r="AX16">
            <v>0</v>
          </cell>
          <cell r="AY16">
            <v>0</v>
          </cell>
          <cell r="AZ16">
            <v>0</v>
          </cell>
        </row>
        <row r="17">
          <cell r="C17" t="str">
            <v>1.1.4</v>
          </cell>
          <cell r="D17" t="str">
            <v>Free school meals eligibility</v>
          </cell>
          <cell r="E17" t="str">
            <v>1.1.4</v>
          </cell>
          <cell r="F17">
            <v>0</v>
          </cell>
          <cell r="G17">
            <v>0</v>
          </cell>
          <cell r="H17">
            <v>0</v>
          </cell>
          <cell r="I17" t="str">
            <v>Free school meals eligibility</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row>
        <row r="18">
          <cell r="C18" t="str">
            <v>1.1.5</v>
          </cell>
          <cell r="D18" t="str">
            <v>Insurance</v>
          </cell>
          <cell r="E18" t="str">
            <v>1.1.5</v>
          </cell>
          <cell r="F18">
            <v>0</v>
          </cell>
          <cell r="G18">
            <v>0</v>
          </cell>
          <cell r="H18">
            <v>0</v>
          </cell>
          <cell r="I18" t="str">
            <v>Insurance</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row>
        <row r="19">
          <cell r="C19" t="str">
            <v>1.1.6</v>
          </cell>
          <cell r="D19" t="str">
            <v>Museum and Library services</v>
          </cell>
          <cell r="E19" t="str">
            <v>1.1.6</v>
          </cell>
          <cell r="F19">
            <v>0</v>
          </cell>
          <cell r="G19">
            <v>0</v>
          </cell>
          <cell r="H19">
            <v>0</v>
          </cell>
          <cell r="I19" t="str">
            <v>Museum and Library services</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row>
        <row r="20">
          <cell r="C20" t="str">
            <v>1.1.7</v>
          </cell>
          <cell r="D20" t="str">
            <v>Licenses/subscriptions</v>
          </cell>
          <cell r="E20" t="str">
            <v>1.1.7</v>
          </cell>
          <cell r="F20">
            <v>0</v>
          </cell>
          <cell r="G20">
            <v>0</v>
          </cell>
          <cell r="H20">
            <v>0</v>
          </cell>
          <cell r="I20" t="str">
            <v>Licenses/subscriptions</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row>
        <row r="21">
          <cell r="C21" t="str">
            <v>1.1.8</v>
          </cell>
          <cell r="D21" t="str">
            <v>Staff costs - supply cover excluding cover for facility time</v>
          </cell>
          <cell r="E21" t="str">
            <v>1.1.8</v>
          </cell>
          <cell r="F21">
            <v>0</v>
          </cell>
          <cell r="G21">
            <v>0</v>
          </cell>
          <cell r="H21">
            <v>0</v>
          </cell>
          <cell r="I21" t="str">
            <v>Staff costs - supply cover excluding cover for facility time</v>
          </cell>
          <cell r="J21">
            <v>0</v>
          </cell>
          <cell r="K21">
            <v>0</v>
          </cell>
          <cell r="L21">
            <v>0</v>
          </cell>
          <cell r="M21">
            <v>0</v>
          </cell>
          <cell r="N21">
            <v>0</v>
          </cell>
          <cell r="O21">
            <v>0</v>
          </cell>
          <cell r="P21">
            <v>48748.5</v>
          </cell>
          <cell r="Q21">
            <v>46518.060416666682</v>
          </cell>
          <cell r="R21">
            <v>0</v>
          </cell>
          <cell r="S21">
            <v>46518.060416666682</v>
          </cell>
          <cell r="T21">
            <v>0</v>
          </cell>
          <cell r="U21">
            <v>0</v>
          </cell>
          <cell r="V21">
            <v>46518.060000000005</v>
          </cell>
          <cell r="W21">
            <v>0</v>
          </cell>
          <cell r="X21">
            <v>41966.8</v>
          </cell>
          <cell r="Y21">
            <v>4551.26</v>
          </cell>
          <cell r="Z21">
            <v>0</v>
          </cell>
          <cell r="AA21">
            <v>0</v>
          </cell>
          <cell r="AB21">
            <v>0</v>
          </cell>
          <cell r="AC21">
            <v>0</v>
          </cell>
          <cell r="AD21">
            <v>0</v>
          </cell>
          <cell r="AE21">
            <v>0</v>
          </cell>
          <cell r="AF21">
            <v>0</v>
          </cell>
          <cell r="AG21">
            <v>0</v>
          </cell>
          <cell r="AH21">
            <v>0</v>
          </cell>
          <cell r="AI21">
            <v>0</v>
          </cell>
          <cell r="AJ21">
            <v>0</v>
          </cell>
          <cell r="AK21">
            <v>46518.060416666682</v>
          </cell>
          <cell r="AL21">
            <v>0</v>
          </cell>
          <cell r="AM21">
            <v>46518.060416666682</v>
          </cell>
          <cell r="AN21">
            <v>46518.060416666682</v>
          </cell>
          <cell r="AO21">
            <v>0</v>
          </cell>
          <cell r="AP21">
            <v>0</v>
          </cell>
          <cell r="AQ21">
            <v>0</v>
          </cell>
          <cell r="AR21">
            <v>0</v>
          </cell>
          <cell r="AS21">
            <v>0</v>
          </cell>
          <cell r="AT21">
            <v>0</v>
          </cell>
          <cell r="AU21">
            <v>0</v>
          </cell>
          <cell r="AV21">
            <v>0</v>
          </cell>
          <cell r="AW21">
            <v>0</v>
          </cell>
          <cell r="AX21">
            <v>0</v>
          </cell>
          <cell r="AY21">
            <v>0</v>
          </cell>
          <cell r="AZ21">
            <v>0</v>
          </cell>
        </row>
        <row r="22">
          <cell r="C22" t="str">
            <v>1.1.9</v>
          </cell>
          <cell r="D22" t="str">
            <v>Staff costs - supply cover for facility time</v>
          </cell>
          <cell r="E22" t="str">
            <v>1.1.9</v>
          </cell>
          <cell r="F22">
            <v>0</v>
          </cell>
          <cell r="G22">
            <v>0</v>
          </cell>
          <cell r="H22">
            <v>0</v>
          </cell>
          <cell r="I22" t="str">
            <v>Staff costs - supply cover for facility time</v>
          </cell>
          <cell r="J22">
            <v>0</v>
          </cell>
          <cell r="K22">
            <v>0</v>
          </cell>
          <cell r="L22">
            <v>0</v>
          </cell>
          <cell r="M22">
            <v>0</v>
          </cell>
          <cell r="N22">
            <v>0</v>
          </cell>
          <cell r="O22">
            <v>0</v>
          </cell>
          <cell r="P22">
            <v>48748.5</v>
          </cell>
          <cell r="Q22">
            <v>46518.060416666682</v>
          </cell>
          <cell r="R22">
            <v>0</v>
          </cell>
          <cell r="S22">
            <v>46518.060416666682</v>
          </cell>
          <cell r="T22">
            <v>0</v>
          </cell>
          <cell r="U22">
            <v>0</v>
          </cell>
          <cell r="V22">
            <v>46518.060000000005</v>
          </cell>
          <cell r="W22">
            <v>0</v>
          </cell>
          <cell r="X22">
            <v>41966.8</v>
          </cell>
          <cell r="Y22">
            <v>4551.26</v>
          </cell>
          <cell r="Z22">
            <v>0</v>
          </cell>
          <cell r="AA22">
            <v>0</v>
          </cell>
          <cell r="AB22">
            <v>0</v>
          </cell>
          <cell r="AC22">
            <v>0</v>
          </cell>
          <cell r="AD22">
            <v>0</v>
          </cell>
          <cell r="AE22">
            <v>0</v>
          </cell>
          <cell r="AF22">
            <v>0</v>
          </cell>
          <cell r="AG22">
            <v>0</v>
          </cell>
          <cell r="AH22">
            <v>0</v>
          </cell>
          <cell r="AI22">
            <v>0</v>
          </cell>
          <cell r="AJ22">
            <v>0</v>
          </cell>
          <cell r="AK22">
            <v>46518.060416666682</v>
          </cell>
          <cell r="AL22">
            <v>0</v>
          </cell>
          <cell r="AM22">
            <v>46518.060416666682</v>
          </cell>
          <cell r="AN22">
            <v>46518.060416666682</v>
          </cell>
          <cell r="AO22">
            <v>0</v>
          </cell>
          <cell r="AP22">
            <v>0</v>
          </cell>
          <cell r="AQ22">
            <v>0</v>
          </cell>
          <cell r="AR22">
            <v>0</v>
          </cell>
          <cell r="AS22">
            <v>0</v>
          </cell>
          <cell r="AT22">
            <v>0</v>
          </cell>
          <cell r="AU22">
            <v>0</v>
          </cell>
          <cell r="AV22">
            <v>0</v>
          </cell>
          <cell r="AW22">
            <v>0</v>
          </cell>
          <cell r="AX22">
            <v>0</v>
          </cell>
          <cell r="AY22">
            <v>0</v>
          </cell>
          <cell r="AZ22">
            <v>0</v>
          </cell>
        </row>
      </sheetData>
      <sheetData sheetId="8" refreshError="1">
        <row r="12">
          <cell r="C12" t="str">
            <v>1.3.1</v>
          </cell>
          <cell r="D12" t="str">
            <v>Central expenditure on children under 5</v>
          </cell>
          <cell r="E12">
            <v>0</v>
          </cell>
          <cell r="F12">
            <v>0</v>
          </cell>
          <cell r="G12">
            <v>0</v>
          </cell>
          <cell r="H12">
            <v>0</v>
          </cell>
          <cell r="I12">
            <v>0</v>
          </cell>
          <cell r="J12">
            <v>0</v>
          </cell>
          <cell r="K12">
            <v>0</v>
          </cell>
          <cell r="L12">
            <v>0</v>
          </cell>
          <cell r="M12">
            <v>0</v>
          </cell>
          <cell r="N12">
            <v>400000</v>
          </cell>
          <cell r="O12">
            <v>854072</v>
          </cell>
          <cell r="P12">
            <v>5924914</v>
          </cell>
          <cell r="Q12">
            <v>1254072</v>
          </cell>
          <cell r="R12">
            <v>0</v>
          </cell>
          <cell r="S12">
            <v>1254072</v>
          </cell>
          <cell r="T12">
            <v>0</v>
          </cell>
          <cell r="U12">
            <v>0</v>
          </cell>
          <cell r="V12">
            <v>1254072</v>
          </cell>
          <cell r="W12">
            <v>1254072</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1254072</v>
          </cell>
          <cell r="AN12">
            <v>0</v>
          </cell>
        </row>
        <row r="13">
          <cell r="D13">
            <v>0</v>
          </cell>
          <cell r="F13">
            <v>0</v>
          </cell>
          <cell r="G13">
            <v>0</v>
          </cell>
          <cell r="H13">
            <v>0</v>
          </cell>
          <cell r="I13">
            <v>0</v>
          </cell>
          <cell r="AE13">
            <v>0</v>
          </cell>
        </row>
        <row r="14">
          <cell r="F14">
            <v>0</v>
          </cell>
          <cell r="G14">
            <v>0</v>
          </cell>
          <cell r="H14">
            <v>0</v>
          </cell>
          <cell r="I14">
            <v>0</v>
          </cell>
        </row>
        <row r="15">
          <cell r="E15">
            <v>0</v>
          </cell>
          <cell r="F15">
            <v>0</v>
          </cell>
          <cell r="G15">
            <v>0</v>
          </cell>
          <cell r="H15">
            <v>0</v>
          </cell>
          <cell r="I15">
            <v>0</v>
          </cell>
        </row>
      </sheetData>
      <sheetData sheetId="9" refreshError="1">
        <row r="12">
          <cell r="C12" t="str">
            <v>1.2.1</v>
          </cell>
          <cell r="D12" t="str">
            <v>Top-up funding - maintained schools</v>
          </cell>
          <cell r="E12">
            <v>0</v>
          </cell>
          <cell r="F12">
            <v>0</v>
          </cell>
          <cell r="G12">
            <v>0</v>
          </cell>
          <cell r="H12">
            <v>0</v>
          </cell>
          <cell r="I12">
            <v>0</v>
          </cell>
          <cell r="J12">
            <v>0</v>
          </cell>
          <cell r="K12">
            <v>0</v>
          </cell>
          <cell r="L12">
            <v>0</v>
          </cell>
          <cell r="M12">
            <v>0</v>
          </cell>
          <cell r="N12">
            <v>0</v>
          </cell>
          <cell r="O12">
            <v>0</v>
          </cell>
          <cell r="P12">
            <v>17181887</v>
          </cell>
          <cell r="Q12">
            <v>16966667.352280855</v>
          </cell>
          <cell r="R12">
            <v>0</v>
          </cell>
          <cell r="S12">
            <v>16966667.352280855</v>
          </cell>
          <cell r="T12">
            <v>0</v>
          </cell>
          <cell r="U12">
            <v>0</v>
          </cell>
          <cell r="V12">
            <v>17296449.352280855</v>
          </cell>
          <cell r="W12">
            <v>149143</v>
          </cell>
          <cell r="X12">
            <v>7133336.6598886605</v>
          </cell>
          <cell r="Y12">
            <v>2159336.1655851132</v>
          </cell>
          <cell r="Z12">
            <v>6851471.5268070819</v>
          </cell>
          <cell r="AA12">
            <v>1003162</v>
          </cell>
          <cell r="AB12">
            <v>0</v>
          </cell>
          <cell r="AC12">
            <v>0</v>
          </cell>
          <cell r="AD12">
            <v>25146</v>
          </cell>
          <cell r="AE12">
            <v>6358698.0729999999</v>
          </cell>
          <cell r="AF12">
            <v>1280114.2</v>
          </cell>
          <cell r="AG12">
            <v>4480494.6900000004</v>
          </cell>
          <cell r="AH12">
            <v>949580</v>
          </cell>
          <cell r="AI12">
            <v>0</v>
          </cell>
          <cell r="AJ12">
            <v>13094032.963</v>
          </cell>
          <cell r="AK12">
            <v>0</v>
          </cell>
          <cell r="AL12">
            <v>329782</v>
          </cell>
          <cell r="AM12">
            <v>17296449.352280855</v>
          </cell>
          <cell r="AN12">
            <v>0</v>
          </cell>
        </row>
        <row r="13">
          <cell r="C13" t="str">
            <v>1.2.2</v>
          </cell>
          <cell r="D13" t="str">
            <v>Top-up funding - academies, free schools and colleges</v>
          </cell>
          <cell r="E13">
            <v>0</v>
          </cell>
          <cell r="F13">
            <v>0</v>
          </cell>
          <cell r="G13">
            <v>0</v>
          </cell>
          <cell r="H13">
            <v>0</v>
          </cell>
          <cell r="I13">
            <v>0</v>
          </cell>
          <cell r="J13">
            <v>0</v>
          </cell>
          <cell r="K13">
            <v>0</v>
          </cell>
          <cell r="L13">
            <v>0</v>
          </cell>
          <cell r="M13">
            <v>0</v>
          </cell>
          <cell r="N13">
            <v>0</v>
          </cell>
          <cell r="O13">
            <v>0</v>
          </cell>
          <cell r="P13">
            <v>5174161</v>
          </cell>
          <cell r="Q13">
            <v>5526774.8019640362</v>
          </cell>
          <cell r="R13">
            <v>0</v>
          </cell>
          <cell r="S13">
            <v>5526774.8019640362</v>
          </cell>
          <cell r="T13">
            <v>0</v>
          </cell>
          <cell r="U13">
            <v>0</v>
          </cell>
          <cell r="V13">
            <v>6236398.8846913092</v>
          </cell>
          <cell r="W13">
            <v>0</v>
          </cell>
          <cell r="X13">
            <v>3045681.64</v>
          </cell>
          <cell r="Y13">
            <v>2198311.161964037</v>
          </cell>
          <cell r="Z13">
            <v>43000</v>
          </cell>
          <cell r="AA13">
            <v>0</v>
          </cell>
          <cell r="AB13">
            <v>949406.08272727276</v>
          </cell>
          <cell r="AC13">
            <v>0</v>
          </cell>
          <cell r="AD13">
            <v>0</v>
          </cell>
          <cell r="AE13">
            <v>750266.17</v>
          </cell>
          <cell r="AF13">
            <v>3960282.06</v>
          </cell>
          <cell r="AG13">
            <v>0</v>
          </cell>
          <cell r="AH13">
            <v>0</v>
          </cell>
          <cell r="AI13">
            <v>0</v>
          </cell>
          <cell r="AJ13">
            <v>4710548.2300000004</v>
          </cell>
          <cell r="AK13">
            <v>0</v>
          </cell>
          <cell r="AL13">
            <v>709624.08272727276</v>
          </cell>
          <cell r="AM13">
            <v>6236398.8846913092</v>
          </cell>
          <cell r="AN13">
            <v>0</v>
          </cell>
        </row>
        <row r="14">
          <cell r="C14" t="str">
            <v>1.2.3</v>
          </cell>
          <cell r="D14" t="str">
            <v>Top-up and other funding - non-maintained and independent providers</v>
          </cell>
          <cell r="E14">
            <v>0</v>
          </cell>
          <cell r="F14">
            <v>0</v>
          </cell>
          <cell r="G14">
            <v>0</v>
          </cell>
          <cell r="H14">
            <v>0</v>
          </cell>
          <cell r="I14">
            <v>0</v>
          </cell>
          <cell r="J14">
            <v>0</v>
          </cell>
          <cell r="K14">
            <v>0</v>
          </cell>
          <cell r="L14">
            <v>0</v>
          </cell>
          <cell r="M14">
            <v>0</v>
          </cell>
          <cell r="N14">
            <v>0</v>
          </cell>
          <cell r="O14">
            <v>0</v>
          </cell>
          <cell r="P14">
            <v>12438269.69090909</v>
          </cell>
          <cell r="Q14">
            <v>11788269.69090909</v>
          </cell>
          <cell r="R14">
            <v>300000</v>
          </cell>
          <cell r="S14">
            <v>12088269.69090909</v>
          </cell>
          <cell r="T14">
            <v>0</v>
          </cell>
          <cell r="U14">
            <v>0</v>
          </cell>
          <cell r="V14">
            <v>11138863.608181817</v>
          </cell>
          <cell r="W14">
            <v>200640</v>
          </cell>
          <cell r="X14">
            <v>383500</v>
          </cell>
          <cell r="Y14">
            <v>904500</v>
          </cell>
          <cell r="Z14">
            <v>7995650</v>
          </cell>
          <cell r="AA14">
            <v>112500</v>
          </cell>
          <cell r="AB14">
            <v>1542073.6081818182</v>
          </cell>
          <cell r="AC14">
            <v>0</v>
          </cell>
          <cell r="AD14">
            <v>0</v>
          </cell>
          <cell r="AE14">
            <v>0</v>
          </cell>
          <cell r="AF14">
            <v>0</v>
          </cell>
          <cell r="AG14">
            <v>0</v>
          </cell>
          <cell r="AH14">
            <v>0</v>
          </cell>
          <cell r="AI14">
            <v>0</v>
          </cell>
          <cell r="AJ14">
            <v>0</v>
          </cell>
          <cell r="AK14">
            <v>0</v>
          </cell>
          <cell r="AL14">
            <v>-949406.08272727276</v>
          </cell>
          <cell r="AM14">
            <v>11138863.608181817</v>
          </cell>
          <cell r="AN14">
            <v>0</v>
          </cell>
        </row>
        <row r="15">
          <cell r="C15" t="str">
            <v>1.2.4</v>
          </cell>
          <cell r="D15" t="str">
            <v>Additional high needs targeted funding for mainstream schools and academies</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row>
        <row r="16">
          <cell r="C16" t="str">
            <v>1.2.5</v>
          </cell>
          <cell r="D16" t="str">
            <v>SEN support services</v>
          </cell>
          <cell r="E16">
            <v>0</v>
          </cell>
          <cell r="F16">
            <v>0</v>
          </cell>
          <cell r="G16">
            <v>0</v>
          </cell>
          <cell r="H16">
            <v>0</v>
          </cell>
          <cell r="I16">
            <v>0</v>
          </cell>
          <cell r="J16">
            <v>0</v>
          </cell>
          <cell r="K16">
            <v>0</v>
          </cell>
          <cell r="L16">
            <v>0</v>
          </cell>
          <cell r="M16">
            <v>0</v>
          </cell>
          <cell r="N16">
            <v>0</v>
          </cell>
          <cell r="O16">
            <v>0</v>
          </cell>
          <cell r="P16">
            <v>3260743</v>
          </cell>
          <cell r="Q16">
            <v>3163893</v>
          </cell>
          <cell r="R16">
            <v>0</v>
          </cell>
          <cell r="S16">
            <v>3163893</v>
          </cell>
          <cell r="T16">
            <v>0</v>
          </cell>
          <cell r="U16">
            <v>0</v>
          </cell>
          <cell r="V16">
            <v>3073893</v>
          </cell>
          <cell r="W16">
            <v>1518542.5519934106</v>
          </cell>
          <cell r="X16">
            <v>807539.39138217177</v>
          </cell>
          <cell r="Y16">
            <v>448249.46682566416</v>
          </cell>
          <cell r="Z16">
            <v>299561.58979875338</v>
          </cell>
          <cell r="AA16">
            <v>0</v>
          </cell>
          <cell r="AB16">
            <v>0</v>
          </cell>
          <cell r="AC16">
            <v>0</v>
          </cell>
          <cell r="AD16">
            <v>0</v>
          </cell>
          <cell r="AE16">
            <v>0</v>
          </cell>
          <cell r="AF16">
            <v>0</v>
          </cell>
          <cell r="AG16">
            <v>0</v>
          </cell>
          <cell r="AH16">
            <v>0</v>
          </cell>
          <cell r="AI16">
            <v>0</v>
          </cell>
          <cell r="AJ16">
            <v>0</v>
          </cell>
          <cell r="AK16">
            <v>0</v>
          </cell>
          <cell r="AL16">
            <v>-90000</v>
          </cell>
          <cell r="AM16">
            <v>3073893</v>
          </cell>
          <cell r="AN16">
            <v>0</v>
          </cell>
        </row>
        <row r="17">
          <cell r="C17" t="str">
            <v>1.2.6</v>
          </cell>
          <cell r="D17" t="str">
            <v>Hospital education services</v>
          </cell>
          <cell r="E17">
            <v>0</v>
          </cell>
          <cell r="F17">
            <v>0</v>
          </cell>
          <cell r="G17">
            <v>0</v>
          </cell>
          <cell r="H17">
            <v>0</v>
          </cell>
          <cell r="I17">
            <v>0</v>
          </cell>
          <cell r="J17">
            <v>0</v>
          </cell>
          <cell r="K17">
            <v>0</v>
          </cell>
          <cell r="L17">
            <v>0</v>
          </cell>
          <cell r="M17">
            <v>0</v>
          </cell>
          <cell r="N17">
            <v>0</v>
          </cell>
          <cell r="O17">
            <v>0</v>
          </cell>
          <cell r="P17">
            <v>844381</v>
          </cell>
          <cell r="Q17">
            <v>438006</v>
          </cell>
          <cell r="R17">
            <v>0</v>
          </cell>
          <cell r="S17">
            <v>438006</v>
          </cell>
          <cell r="T17">
            <v>0</v>
          </cell>
          <cell r="U17">
            <v>0</v>
          </cell>
          <cell r="V17">
            <v>438006</v>
          </cell>
          <cell r="W17">
            <v>0</v>
          </cell>
          <cell r="X17">
            <v>0</v>
          </cell>
          <cell r="Y17">
            <v>0</v>
          </cell>
          <cell r="Z17">
            <v>0</v>
          </cell>
          <cell r="AA17">
            <v>438006</v>
          </cell>
          <cell r="AB17">
            <v>0</v>
          </cell>
          <cell r="AC17">
            <v>0</v>
          </cell>
          <cell r="AD17">
            <v>0</v>
          </cell>
          <cell r="AE17">
            <v>0</v>
          </cell>
          <cell r="AF17">
            <v>0</v>
          </cell>
          <cell r="AG17">
            <v>0</v>
          </cell>
          <cell r="AH17">
            <v>438006</v>
          </cell>
          <cell r="AI17">
            <v>0</v>
          </cell>
          <cell r="AJ17">
            <v>438006</v>
          </cell>
          <cell r="AK17">
            <v>0</v>
          </cell>
          <cell r="AL17">
            <v>0</v>
          </cell>
          <cell r="AM17">
            <v>438006</v>
          </cell>
          <cell r="AN17">
            <v>0</v>
          </cell>
        </row>
        <row r="18">
          <cell r="C18" t="str">
            <v>1.2.7</v>
          </cell>
          <cell r="D18" t="str">
            <v>Other alternative provision services</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row>
        <row r="19">
          <cell r="C19" t="str">
            <v>1.2.8</v>
          </cell>
          <cell r="D19" t="str">
            <v>Support for inclusion</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row>
        <row r="20">
          <cell r="C20" t="str">
            <v>1.2.9</v>
          </cell>
          <cell r="D20" t="str">
            <v>Special schools and PRUs in financial difficulty</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row>
        <row r="21">
          <cell r="C21" t="str">
            <v>1.2.10</v>
          </cell>
          <cell r="D21" t="str">
            <v>PFI/BSF costs as special schools and AP/PRUs</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row>
        <row r="22">
          <cell r="C22" t="str">
            <v>1.2.11</v>
          </cell>
          <cell r="D22" t="str">
            <v>Direct payments (SEN and disability)</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row>
        <row r="23">
          <cell r="C23" t="str">
            <v>1.2.12</v>
          </cell>
          <cell r="D23" t="str">
            <v>Carbon reduction commitment allowances (PRUs)</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row>
      </sheetData>
      <sheetData sheetId="10" refreshError="1">
        <row r="11">
          <cell r="D11" t="str">
            <v>Central Provision within Schools Budget</v>
          </cell>
        </row>
        <row r="12">
          <cell r="C12" t="str">
            <v>1.4.1</v>
          </cell>
          <cell r="D12" t="str">
            <v>Contribution to combined budgets</v>
          </cell>
          <cell r="E12">
            <v>0</v>
          </cell>
          <cell r="F12">
            <v>0</v>
          </cell>
          <cell r="G12">
            <v>0</v>
          </cell>
          <cell r="H12">
            <v>0</v>
          </cell>
          <cell r="I12">
            <v>0</v>
          </cell>
          <cell r="J12">
            <v>0</v>
          </cell>
          <cell r="K12">
            <v>0</v>
          </cell>
          <cell r="L12">
            <v>0</v>
          </cell>
          <cell r="M12">
            <v>0</v>
          </cell>
          <cell r="N12">
            <v>0</v>
          </cell>
          <cell r="O12">
            <v>0</v>
          </cell>
          <cell r="P12">
            <v>777892</v>
          </cell>
          <cell r="Q12">
            <v>777892</v>
          </cell>
          <cell r="R12">
            <v>0</v>
          </cell>
          <cell r="S12">
            <v>777892</v>
          </cell>
          <cell r="T12">
            <v>0</v>
          </cell>
          <cell r="U12">
            <v>0</v>
          </cell>
          <cell r="V12">
            <v>777892</v>
          </cell>
          <cell r="W12">
            <v>492078.96005007648</v>
          </cell>
          <cell r="X12">
            <v>154178.78135104611</v>
          </cell>
          <cell r="Y12">
            <v>120390.96344758281</v>
          </cell>
          <cell r="Z12">
            <v>5621.6475756473083</v>
          </cell>
          <cell r="AA12">
            <v>5621.6475756473083</v>
          </cell>
          <cell r="AB12">
            <v>0</v>
          </cell>
          <cell r="AC12">
            <v>0</v>
          </cell>
          <cell r="AD12">
            <v>0</v>
          </cell>
          <cell r="AE12">
            <v>0</v>
          </cell>
          <cell r="AF12">
            <v>0</v>
          </cell>
          <cell r="AG12">
            <v>0</v>
          </cell>
          <cell r="AH12">
            <v>0</v>
          </cell>
          <cell r="AI12">
            <v>0</v>
          </cell>
          <cell r="AJ12">
            <v>0</v>
          </cell>
          <cell r="AK12">
            <v>777892</v>
          </cell>
          <cell r="AL12">
            <v>0</v>
          </cell>
          <cell r="AM12">
            <v>777892</v>
          </cell>
          <cell r="AN12">
            <v>0</v>
          </cell>
        </row>
        <row r="13">
          <cell r="C13" t="str">
            <v>1.4.2</v>
          </cell>
          <cell r="D13" t="str">
            <v>School Admissions</v>
          </cell>
          <cell r="E13">
            <v>0</v>
          </cell>
          <cell r="F13">
            <v>0</v>
          </cell>
          <cell r="G13">
            <v>0</v>
          </cell>
          <cell r="H13">
            <v>0</v>
          </cell>
          <cell r="I13">
            <v>0</v>
          </cell>
          <cell r="J13">
            <v>0</v>
          </cell>
          <cell r="K13">
            <v>0</v>
          </cell>
          <cell r="L13">
            <v>0</v>
          </cell>
          <cell r="M13">
            <v>0</v>
          </cell>
          <cell r="N13">
            <v>0</v>
          </cell>
          <cell r="O13">
            <v>0</v>
          </cell>
          <cell r="P13">
            <v>361200</v>
          </cell>
          <cell r="Q13">
            <v>361200</v>
          </cell>
          <cell r="R13">
            <v>0</v>
          </cell>
          <cell r="S13">
            <v>361200</v>
          </cell>
          <cell r="T13">
            <v>0</v>
          </cell>
          <cell r="U13">
            <v>0</v>
          </cell>
          <cell r="V13">
            <v>361200</v>
          </cell>
          <cell r="W13">
            <v>21493.954837009049</v>
          </cell>
          <cell r="X13">
            <v>182083.70969159124</v>
          </cell>
          <cell r="Y13">
            <v>157622.33547139968</v>
          </cell>
          <cell r="Z13">
            <v>0</v>
          </cell>
          <cell r="AA13">
            <v>0</v>
          </cell>
          <cell r="AB13">
            <v>0</v>
          </cell>
          <cell r="AC13">
            <v>0</v>
          </cell>
          <cell r="AD13">
            <v>0</v>
          </cell>
          <cell r="AE13">
            <v>0</v>
          </cell>
          <cell r="AF13">
            <v>0</v>
          </cell>
          <cell r="AG13">
            <v>0</v>
          </cell>
          <cell r="AH13">
            <v>0</v>
          </cell>
          <cell r="AI13">
            <v>0</v>
          </cell>
          <cell r="AJ13">
            <v>0</v>
          </cell>
          <cell r="AK13">
            <v>361200</v>
          </cell>
          <cell r="AL13">
            <v>0</v>
          </cell>
          <cell r="AM13">
            <v>361200</v>
          </cell>
          <cell r="AN13">
            <v>0</v>
          </cell>
        </row>
        <row r="14">
          <cell r="C14" t="str">
            <v>1.4.3</v>
          </cell>
          <cell r="D14" t="str">
            <v>Servicing of schools forums</v>
          </cell>
          <cell r="E14">
            <v>0</v>
          </cell>
          <cell r="F14">
            <v>0</v>
          </cell>
          <cell r="G14">
            <v>0</v>
          </cell>
          <cell r="H14">
            <v>0</v>
          </cell>
          <cell r="I14">
            <v>0</v>
          </cell>
          <cell r="J14">
            <v>0</v>
          </cell>
          <cell r="K14">
            <v>0</v>
          </cell>
          <cell r="L14">
            <v>0</v>
          </cell>
          <cell r="M14">
            <v>0</v>
          </cell>
          <cell r="N14">
            <v>0</v>
          </cell>
          <cell r="O14">
            <v>0</v>
          </cell>
          <cell r="P14">
            <v>34680</v>
          </cell>
          <cell r="Q14">
            <v>34680</v>
          </cell>
          <cell r="R14">
            <v>0</v>
          </cell>
          <cell r="S14">
            <v>34680</v>
          </cell>
          <cell r="T14">
            <v>0</v>
          </cell>
          <cell r="U14">
            <v>0</v>
          </cell>
          <cell r="V14">
            <v>34679.999999999993</v>
          </cell>
          <cell r="W14">
            <v>2774.0799907725136</v>
          </cell>
          <cell r="X14">
            <v>22195.640012687792</v>
          </cell>
          <cell r="Y14">
            <v>7976.2299950978977</v>
          </cell>
          <cell r="Z14">
            <v>867.02500072089742</v>
          </cell>
          <cell r="AA14">
            <v>867.02500072089742</v>
          </cell>
          <cell r="AB14">
            <v>0</v>
          </cell>
          <cell r="AC14">
            <v>0</v>
          </cell>
          <cell r="AD14">
            <v>0</v>
          </cell>
          <cell r="AE14">
            <v>0</v>
          </cell>
          <cell r="AF14">
            <v>0</v>
          </cell>
          <cell r="AG14">
            <v>0</v>
          </cell>
          <cell r="AH14">
            <v>0</v>
          </cell>
          <cell r="AI14">
            <v>0</v>
          </cell>
          <cell r="AJ14">
            <v>0</v>
          </cell>
          <cell r="AK14">
            <v>34680</v>
          </cell>
          <cell r="AL14">
            <v>0</v>
          </cell>
          <cell r="AM14">
            <v>34680</v>
          </cell>
          <cell r="AN14">
            <v>0</v>
          </cell>
        </row>
        <row r="15">
          <cell r="C15" t="str">
            <v>1.4.4</v>
          </cell>
          <cell r="D15" t="str">
            <v>Termination of employment costs</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row>
        <row r="16">
          <cell r="C16" t="str">
            <v>1.4.5</v>
          </cell>
          <cell r="D16" t="str">
            <v>Fallings Rolls fund</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row>
        <row r="17">
          <cell r="C17" t="str">
            <v>1.4.6</v>
          </cell>
          <cell r="D17" t="str">
            <v>Capital expenditure from revenue (CERA)</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row>
        <row r="18">
          <cell r="C18" t="str">
            <v>1.4.7</v>
          </cell>
          <cell r="D18" t="str">
            <v>Prudential borrowing costs</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row>
        <row r="19">
          <cell r="C19" t="str">
            <v>1.4.8</v>
          </cell>
          <cell r="D19" t="str">
            <v>Fees to independent schools without SEN</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row>
        <row r="20">
          <cell r="C20" t="str">
            <v>1.4.9</v>
          </cell>
          <cell r="D20" t="str">
            <v>Equal pay - back pay</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row>
        <row r="21">
          <cell r="C21" t="str">
            <v>1.4.10</v>
          </cell>
          <cell r="D21" t="str">
            <v>Pupil growth / Infant class sizes</v>
          </cell>
          <cell r="E21">
            <v>0</v>
          </cell>
          <cell r="F21">
            <v>0</v>
          </cell>
          <cell r="G21">
            <v>0</v>
          </cell>
          <cell r="H21">
            <v>0</v>
          </cell>
          <cell r="I21">
            <v>0</v>
          </cell>
          <cell r="J21">
            <v>0</v>
          </cell>
          <cell r="K21">
            <v>0</v>
          </cell>
          <cell r="L21">
            <v>0</v>
          </cell>
          <cell r="M21">
            <v>0</v>
          </cell>
          <cell r="N21">
            <v>0</v>
          </cell>
          <cell r="O21">
            <v>0</v>
          </cell>
          <cell r="P21">
            <v>2157480</v>
          </cell>
          <cell r="Q21">
            <v>1959520</v>
          </cell>
          <cell r="R21">
            <v>0</v>
          </cell>
          <cell r="S21">
            <v>1959520</v>
          </cell>
          <cell r="T21">
            <v>0</v>
          </cell>
          <cell r="U21">
            <v>0</v>
          </cell>
          <cell r="V21">
            <v>1853020</v>
          </cell>
          <cell r="W21">
            <v>0</v>
          </cell>
          <cell r="X21">
            <v>1426300</v>
          </cell>
          <cell r="Y21">
            <v>426720</v>
          </cell>
          <cell r="Z21">
            <v>0</v>
          </cell>
          <cell r="AA21">
            <v>0</v>
          </cell>
          <cell r="AB21">
            <v>0</v>
          </cell>
          <cell r="AC21">
            <v>0</v>
          </cell>
          <cell r="AD21">
            <v>0</v>
          </cell>
          <cell r="AE21">
            <v>955840</v>
          </cell>
          <cell r="AF21">
            <v>426720</v>
          </cell>
          <cell r="AG21">
            <v>0</v>
          </cell>
          <cell r="AH21">
            <v>0</v>
          </cell>
          <cell r="AI21">
            <v>0</v>
          </cell>
          <cell r="AJ21">
            <v>1382560</v>
          </cell>
          <cell r="AK21">
            <v>576960</v>
          </cell>
          <cell r="AL21">
            <v>-106500</v>
          </cell>
          <cell r="AM21">
            <v>1853020</v>
          </cell>
          <cell r="AN21">
            <v>0</v>
          </cell>
        </row>
        <row r="22">
          <cell r="C22" t="str">
            <v>1.4.11</v>
          </cell>
          <cell r="D22" t="str">
            <v>SEN transport</v>
          </cell>
          <cell r="E22">
            <v>0</v>
          </cell>
          <cell r="F22">
            <v>0</v>
          </cell>
          <cell r="G22">
            <v>0</v>
          </cell>
          <cell r="H22">
            <v>0</v>
          </cell>
          <cell r="I22">
            <v>0</v>
          </cell>
          <cell r="J22">
            <v>0</v>
          </cell>
          <cell r="K22">
            <v>0</v>
          </cell>
          <cell r="L22">
            <v>0</v>
          </cell>
          <cell r="M22">
            <v>0</v>
          </cell>
          <cell r="N22">
            <v>0</v>
          </cell>
          <cell r="O22">
            <v>0</v>
          </cell>
          <cell r="P22">
            <v>400000</v>
          </cell>
          <cell r="Q22">
            <v>400000</v>
          </cell>
          <cell r="R22">
            <v>0</v>
          </cell>
          <cell r="S22">
            <v>400000</v>
          </cell>
          <cell r="T22">
            <v>0</v>
          </cell>
          <cell r="U22">
            <v>0</v>
          </cell>
          <cell r="V22">
            <v>400000</v>
          </cell>
          <cell r="W22">
            <v>0</v>
          </cell>
          <cell r="X22">
            <v>0</v>
          </cell>
          <cell r="Y22">
            <v>0</v>
          </cell>
          <cell r="Z22">
            <v>400000</v>
          </cell>
          <cell r="AA22">
            <v>0</v>
          </cell>
          <cell r="AB22">
            <v>0</v>
          </cell>
          <cell r="AC22">
            <v>0</v>
          </cell>
          <cell r="AD22">
            <v>0</v>
          </cell>
          <cell r="AE22">
            <v>0</v>
          </cell>
          <cell r="AF22">
            <v>0</v>
          </cell>
          <cell r="AG22">
            <v>0</v>
          </cell>
          <cell r="AH22">
            <v>0</v>
          </cell>
          <cell r="AI22">
            <v>0</v>
          </cell>
          <cell r="AJ22">
            <v>0</v>
          </cell>
          <cell r="AK22">
            <v>400000</v>
          </cell>
          <cell r="AL22">
            <v>0</v>
          </cell>
          <cell r="AM22">
            <v>400000</v>
          </cell>
          <cell r="AN22">
            <v>0</v>
          </cell>
        </row>
        <row r="23">
          <cell r="C23" t="str">
            <v>1.4.12</v>
          </cell>
          <cell r="D23" t="str">
            <v>Exceptions agreed by the Secretary of State</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row>
        <row r="24">
          <cell r="C24" t="str">
            <v>1.4.13</v>
          </cell>
          <cell r="D24" t="str">
            <v>Other items</v>
          </cell>
          <cell r="E24">
            <v>0</v>
          </cell>
          <cell r="F24">
            <v>0</v>
          </cell>
          <cell r="G24">
            <v>0</v>
          </cell>
          <cell r="H24">
            <v>0</v>
          </cell>
          <cell r="I24">
            <v>0</v>
          </cell>
          <cell r="J24">
            <v>0</v>
          </cell>
          <cell r="K24">
            <v>0</v>
          </cell>
          <cell r="L24">
            <v>0</v>
          </cell>
          <cell r="M24">
            <v>0</v>
          </cell>
          <cell r="N24">
            <v>0</v>
          </cell>
          <cell r="O24">
            <v>0</v>
          </cell>
          <cell r="P24">
            <v>377768</v>
          </cell>
          <cell r="Q24">
            <v>140000</v>
          </cell>
          <cell r="R24">
            <v>0</v>
          </cell>
          <cell r="S24">
            <v>140000</v>
          </cell>
          <cell r="T24">
            <v>0</v>
          </cell>
          <cell r="U24">
            <v>0</v>
          </cell>
          <cell r="V24">
            <v>246500</v>
          </cell>
          <cell r="W24">
            <v>0</v>
          </cell>
          <cell r="X24">
            <v>193250</v>
          </cell>
          <cell r="Y24">
            <v>53250</v>
          </cell>
          <cell r="Z24">
            <v>0</v>
          </cell>
          <cell r="AA24">
            <v>0</v>
          </cell>
          <cell r="AB24">
            <v>0</v>
          </cell>
          <cell r="AC24">
            <v>0</v>
          </cell>
          <cell r="AD24">
            <v>0</v>
          </cell>
          <cell r="AE24">
            <v>0</v>
          </cell>
          <cell r="AF24">
            <v>0</v>
          </cell>
          <cell r="AG24">
            <v>0</v>
          </cell>
          <cell r="AH24">
            <v>0</v>
          </cell>
          <cell r="AI24">
            <v>0</v>
          </cell>
          <cell r="AJ24">
            <v>0</v>
          </cell>
          <cell r="AK24">
            <v>140000</v>
          </cell>
          <cell r="AL24">
            <v>106500</v>
          </cell>
          <cell r="AM24">
            <v>246500</v>
          </cell>
          <cell r="AN24">
            <v>0</v>
          </cell>
        </row>
        <row r="25">
          <cell r="J25">
            <v>0</v>
          </cell>
          <cell r="K25">
            <v>0</v>
          </cell>
          <cell r="L25">
            <v>0</v>
          </cell>
          <cell r="M25">
            <v>0</v>
          </cell>
          <cell r="N25">
            <v>0</v>
          </cell>
          <cell r="O25">
            <v>0</v>
          </cell>
          <cell r="P25">
            <v>4109020</v>
          </cell>
          <cell r="Q25">
            <v>3673292</v>
          </cell>
          <cell r="R25">
            <v>0</v>
          </cell>
          <cell r="S25">
            <v>3673292</v>
          </cell>
          <cell r="T25">
            <v>0</v>
          </cell>
          <cell r="U25">
            <v>0</v>
          </cell>
          <cell r="V25">
            <v>3673292</v>
          </cell>
          <cell r="W25">
            <v>516346.99487785809</v>
          </cell>
          <cell r="X25">
            <v>1978008.1310553253</v>
          </cell>
          <cell r="Y25">
            <v>765959.52891408047</v>
          </cell>
          <cell r="Z25">
            <v>406488.6725763682</v>
          </cell>
          <cell r="AA25">
            <v>6488.6725763682061</v>
          </cell>
          <cell r="AB25">
            <v>0</v>
          </cell>
          <cell r="AC25">
            <v>0</v>
          </cell>
          <cell r="AD25">
            <v>0</v>
          </cell>
          <cell r="AE25">
            <v>955840</v>
          </cell>
          <cell r="AF25">
            <v>426720</v>
          </cell>
          <cell r="AG25">
            <v>0</v>
          </cell>
          <cell r="AH25">
            <v>0</v>
          </cell>
          <cell r="AI25">
            <v>0</v>
          </cell>
          <cell r="AJ25">
            <v>1382560</v>
          </cell>
          <cell r="AK25">
            <v>2290732</v>
          </cell>
          <cell r="AL25">
            <v>0</v>
          </cell>
          <cell r="AM25">
            <v>3673292</v>
          </cell>
          <cell r="AN25">
            <v>0</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to"/>
      <sheetName val="Summary"/>
      <sheetName val="NewSummary"/>
      <sheetName val="Errors"/>
      <sheetName val="Notes for Donna"/>
      <sheetName val="ChecklistforDonna"/>
      <sheetName val="Allrates"/>
      <sheetName val="Cols.Funding"/>
      <sheetName val="Data"/>
      <sheetName val="Funding"/>
      <sheetName val="Datacheck"/>
      <sheetName val="PivotforTrans"/>
      <sheetName val="SortedData"/>
      <sheetName val="CompareOldNew"/>
      <sheetName val="Calculations"/>
      <sheetName val="YTDFunding"/>
      <sheetName val="Interface"/>
      <sheetName val="TRANSpivot"/>
      <sheetName val="TRANS1.6.19"/>
      <sheetName val="QuickReport"/>
      <sheetName val="TRANSlines"/>
      <sheetName val="NurseryTransLines"/>
      <sheetName val="Pupillist"/>
      <sheetName val="BandNamesRatesCC"/>
      <sheetName val="Costcentres"/>
      <sheetName val="Bands"/>
      <sheetName val="Rates"/>
      <sheetName val="Schools"/>
      <sheetName val="Schoolinfo"/>
      <sheetName val="PavilionSum"/>
      <sheetName val="SummerFunding"/>
      <sheetName val="FORTRANSOLD"/>
      <sheetName val="Change"/>
      <sheetName val="Pivot"/>
      <sheetName val="NewBandCodes"/>
      <sheetName val="CalcsNew"/>
      <sheetName val="BandsNew"/>
      <sheetName val="DataV2"/>
      <sheetName val="DataV1"/>
    </sheetNames>
    <sheetDataSet>
      <sheetData sheetId="0">
        <row r="5">
          <cell r="B5">
            <v>43922</v>
          </cell>
        </row>
        <row r="6">
          <cell r="B6">
            <v>43191</v>
          </cell>
        </row>
        <row r="7">
          <cell r="B7">
            <v>2019</v>
          </cell>
        </row>
        <row r="8">
          <cell r="B8">
            <v>2020</v>
          </cell>
        </row>
      </sheetData>
      <sheetData sheetId="1">
        <row r="4">
          <cell r="A4">
            <v>43556</v>
          </cell>
        </row>
        <row r="5">
          <cell r="A5">
            <v>43921</v>
          </cell>
        </row>
        <row r="6">
          <cell r="A6">
            <v>43708</v>
          </cell>
        </row>
        <row r="7">
          <cell r="A7">
            <v>43830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ose"/>
      <sheetName val="News"/>
      <sheetName val="Home"/>
      <sheetName val="BudgetShare"/>
      <sheetName val="Payments"/>
      <sheetName val="Pupils"/>
      <sheetName val="CFR"/>
      <sheetName val="HighNeeds"/>
      <sheetName val="EHCPtopup"/>
      <sheetName val="ARPtopup"/>
      <sheetName val="Specialtopup"/>
      <sheetName val="PRUTopups"/>
      <sheetName val="HNRates"/>
      <sheetName val="EarlyYears"/>
      <sheetName val="SixthForm"/>
      <sheetName val="PupilPremium"/>
      <sheetName val="Grants"/>
      <sheetName val="Growth"/>
      <sheetName val="MFG"/>
      <sheetName val="NotionalSEN"/>
      <sheetName val="Compare"/>
      <sheetName val="BarnetReport"/>
      <sheetName val="NicoleAdj"/>
      <sheetName val="NicoleAprilBCD"/>
      <sheetName val="NicoleBCD"/>
      <sheetName val="NicoleAll"/>
      <sheetName val="RunCost"/>
      <sheetName val="BudMon"/>
      <sheetName val="EYData"/>
      <sheetName val="NEWISB"/>
      <sheetName val="AUTTOPUPS"/>
      <sheetName val="AutTopupData"/>
      <sheetName val="Month8"/>
      <sheetName val="Rates"/>
      <sheetName val="Schools"/>
      <sheetName val="1415Funding"/>
      <sheetName val="OCT14Census"/>
      <sheetName val="Schooldata"/>
      <sheetName val="CostCentres"/>
      <sheetName val="Exclusions"/>
      <sheetName val="PPJuly2"/>
      <sheetName val="PPFSM6July1"/>
      <sheetName val="HNPlaces"/>
      <sheetName val="HNPUPILS"/>
      <sheetName val="PRUCENSUS"/>
      <sheetName val="BulgeProt"/>
      <sheetName val="UIFSM"/>
      <sheetName val="UIFSMdata"/>
      <sheetName val="NNDRfromR&amp;B"/>
      <sheetName val="TRANSeoy15"/>
      <sheetName val="Autopivot"/>
      <sheetName val="Autopay1"/>
      <sheetName val="Autopay2"/>
      <sheetName val="Autopay3"/>
      <sheetName val="Autopay4"/>
      <sheetName val="DFCfinal"/>
      <sheetName val="SummerLAC"/>
      <sheetName val="UIFSMAdj"/>
      <sheetName val="UIFSMJul"/>
      <sheetName val="EHCP+ARPJuly"/>
      <sheetName val="SpecJuly"/>
      <sheetName val="POST16Allocs"/>
      <sheetName val="EY SUMA adj"/>
      <sheetName val="EY SUMAdata"/>
      <sheetName val="EY BUDMON Jul15"/>
      <sheetName val="Recoup"/>
      <sheetName val="NNDROct"/>
      <sheetName val="SummerSchools"/>
      <sheetName val="MP"/>
      <sheetName val="PEGrant1516"/>
      <sheetName val="RBaseline"/>
      <sheetName val="EYAutAct"/>
      <sheetName val="Claremont"/>
      <sheetName val="TRANS"/>
      <sheetName val="EY_SUMA_adj"/>
      <sheetName val="EY_SUMAdata"/>
      <sheetName val="EY_BUDMON_Jul15"/>
    </sheetNames>
    <sheetDataSet>
      <sheetData sheetId="0"/>
      <sheetData sheetId="1"/>
      <sheetData sheetId="2">
        <row r="5">
          <cell r="F5">
            <v>3023519</v>
          </cell>
        </row>
      </sheetData>
      <sheetData sheetId="3"/>
      <sheetData sheetId="4"/>
      <sheetData sheetId="5">
        <row r="19">
          <cell r="Q19">
            <v>3023519</v>
          </cell>
        </row>
      </sheetData>
      <sheetData sheetId="6">
        <row r="12">
          <cell r="L12" t="str">
            <v>Barnet School Funding Allocation April 2015-March 2016 - End of Year Adjustments</v>
          </cell>
        </row>
      </sheetData>
      <sheetData sheetId="7"/>
      <sheetData sheetId="8"/>
      <sheetData sheetId="9"/>
      <sheetData sheetId="10"/>
      <sheetData sheetId="11"/>
      <sheetData sheetId="12"/>
      <sheetData sheetId="13">
        <row r="19">
          <cell r="AA19" t="str">
            <v>Yes</v>
          </cell>
        </row>
      </sheetData>
      <sheetData sheetId="14"/>
      <sheetData sheetId="15"/>
      <sheetData sheetId="16"/>
      <sheetData sheetId="17"/>
      <sheetData sheetId="18">
        <row r="6">
          <cell r="N6">
            <v>1</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O1" t="str">
            <v>Phase</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h 04"/>
      <sheetName val="Budget summary"/>
      <sheetName val="SummaryCB"/>
      <sheetName val="INRespivot"/>
      <sheetName val="Ind &amp; NMSS Res"/>
      <sheetName val="INDaypivot"/>
      <sheetName val="Ind &amp; NMSS Day"/>
      <sheetName val="MAOOBPivot"/>
      <sheetName val="Maint &amp; Acad OOB"/>
      <sheetName val="ChCenPivot"/>
      <sheetName val="Children's Centres"/>
      <sheetName val="Therapies"/>
      <sheetName val="Specialist Pkgs"/>
      <sheetName val="Block Purchase"/>
      <sheetName val="Client Data"/>
      <sheetName val="Provider Listing"/>
      <sheetName val="Vendor List"/>
      <sheetName val="Data"/>
      <sheetName val="Sheet7"/>
      <sheetName val="Mth_04"/>
      <sheetName val="Budget_summary"/>
      <sheetName val="Ind_&amp;_NMSS_Res"/>
      <sheetName val="Ind_&amp;_NMSS_Day"/>
      <sheetName val="Maint_&amp;_Acad_OOB"/>
      <sheetName val="Children's_Centres"/>
      <sheetName val="Specialist_Pkgs"/>
      <sheetName val="Block_Purchase"/>
      <sheetName val="Client_Data"/>
      <sheetName val="Provider_Listing"/>
      <sheetName val="Vendor_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v>279693</v>
          </cell>
          <cell r="B3" t="str">
            <v>MENON</v>
          </cell>
          <cell r="C3" t="str">
            <v>ETHAN</v>
          </cell>
          <cell r="D3">
            <v>40596</v>
          </cell>
          <cell r="E3">
            <v>3.5263518138261465</v>
          </cell>
        </row>
        <row r="4">
          <cell r="A4">
            <v>314689</v>
          </cell>
          <cell r="B4" t="str">
            <v>SHINHMAR</v>
          </cell>
          <cell r="C4" t="str">
            <v>JAY</v>
          </cell>
          <cell r="D4">
            <v>35126</v>
          </cell>
          <cell r="E4">
            <v>18.50239561943874</v>
          </cell>
        </row>
        <row r="5">
          <cell r="A5">
            <v>286066</v>
          </cell>
          <cell r="B5" t="str">
            <v>BRETT</v>
          </cell>
          <cell r="C5" t="str">
            <v>MIRIAM</v>
          </cell>
          <cell r="D5">
            <v>40555</v>
          </cell>
          <cell r="E5">
            <v>3.6386036960985626</v>
          </cell>
        </row>
        <row r="6">
          <cell r="A6">
            <v>286061</v>
          </cell>
          <cell r="B6" t="str">
            <v>CHEEK</v>
          </cell>
          <cell r="C6" t="str">
            <v>OLIVER</v>
          </cell>
          <cell r="D6">
            <v>40508</v>
          </cell>
          <cell r="E6">
            <v>3.7672826830937716</v>
          </cell>
        </row>
        <row r="7">
          <cell r="A7">
            <v>265087</v>
          </cell>
          <cell r="B7" t="str">
            <v>CHOUEKA</v>
          </cell>
          <cell r="C7" t="str">
            <v>JOSEPH</v>
          </cell>
          <cell r="D7">
            <v>40498</v>
          </cell>
          <cell r="E7">
            <v>3.7946611909650922</v>
          </cell>
        </row>
        <row r="8">
          <cell r="A8">
            <v>270616</v>
          </cell>
          <cell r="B8" t="str">
            <v>JAKAJ</v>
          </cell>
          <cell r="C8" t="str">
            <v>JENNIFER</v>
          </cell>
          <cell r="D8">
            <v>40484</v>
          </cell>
          <cell r="E8">
            <v>3.8329911019849416</v>
          </cell>
        </row>
        <row r="9">
          <cell r="A9">
            <v>74449</v>
          </cell>
          <cell r="B9" t="str">
            <v>KANDLER</v>
          </cell>
          <cell r="C9" t="str">
            <v>MIRIAM</v>
          </cell>
          <cell r="D9">
            <v>37482</v>
          </cell>
          <cell r="E9">
            <v>12.05201916495551</v>
          </cell>
        </row>
        <row r="10">
          <cell r="A10">
            <v>274851</v>
          </cell>
          <cell r="B10" t="str">
            <v>FEINGOLD</v>
          </cell>
          <cell r="C10" t="str">
            <v>ADINA</v>
          </cell>
          <cell r="D10">
            <v>40398</v>
          </cell>
          <cell r="E10">
            <v>4.0684462696783026</v>
          </cell>
        </row>
        <row r="11">
          <cell r="A11">
            <v>294106</v>
          </cell>
          <cell r="B11" t="str">
            <v>WARENTS</v>
          </cell>
          <cell r="C11" t="str">
            <v>SAMUEL</v>
          </cell>
          <cell r="D11">
            <v>40377</v>
          </cell>
          <cell r="E11">
            <v>4.1259411362080769</v>
          </cell>
        </row>
        <row r="12">
          <cell r="A12">
            <v>294331</v>
          </cell>
          <cell r="B12" t="str">
            <v>SULTMAN</v>
          </cell>
          <cell r="C12" t="str">
            <v>THEODORE</v>
          </cell>
          <cell r="D12">
            <v>40345</v>
          </cell>
          <cell r="E12">
            <v>4.213552361396304</v>
          </cell>
        </row>
        <row r="13">
          <cell r="A13">
            <v>285595</v>
          </cell>
          <cell r="B13" t="str">
            <v>BLOOM</v>
          </cell>
          <cell r="C13" t="str">
            <v>BEN (RAFI)</v>
          </cell>
          <cell r="D13">
            <v>40334</v>
          </cell>
          <cell r="E13">
            <v>4.2436687200547567</v>
          </cell>
        </row>
        <row r="14">
          <cell r="A14">
            <v>145188</v>
          </cell>
          <cell r="B14" t="str">
            <v>RUEBAN</v>
          </cell>
          <cell r="C14" t="str">
            <v>DANIELS</v>
          </cell>
          <cell r="D14">
            <v>40315</v>
          </cell>
          <cell r="E14">
            <v>4.2956878850102669</v>
          </cell>
        </row>
        <row r="15">
          <cell r="A15">
            <v>251875</v>
          </cell>
          <cell r="B15" t="str">
            <v>SILBERSTEIN</v>
          </cell>
          <cell r="C15" t="str">
            <v>ANAELLE</v>
          </cell>
          <cell r="D15">
            <v>40295</v>
          </cell>
          <cell r="E15">
            <v>4.3504449007529091</v>
          </cell>
        </row>
        <row r="16">
          <cell r="A16">
            <v>270644</v>
          </cell>
          <cell r="B16" t="str">
            <v>BORDON</v>
          </cell>
          <cell r="C16" t="str">
            <v>ZEV</v>
          </cell>
          <cell r="D16">
            <v>40264</v>
          </cell>
          <cell r="E16">
            <v>4.4353182751540041</v>
          </cell>
        </row>
        <row r="17">
          <cell r="A17">
            <v>251256</v>
          </cell>
          <cell r="B17" t="str">
            <v>PARKER</v>
          </cell>
          <cell r="C17" t="str">
            <v>ELLIOT</v>
          </cell>
          <cell r="D17">
            <v>40252</v>
          </cell>
          <cell r="E17">
            <v>4.4681724845995889</v>
          </cell>
        </row>
        <row r="18">
          <cell r="A18">
            <v>251960</v>
          </cell>
          <cell r="B18" t="str">
            <v>LEWIS</v>
          </cell>
          <cell r="C18" t="str">
            <v>DEXTER</v>
          </cell>
          <cell r="D18">
            <v>40219</v>
          </cell>
          <cell r="E18">
            <v>4.5585215605749489</v>
          </cell>
        </row>
        <row r="19">
          <cell r="A19">
            <v>285869</v>
          </cell>
          <cell r="B19" t="str">
            <v>GURASPISHVILI</v>
          </cell>
          <cell r="C19" t="str">
            <v>ALEXANDER</v>
          </cell>
          <cell r="D19">
            <v>40190</v>
          </cell>
          <cell r="E19">
            <v>4.6379192334017798</v>
          </cell>
        </row>
        <row r="20">
          <cell r="A20">
            <v>281644</v>
          </cell>
          <cell r="B20" t="str">
            <v>OKONKWO</v>
          </cell>
          <cell r="C20" t="str">
            <v>ARINZE</v>
          </cell>
          <cell r="D20">
            <v>40139</v>
          </cell>
          <cell r="E20">
            <v>4.777549623545517</v>
          </cell>
        </row>
        <row r="21">
          <cell r="A21">
            <v>281640</v>
          </cell>
          <cell r="B21" t="str">
            <v>OKONKWO</v>
          </cell>
          <cell r="C21" t="str">
            <v>TOBENNA</v>
          </cell>
          <cell r="D21">
            <v>40139</v>
          </cell>
          <cell r="E21">
            <v>4.777549623545517</v>
          </cell>
        </row>
        <row r="22">
          <cell r="A22">
            <v>23278</v>
          </cell>
          <cell r="B22" t="str">
            <v>ANSA-OTU</v>
          </cell>
          <cell r="C22" t="str">
            <v>Kwamie</v>
          </cell>
          <cell r="D22">
            <v>40128</v>
          </cell>
          <cell r="E22">
            <v>4.8076659822039698</v>
          </cell>
        </row>
        <row r="23">
          <cell r="A23">
            <v>223193</v>
          </cell>
          <cell r="B23" t="str">
            <v>JOSHI</v>
          </cell>
          <cell r="C23" t="str">
            <v>KAVAN</v>
          </cell>
          <cell r="D23">
            <v>40096</v>
          </cell>
          <cell r="E23">
            <v>4.8952772073921968</v>
          </cell>
        </row>
        <row r="24">
          <cell r="A24">
            <v>265869</v>
          </cell>
          <cell r="B24" t="str">
            <v>CLIFTON</v>
          </cell>
          <cell r="C24" t="str">
            <v>HARRY</v>
          </cell>
          <cell r="D24">
            <v>40064</v>
          </cell>
          <cell r="E24">
            <v>4.9828884325804248</v>
          </cell>
        </row>
        <row r="25">
          <cell r="A25">
            <v>232368</v>
          </cell>
          <cell r="B25" t="str">
            <v>PEARL</v>
          </cell>
          <cell r="C25" t="str">
            <v>CHANOCH</v>
          </cell>
          <cell r="D25">
            <v>40051</v>
          </cell>
          <cell r="E25">
            <v>5.0184804928131417</v>
          </cell>
        </row>
        <row r="26">
          <cell r="A26">
            <v>246765</v>
          </cell>
          <cell r="B26" t="str">
            <v>SMITH</v>
          </cell>
          <cell r="C26" t="str">
            <v>MAISIE</v>
          </cell>
          <cell r="D26">
            <v>40032</v>
          </cell>
          <cell r="E26">
            <v>5.0704996577686519</v>
          </cell>
        </row>
        <row r="27">
          <cell r="A27">
            <v>275504</v>
          </cell>
          <cell r="B27" t="str">
            <v>LACK</v>
          </cell>
          <cell r="C27" t="str">
            <v>TOMMY</v>
          </cell>
          <cell r="D27">
            <v>40015</v>
          </cell>
          <cell r="E27">
            <v>5.117043121149897</v>
          </cell>
        </row>
        <row r="28">
          <cell r="A28">
            <v>223514</v>
          </cell>
          <cell r="B28" t="str">
            <v>JAMES</v>
          </cell>
          <cell r="C28" t="str">
            <v>DANIEL</v>
          </cell>
          <cell r="D28">
            <v>40009</v>
          </cell>
          <cell r="E28">
            <v>5.1334702258726903</v>
          </cell>
        </row>
        <row r="29">
          <cell r="A29">
            <v>211145</v>
          </cell>
          <cell r="B29" t="str">
            <v>MENZIES</v>
          </cell>
          <cell r="C29" t="str">
            <v>TIFFANY SARAIVA</v>
          </cell>
          <cell r="D29">
            <v>39962</v>
          </cell>
          <cell r="E29">
            <v>5.2621492128678984</v>
          </cell>
        </row>
        <row r="30">
          <cell r="A30">
            <v>268849</v>
          </cell>
          <cell r="B30" t="str">
            <v>KARKI</v>
          </cell>
          <cell r="C30" t="str">
            <v>PRATHAM</v>
          </cell>
          <cell r="D30">
            <v>39951</v>
          </cell>
          <cell r="E30">
            <v>5.292265571526352</v>
          </cell>
        </row>
        <row r="31">
          <cell r="A31">
            <v>254369</v>
          </cell>
          <cell r="B31" t="str">
            <v>RAHIM-COUSANS</v>
          </cell>
          <cell r="C31" t="str">
            <v>LEILA</v>
          </cell>
          <cell r="D31">
            <v>39923</v>
          </cell>
          <cell r="E31">
            <v>5.3689253935660508</v>
          </cell>
        </row>
        <row r="32">
          <cell r="A32">
            <v>217922</v>
          </cell>
          <cell r="B32" t="str">
            <v>GLADDEN</v>
          </cell>
          <cell r="C32" t="str">
            <v>ALEXANDER</v>
          </cell>
          <cell r="D32">
            <v>39920</v>
          </cell>
          <cell r="E32">
            <v>5.377138945927447</v>
          </cell>
        </row>
        <row r="33">
          <cell r="A33">
            <v>259950</v>
          </cell>
          <cell r="B33" t="str">
            <v>TAILOR</v>
          </cell>
          <cell r="C33" t="str">
            <v>YASHI</v>
          </cell>
          <cell r="D33">
            <v>39916</v>
          </cell>
          <cell r="E33">
            <v>5.3880903490759753</v>
          </cell>
        </row>
        <row r="34">
          <cell r="A34">
            <v>247338</v>
          </cell>
          <cell r="B34" t="str">
            <v>SOBCZAK</v>
          </cell>
          <cell r="C34" t="str">
            <v>APRIL</v>
          </cell>
          <cell r="D34">
            <v>39870</v>
          </cell>
          <cell r="E34">
            <v>5.5140314852840522</v>
          </cell>
        </row>
        <row r="35">
          <cell r="A35">
            <v>258900</v>
          </cell>
          <cell r="B35" t="str">
            <v>GIBBS-KASSAM</v>
          </cell>
          <cell r="C35" t="str">
            <v>ETHAN</v>
          </cell>
          <cell r="D35">
            <v>39869</v>
          </cell>
          <cell r="E35">
            <v>5.5167693360711842</v>
          </cell>
        </row>
        <row r="36">
          <cell r="A36">
            <v>263648</v>
          </cell>
          <cell r="B36" t="str">
            <v>DEL-GIUDICE</v>
          </cell>
          <cell r="C36" t="str">
            <v>WILLIAM</v>
          </cell>
          <cell r="D36">
            <v>39866</v>
          </cell>
          <cell r="E36">
            <v>5.5249828884325805</v>
          </cell>
        </row>
        <row r="37">
          <cell r="A37">
            <v>182733</v>
          </cell>
          <cell r="B37" t="str">
            <v>GOURGEL</v>
          </cell>
          <cell r="C37" t="str">
            <v>CHELSEA</v>
          </cell>
          <cell r="D37">
            <v>39857</v>
          </cell>
          <cell r="E37">
            <v>5.5496235455167691</v>
          </cell>
        </row>
        <row r="38">
          <cell r="A38">
            <v>271089</v>
          </cell>
          <cell r="B38" t="str">
            <v xml:space="preserve">KLEIN </v>
          </cell>
          <cell r="C38" t="str">
            <v>MILLA</v>
          </cell>
          <cell r="D38">
            <v>39825</v>
          </cell>
          <cell r="E38">
            <v>5.637234770704997</v>
          </cell>
        </row>
        <row r="39">
          <cell r="A39">
            <v>182731</v>
          </cell>
          <cell r="B39" t="str">
            <v>MEDFORD</v>
          </cell>
          <cell r="C39" t="str">
            <v>KAYLEY</v>
          </cell>
          <cell r="D39">
            <v>39804</v>
          </cell>
          <cell r="E39">
            <v>5.6947296372347704</v>
          </cell>
        </row>
        <row r="40">
          <cell r="A40">
            <v>182732</v>
          </cell>
          <cell r="B40" t="str">
            <v>PLANCEY</v>
          </cell>
          <cell r="C40" t="str">
            <v>RINAT</v>
          </cell>
          <cell r="D40">
            <v>39803</v>
          </cell>
          <cell r="E40">
            <v>5.6974674880219025</v>
          </cell>
        </row>
        <row r="41">
          <cell r="A41">
            <v>285578</v>
          </cell>
          <cell r="B41" t="str">
            <v>ABRAHAM</v>
          </cell>
          <cell r="C41" t="str">
            <v>BATYA</v>
          </cell>
          <cell r="D41">
            <v>39775</v>
          </cell>
          <cell r="E41">
            <v>5.7741273100616013</v>
          </cell>
        </row>
        <row r="42">
          <cell r="A42">
            <v>279874</v>
          </cell>
          <cell r="B42" t="str">
            <v>GILL</v>
          </cell>
          <cell r="C42" t="str">
            <v>REUBEN</v>
          </cell>
          <cell r="D42">
            <v>39754</v>
          </cell>
          <cell r="E42">
            <v>5.8316221765913756</v>
          </cell>
        </row>
        <row r="43">
          <cell r="A43">
            <v>182730</v>
          </cell>
          <cell r="B43" t="str">
            <v>LAM</v>
          </cell>
          <cell r="C43" t="str">
            <v>KIAN</v>
          </cell>
          <cell r="D43">
            <v>39714</v>
          </cell>
          <cell r="E43">
            <v>5.9411362080766601</v>
          </cell>
        </row>
        <row r="44">
          <cell r="A44">
            <v>182729</v>
          </cell>
          <cell r="B44" t="str">
            <v>BLAKER</v>
          </cell>
          <cell r="C44" t="str">
            <v>SHTERNA</v>
          </cell>
          <cell r="D44">
            <v>39696</v>
          </cell>
          <cell r="E44">
            <v>5.9904175222450373</v>
          </cell>
        </row>
        <row r="45">
          <cell r="A45">
            <v>210604</v>
          </cell>
          <cell r="B45" t="str">
            <v>LANDECK</v>
          </cell>
          <cell r="C45" t="str">
            <v>ORLY</v>
          </cell>
          <cell r="D45">
            <v>39693</v>
          </cell>
          <cell r="E45">
            <v>5.9986310746064335</v>
          </cell>
        </row>
        <row r="46">
          <cell r="A46">
            <v>203353</v>
          </cell>
          <cell r="B46" t="str">
            <v>ROSENFELDER</v>
          </cell>
          <cell r="C46" t="str">
            <v>EICHONON</v>
          </cell>
          <cell r="D46">
            <v>39686</v>
          </cell>
          <cell r="E46">
            <v>6.0177960301163589</v>
          </cell>
        </row>
        <row r="47">
          <cell r="A47">
            <v>233822</v>
          </cell>
          <cell r="B47" t="str">
            <v>DENNIS</v>
          </cell>
          <cell r="C47" t="str">
            <v>STEVEN</v>
          </cell>
          <cell r="D47">
            <v>39660</v>
          </cell>
          <cell r="E47">
            <v>6.0889801505817935</v>
          </cell>
        </row>
        <row r="48">
          <cell r="A48">
            <v>230762</v>
          </cell>
          <cell r="B48" t="str">
            <v>MARUF</v>
          </cell>
          <cell r="C48" t="str">
            <v>YUSUF</v>
          </cell>
          <cell r="D48">
            <v>39648</v>
          </cell>
          <cell r="E48">
            <v>6.1218343600273784</v>
          </cell>
        </row>
        <row r="49">
          <cell r="A49">
            <v>244535</v>
          </cell>
          <cell r="B49" t="str">
            <v>UDOLISA</v>
          </cell>
          <cell r="C49" t="str">
            <v>JEDIN</v>
          </cell>
          <cell r="D49">
            <v>39630</v>
          </cell>
          <cell r="E49">
            <v>6.1711156741957565</v>
          </cell>
        </row>
        <row r="50">
          <cell r="A50">
            <v>245663</v>
          </cell>
          <cell r="B50" t="str">
            <v>EAPEN</v>
          </cell>
          <cell r="C50" t="str">
            <v>JOSH (PHILIP KOSHY)</v>
          </cell>
          <cell r="D50">
            <v>39626</v>
          </cell>
          <cell r="E50">
            <v>6.1820670773442847</v>
          </cell>
        </row>
        <row r="51">
          <cell r="A51">
            <v>231345</v>
          </cell>
          <cell r="B51" t="str">
            <v>BERMAN</v>
          </cell>
          <cell r="C51" t="str">
            <v>BENJAMIN</v>
          </cell>
          <cell r="D51">
            <v>39609</v>
          </cell>
          <cell r="E51">
            <v>6.2286105407255308</v>
          </cell>
        </row>
        <row r="52">
          <cell r="A52">
            <v>199539</v>
          </cell>
          <cell r="B52" t="str">
            <v>EDELSTEIN</v>
          </cell>
          <cell r="C52" t="str">
            <v>MARTIN</v>
          </cell>
          <cell r="D52">
            <v>39594</v>
          </cell>
          <cell r="E52">
            <v>6.2696783025325118</v>
          </cell>
        </row>
        <row r="53">
          <cell r="A53">
            <v>211166</v>
          </cell>
          <cell r="B53" t="str">
            <v>LIDDLE</v>
          </cell>
          <cell r="C53" t="str">
            <v>THOMAS</v>
          </cell>
          <cell r="D53">
            <v>39594</v>
          </cell>
          <cell r="E53">
            <v>6.2696783025325118</v>
          </cell>
        </row>
        <row r="54">
          <cell r="A54">
            <v>244735</v>
          </cell>
          <cell r="B54" t="str">
            <v>JOSEPH</v>
          </cell>
          <cell r="C54" t="str">
            <v>JACK</v>
          </cell>
          <cell r="D54">
            <v>39548</v>
          </cell>
          <cell r="E54">
            <v>6.3956194387405887</v>
          </cell>
        </row>
        <row r="55">
          <cell r="A55">
            <v>213991</v>
          </cell>
          <cell r="B55" t="str">
            <v>WAWERO</v>
          </cell>
          <cell r="C55" t="str">
            <v>IMAN</v>
          </cell>
          <cell r="D55">
            <v>39534</v>
          </cell>
          <cell r="E55">
            <v>6.4339493497604376</v>
          </cell>
        </row>
        <row r="56">
          <cell r="A56">
            <v>182726</v>
          </cell>
          <cell r="B56" t="str">
            <v>BRADY</v>
          </cell>
          <cell r="C56" t="str">
            <v>LAURA</v>
          </cell>
          <cell r="D56">
            <v>39525</v>
          </cell>
          <cell r="E56">
            <v>6.4585900068446271</v>
          </cell>
        </row>
        <row r="57">
          <cell r="A57">
            <v>211307</v>
          </cell>
          <cell r="B57" t="str">
            <v>GORDON</v>
          </cell>
          <cell r="C57" t="str">
            <v>DARYL</v>
          </cell>
          <cell r="D57">
            <v>39509</v>
          </cell>
          <cell r="E57">
            <v>6.5023956194387402</v>
          </cell>
        </row>
        <row r="58">
          <cell r="A58">
            <v>232358</v>
          </cell>
          <cell r="B58" t="str">
            <v>TOFFEL</v>
          </cell>
          <cell r="C58" t="str">
            <v>CHAYA</v>
          </cell>
          <cell r="D58">
            <v>39502</v>
          </cell>
          <cell r="E58">
            <v>6.5215605749486656</v>
          </cell>
        </row>
        <row r="59">
          <cell r="A59">
            <v>213993</v>
          </cell>
          <cell r="B59" t="str">
            <v>KAHNER</v>
          </cell>
          <cell r="C59" t="str">
            <v>BENJAMIN</v>
          </cell>
          <cell r="D59">
            <v>39488</v>
          </cell>
          <cell r="E59">
            <v>6.5598904859685145</v>
          </cell>
        </row>
        <row r="60">
          <cell r="A60">
            <v>239309</v>
          </cell>
          <cell r="B60" t="str">
            <v>NEAIMI</v>
          </cell>
          <cell r="C60" t="str">
            <v>JORDAN</v>
          </cell>
          <cell r="D60">
            <v>39473</v>
          </cell>
          <cell r="E60">
            <v>6.6009582477754964</v>
          </cell>
        </row>
        <row r="61">
          <cell r="A61">
            <v>239225</v>
          </cell>
          <cell r="B61" t="str">
            <v>ONYILOGWU</v>
          </cell>
          <cell r="C61" t="str">
            <v>SAMANTHA</v>
          </cell>
          <cell r="D61">
            <v>39468</v>
          </cell>
          <cell r="E61">
            <v>6.6146475017111568</v>
          </cell>
        </row>
        <row r="62">
          <cell r="A62">
            <v>236566</v>
          </cell>
          <cell r="B62" t="str">
            <v>SICAT</v>
          </cell>
          <cell r="C62" t="str">
            <v>SEAN</v>
          </cell>
          <cell r="D62">
            <v>39464</v>
          </cell>
          <cell r="E62">
            <v>6.6255989048596851</v>
          </cell>
        </row>
        <row r="63">
          <cell r="A63">
            <v>244813</v>
          </cell>
          <cell r="B63" t="str">
            <v>DEHIDENIYA</v>
          </cell>
          <cell r="C63" t="str">
            <v>KEZIAH</v>
          </cell>
          <cell r="D63">
            <v>39435</v>
          </cell>
          <cell r="E63">
            <v>6.7049965776865159</v>
          </cell>
        </row>
        <row r="64">
          <cell r="A64">
            <v>207831</v>
          </cell>
          <cell r="B64" t="str">
            <v>YANMAZ</v>
          </cell>
          <cell r="C64" t="str">
            <v>GABRIEL</v>
          </cell>
          <cell r="D64">
            <v>39428</v>
          </cell>
          <cell r="E64">
            <v>6.7241615331964404</v>
          </cell>
        </row>
        <row r="65">
          <cell r="A65">
            <v>227148</v>
          </cell>
          <cell r="B65" t="str">
            <v>SHARIF</v>
          </cell>
          <cell r="C65" t="str">
            <v>SOPHIE</v>
          </cell>
          <cell r="D65">
            <v>39421</v>
          </cell>
          <cell r="E65">
            <v>6.7433264887063658</v>
          </cell>
        </row>
        <row r="66">
          <cell r="A66">
            <v>170499</v>
          </cell>
          <cell r="B66" t="str">
            <v>IBRAHIAM</v>
          </cell>
          <cell r="C66" t="str">
            <v>ADNAN</v>
          </cell>
          <cell r="D66">
            <v>39327</v>
          </cell>
          <cell r="E66">
            <v>7.0006844626967828</v>
          </cell>
        </row>
        <row r="67">
          <cell r="A67">
            <v>210817</v>
          </cell>
          <cell r="B67" t="str">
            <v>TWUMASI</v>
          </cell>
          <cell r="C67" t="str">
            <v>PHILIP</v>
          </cell>
          <cell r="D67">
            <v>39303</v>
          </cell>
          <cell r="E67">
            <v>7.0663928815879533</v>
          </cell>
        </row>
        <row r="68">
          <cell r="A68">
            <v>169179</v>
          </cell>
          <cell r="B68" t="str">
            <v>EBERT</v>
          </cell>
          <cell r="C68" t="str">
            <v>EFRAIM</v>
          </cell>
          <cell r="D68">
            <v>39289</v>
          </cell>
          <cell r="E68">
            <v>7.1047227926078032</v>
          </cell>
        </row>
        <row r="69">
          <cell r="A69">
            <v>211497</v>
          </cell>
          <cell r="B69" t="str">
            <v>BRILANT</v>
          </cell>
          <cell r="C69" t="str">
            <v>GUY</v>
          </cell>
          <cell r="D69">
            <v>39288</v>
          </cell>
          <cell r="E69">
            <v>7.1074606433949352</v>
          </cell>
        </row>
        <row r="70">
          <cell r="A70">
            <v>182724</v>
          </cell>
          <cell r="B70" t="str">
            <v>OGUNDE</v>
          </cell>
          <cell r="C70" t="str">
            <v>OLUWATIMI JEVON</v>
          </cell>
          <cell r="D70">
            <v>39271</v>
          </cell>
          <cell r="E70">
            <v>7.1540041067761804</v>
          </cell>
        </row>
        <row r="71">
          <cell r="A71">
            <v>210128</v>
          </cell>
          <cell r="B71" t="str">
            <v>MIZNER</v>
          </cell>
          <cell r="C71" t="str">
            <v>AVICHAI</v>
          </cell>
          <cell r="D71">
            <v>39269</v>
          </cell>
          <cell r="E71">
            <v>7.1594798083504445</v>
          </cell>
        </row>
        <row r="72">
          <cell r="A72">
            <v>210481</v>
          </cell>
          <cell r="B72" t="str">
            <v>BOUMAHDI</v>
          </cell>
          <cell r="C72" t="str">
            <v>MOHAMED</v>
          </cell>
          <cell r="D72">
            <v>39260</v>
          </cell>
          <cell r="E72">
            <v>7.184120465434634</v>
          </cell>
        </row>
        <row r="73">
          <cell r="A73">
            <v>143234</v>
          </cell>
          <cell r="B73" t="str">
            <v>ROSENTHAL</v>
          </cell>
          <cell r="C73" t="str">
            <v>AIMEE</v>
          </cell>
          <cell r="D73">
            <v>39230</v>
          </cell>
          <cell r="E73">
            <v>7.2662559890485969</v>
          </cell>
        </row>
        <row r="74">
          <cell r="A74">
            <v>214098</v>
          </cell>
          <cell r="B74" t="str">
            <v>GETTER</v>
          </cell>
          <cell r="C74" t="str">
            <v>Elya</v>
          </cell>
          <cell r="D74">
            <v>39215</v>
          </cell>
          <cell r="E74">
            <v>7.3073237508555779</v>
          </cell>
        </row>
        <row r="75">
          <cell r="A75">
            <v>210616</v>
          </cell>
          <cell r="B75" t="str">
            <v>GREENFIELD</v>
          </cell>
          <cell r="C75" t="str">
            <v>GRACE</v>
          </cell>
          <cell r="D75">
            <v>39200</v>
          </cell>
          <cell r="E75">
            <v>7.3483915126625599</v>
          </cell>
        </row>
        <row r="76">
          <cell r="A76">
            <v>195658</v>
          </cell>
          <cell r="B76" t="str">
            <v>JUDAH</v>
          </cell>
          <cell r="C76" t="str">
            <v>ATARA</v>
          </cell>
          <cell r="D76">
            <v>39197</v>
          </cell>
          <cell r="E76">
            <v>7.3566050650239561</v>
          </cell>
        </row>
        <row r="77">
          <cell r="A77">
            <v>195881</v>
          </cell>
          <cell r="B77" t="str">
            <v>MUTABAZI</v>
          </cell>
          <cell r="C77" t="str">
            <v>LIZA</v>
          </cell>
          <cell r="D77">
            <v>39197</v>
          </cell>
          <cell r="E77">
            <v>7.3566050650239561</v>
          </cell>
        </row>
        <row r="78">
          <cell r="A78">
            <v>209958</v>
          </cell>
          <cell r="B78" t="str">
            <v>MARZBAN</v>
          </cell>
          <cell r="C78" t="str">
            <v>RAYAAN</v>
          </cell>
          <cell r="D78">
            <v>39178</v>
          </cell>
          <cell r="E78">
            <v>7.4086242299794662</v>
          </cell>
        </row>
        <row r="79">
          <cell r="A79">
            <v>274704</v>
          </cell>
          <cell r="B79" t="str">
            <v>SHAHZAD</v>
          </cell>
          <cell r="C79" t="str">
            <v>AYAN</v>
          </cell>
          <cell r="D79">
            <v>39169</v>
          </cell>
          <cell r="E79">
            <v>7.4332648870636548</v>
          </cell>
        </row>
        <row r="80">
          <cell r="A80">
            <v>197146</v>
          </cell>
          <cell r="B80" t="str">
            <v>MAHMOUD</v>
          </cell>
          <cell r="C80" t="str">
            <v>ADAM</v>
          </cell>
          <cell r="D80">
            <v>39165</v>
          </cell>
          <cell r="E80">
            <v>7.4442162902121831</v>
          </cell>
        </row>
        <row r="81">
          <cell r="A81">
            <v>193739</v>
          </cell>
          <cell r="B81" t="str">
            <v>MOABI</v>
          </cell>
          <cell r="C81" t="str">
            <v>GABRIEL</v>
          </cell>
          <cell r="D81">
            <v>39164</v>
          </cell>
          <cell r="E81">
            <v>7.4469541409993152</v>
          </cell>
        </row>
        <row r="82">
          <cell r="A82">
            <v>197643</v>
          </cell>
          <cell r="B82" t="str">
            <v>IOANNIDIS</v>
          </cell>
          <cell r="C82" t="str">
            <v>ANGELINA</v>
          </cell>
          <cell r="D82">
            <v>39161</v>
          </cell>
          <cell r="E82">
            <v>7.4551676933607123</v>
          </cell>
        </row>
        <row r="83">
          <cell r="A83">
            <v>212089</v>
          </cell>
          <cell r="B83" t="str">
            <v>GABRIEL</v>
          </cell>
          <cell r="C83" t="str">
            <v>MALIKA</v>
          </cell>
          <cell r="D83">
            <v>39157</v>
          </cell>
          <cell r="E83">
            <v>7.4661190965092405</v>
          </cell>
        </row>
        <row r="84">
          <cell r="A84">
            <v>210262</v>
          </cell>
          <cell r="B84" t="str">
            <v>ZENTER</v>
          </cell>
          <cell r="C84" t="str">
            <v>KAI</v>
          </cell>
          <cell r="D84">
            <v>39157</v>
          </cell>
          <cell r="E84">
            <v>7.4661190965092405</v>
          </cell>
        </row>
        <row r="85">
          <cell r="A85">
            <v>197379</v>
          </cell>
          <cell r="B85" t="str">
            <v>NARVAEZ-GOMEZ</v>
          </cell>
          <cell r="C85" t="str">
            <v>LUCAS</v>
          </cell>
          <cell r="D85">
            <v>39147</v>
          </cell>
          <cell r="E85">
            <v>7.4934976043805612</v>
          </cell>
        </row>
        <row r="86">
          <cell r="A86">
            <v>203334</v>
          </cell>
          <cell r="B86" t="str">
            <v>GRIFFIN</v>
          </cell>
          <cell r="C86" t="str">
            <v>JAMES</v>
          </cell>
          <cell r="D86">
            <v>39145</v>
          </cell>
          <cell r="E86">
            <v>7.4989733059548254</v>
          </cell>
        </row>
        <row r="87">
          <cell r="A87">
            <v>172830</v>
          </cell>
          <cell r="B87" t="str">
            <v>LEVIN</v>
          </cell>
          <cell r="C87" t="str">
            <v>RACHEL</v>
          </cell>
          <cell r="D87">
            <v>39129</v>
          </cell>
          <cell r="E87">
            <v>7.5427789185489393</v>
          </cell>
        </row>
        <row r="88">
          <cell r="A88">
            <v>175008</v>
          </cell>
          <cell r="B88" t="str">
            <v>KANDER</v>
          </cell>
          <cell r="C88" t="str">
            <v>EITAN</v>
          </cell>
          <cell r="D88">
            <v>39123</v>
          </cell>
          <cell r="E88">
            <v>7.5592060232717317</v>
          </cell>
        </row>
        <row r="89">
          <cell r="A89">
            <v>170659</v>
          </cell>
          <cell r="B89" t="str">
            <v>MEHMETI</v>
          </cell>
          <cell r="C89" t="str">
            <v>NIDA</v>
          </cell>
          <cell r="D89">
            <v>39118</v>
          </cell>
          <cell r="E89">
            <v>7.5728952772073921</v>
          </cell>
        </row>
        <row r="90">
          <cell r="A90">
            <v>189651</v>
          </cell>
          <cell r="B90" t="str">
            <v>LERNER</v>
          </cell>
          <cell r="C90" t="str">
            <v>GELLA</v>
          </cell>
          <cell r="D90">
            <v>39097</v>
          </cell>
          <cell r="E90">
            <v>7.6303901437371664</v>
          </cell>
        </row>
        <row r="91">
          <cell r="A91">
            <v>197842</v>
          </cell>
          <cell r="B91" t="str">
            <v>HOBAN</v>
          </cell>
          <cell r="C91" t="str">
            <v>MEG</v>
          </cell>
          <cell r="D91">
            <v>39078</v>
          </cell>
          <cell r="E91">
            <v>7.6824093086926766</v>
          </cell>
        </row>
        <row r="92">
          <cell r="A92">
            <v>170897</v>
          </cell>
          <cell r="B92" t="str">
            <v>CARLTON-WALKER</v>
          </cell>
          <cell r="C92" t="str">
            <v>DANIEL</v>
          </cell>
          <cell r="D92">
            <v>39072</v>
          </cell>
          <cell r="E92">
            <v>7.698836413415469</v>
          </cell>
        </row>
        <row r="93">
          <cell r="A93">
            <v>203705</v>
          </cell>
          <cell r="B93" t="str">
            <v>ELDRETT</v>
          </cell>
          <cell r="C93" t="str">
            <v>HARLEY</v>
          </cell>
          <cell r="D93">
            <v>39070</v>
          </cell>
          <cell r="E93">
            <v>7.7043121149897331</v>
          </cell>
        </row>
        <row r="94">
          <cell r="A94">
            <v>171565</v>
          </cell>
          <cell r="B94" t="str">
            <v>MOHAMED</v>
          </cell>
          <cell r="C94" t="str">
            <v>ZAKARIA</v>
          </cell>
          <cell r="D94">
            <v>39057</v>
          </cell>
          <cell r="E94">
            <v>7.73990417522245</v>
          </cell>
        </row>
        <row r="95">
          <cell r="A95">
            <v>197813</v>
          </cell>
          <cell r="B95" t="str">
            <v>NIKOLOV</v>
          </cell>
          <cell r="C95" t="str">
            <v>LACHEZAR</v>
          </cell>
          <cell r="D95">
            <v>39052</v>
          </cell>
          <cell r="E95">
            <v>7.7535934291581112</v>
          </cell>
        </row>
        <row r="96">
          <cell r="A96">
            <v>210420</v>
          </cell>
          <cell r="B96" t="str">
            <v>SOCCIO-MARQUES</v>
          </cell>
          <cell r="C96" t="str">
            <v>DANKA</v>
          </cell>
          <cell r="D96">
            <v>39050</v>
          </cell>
          <cell r="E96">
            <v>7.7590691307323754</v>
          </cell>
        </row>
        <row r="97">
          <cell r="A97">
            <v>185293</v>
          </cell>
          <cell r="B97" t="str">
            <v>BOOKER</v>
          </cell>
          <cell r="C97" t="str">
            <v>GEORGE</v>
          </cell>
          <cell r="D97">
            <v>39050</v>
          </cell>
          <cell r="E97">
            <v>7.7590691307323754</v>
          </cell>
        </row>
        <row r="98">
          <cell r="A98">
            <v>212193</v>
          </cell>
          <cell r="B98" t="str">
            <v>POWER</v>
          </cell>
          <cell r="C98" t="str">
            <v>ELLIOT</v>
          </cell>
          <cell r="D98">
            <v>39048</v>
          </cell>
          <cell r="E98">
            <v>7.7645448323066395</v>
          </cell>
        </row>
        <row r="99">
          <cell r="A99">
            <v>152370</v>
          </cell>
          <cell r="B99" t="str">
            <v>ROODYN</v>
          </cell>
          <cell r="C99" t="str">
            <v>AHARON</v>
          </cell>
          <cell r="D99">
            <v>39010</v>
          </cell>
          <cell r="E99">
            <v>7.868583162217659</v>
          </cell>
        </row>
        <row r="100">
          <cell r="A100">
            <v>170701</v>
          </cell>
          <cell r="B100" t="str">
            <v>WALFISZ</v>
          </cell>
          <cell r="C100" t="str">
            <v>MAX</v>
          </cell>
          <cell r="D100">
            <v>39004</v>
          </cell>
          <cell r="E100">
            <v>7.8850102669404514</v>
          </cell>
        </row>
        <row r="101">
          <cell r="A101">
            <v>203459</v>
          </cell>
          <cell r="B101" t="str">
            <v>KASTRATI</v>
          </cell>
          <cell r="C101" t="str">
            <v>ERMIRA</v>
          </cell>
          <cell r="D101">
            <v>38995</v>
          </cell>
          <cell r="E101">
            <v>7.9096509240246409</v>
          </cell>
        </row>
        <row r="102">
          <cell r="A102">
            <v>213636</v>
          </cell>
          <cell r="B102" t="str">
            <v>CALIFF</v>
          </cell>
          <cell r="C102" t="str">
            <v>RAFAEL</v>
          </cell>
          <cell r="D102">
            <v>38989</v>
          </cell>
          <cell r="E102">
            <v>7.9260780287474333</v>
          </cell>
        </row>
        <row r="103">
          <cell r="A103">
            <v>197238</v>
          </cell>
          <cell r="B103" t="str">
            <v>ODUWOLE</v>
          </cell>
          <cell r="C103" t="str">
            <v>ODUBOLANLE</v>
          </cell>
          <cell r="D103">
            <v>38985</v>
          </cell>
          <cell r="E103">
            <v>7.9370294318959616</v>
          </cell>
        </row>
        <row r="104">
          <cell r="A104">
            <v>139217</v>
          </cell>
          <cell r="B104" t="str">
            <v>KORNICZKY</v>
          </cell>
          <cell r="C104" t="str">
            <v>CHARLOTTE</v>
          </cell>
          <cell r="D104">
            <v>38932</v>
          </cell>
          <cell r="E104">
            <v>8.0821355236139638</v>
          </cell>
        </row>
        <row r="105">
          <cell r="A105">
            <v>172510</v>
          </cell>
          <cell r="B105" t="str">
            <v>ABRAMOV</v>
          </cell>
          <cell r="C105" t="str">
            <v>ITTAMAR</v>
          </cell>
          <cell r="D105">
            <v>38868</v>
          </cell>
          <cell r="E105">
            <v>8.2573579739904179</v>
          </cell>
        </row>
        <row r="106">
          <cell r="A106">
            <v>183028</v>
          </cell>
          <cell r="B106" t="str">
            <v>OMIYI</v>
          </cell>
          <cell r="C106" t="str">
            <v>SAPIR</v>
          </cell>
          <cell r="D106">
            <v>38847</v>
          </cell>
          <cell r="E106">
            <v>8.3148528405201922</v>
          </cell>
        </row>
        <row r="107">
          <cell r="A107">
            <v>197817</v>
          </cell>
          <cell r="B107" t="str">
            <v>MONK</v>
          </cell>
          <cell r="C107" t="str">
            <v>NECHAMA</v>
          </cell>
          <cell r="D107">
            <v>38823</v>
          </cell>
          <cell r="E107">
            <v>8.3805612594113619</v>
          </cell>
        </row>
        <row r="108">
          <cell r="A108">
            <v>126122</v>
          </cell>
          <cell r="B108" t="str">
            <v>PRESS</v>
          </cell>
          <cell r="C108" t="str">
            <v>LAUREN</v>
          </cell>
          <cell r="D108">
            <v>38818</v>
          </cell>
          <cell r="E108">
            <v>8.3942505133470231</v>
          </cell>
        </row>
        <row r="109">
          <cell r="A109">
            <v>183859</v>
          </cell>
          <cell r="B109" t="str">
            <v>DAVIS</v>
          </cell>
          <cell r="C109" t="str">
            <v>JONATHAN (YONI)</v>
          </cell>
          <cell r="D109">
            <v>38817</v>
          </cell>
          <cell r="E109">
            <v>8.3969883641341543</v>
          </cell>
        </row>
        <row r="110">
          <cell r="A110">
            <v>148923</v>
          </cell>
          <cell r="B110" t="str">
            <v>LINDER</v>
          </cell>
          <cell r="C110" t="str">
            <v>BETHANY</v>
          </cell>
          <cell r="D110">
            <v>38815</v>
          </cell>
          <cell r="E110">
            <v>8.4024640657084184</v>
          </cell>
        </row>
        <row r="111">
          <cell r="A111">
            <v>267582</v>
          </cell>
          <cell r="B111" t="str">
            <v>OBASOLA</v>
          </cell>
          <cell r="C111" t="str">
            <v>KOREDE</v>
          </cell>
          <cell r="D111">
            <v>38814</v>
          </cell>
          <cell r="E111">
            <v>8.4052019164955514</v>
          </cell>
        </row>
        <row r="112">
          <cell r="A112">
            <v>144518</v>
          </cell>
          <cell r="B112" t="str">
            <v>DRYER</v>
          </cell>
          <cell r="C112" t="str">
            <v>AVIGAIL</v>
          </cell>
          <cell r="D112">
            <v>38792</v>
          </cell>
          <cell r="E112">
            <v>8.4654346338124569</v>
          </cell>
        </row>
        <row r="113">
          <cell r="A113">
            <v>199564</v>
          </cell>
          <cell r="B113" t="str">
            <v>PRABHAKAR</v>
          </cell>
          <cell r="C113" t="str">
            <v>ROHAN</v>
          </cell>
          <cell r="D113">
            <v>38773</v>
          </cell>
          <cell r="E113">
            <v>8.517453798767967</v>
          </cell>
        </row>
        <row r="114">
          <cell r="A114">
            <v>169113</v>
          </cell>
          <cell r="B114" t="str">
            <v>PETROU</v>
          </cell>
          <cell r="C114" t="str">
            <v>PETER</v>
          </cell>
          <cell r="D114">
            <v>38747</v>
          </cell>
          <cell r="E114">
            <v>8.5886379192334026</v>
          </cell>
        </row>
        <row r="115">
          <cell r="A115">
            <v>126943</v>
          </cell>
          <cell r="B115" t="str">
            <v>STEVENS</v>
          </cell>
          <cell r="C115" t="str">
            <v>REBEKAH</v>
          </cell>
          <cell r="D115">
            <v>38743</v>
          </cell>
          <cell r="E115">
            <v>8.5995893223819309</v>
          </cell>
        </row>
        <row r="116">
          <cell r="A116">
            <v>143188</v>
          </cell>
          <cell r="B116" t="str">
            <v>ROSE</v>
          </cell>
          <cell r="C116" t="str">
            <v>TALYA</v>
          </cell>
          <cell r="D116">
            <v>38736</v>
          </cell>
          <cell r="E116">
            <v>8.6187542778918544</v>
          </cell>
        </row>
        <row r="117">
          <cell r="A117">
            <v>301236</v>
          </cell>
          <cell r="B117" t="str">
            <v>ELLUL</v>
          </cell>
          <cell r="C117" t="str">
            <v>NATHAN</v>
          </cell>
          <cell r="D117">
            <v>38735</v>
          </cell>
          <cell r="E117">
            <v>8.6214921286789874</v>
          </cell>
        </row>
        <row r="118">
          <cell r="A118">
            <v>162764</v>
          </cell>
          <cell r="B118" t="str">
            <v>DA COSTA GOMES</v>
          </cell>
          <cell r="C118" t="str">
            <v>SHAHEED</v>
          </cell>
          <cell r="D118">
            <v>38727</v>
          </cell>
          <cell r="E118">
            <v>8.6433949349760439</v>
          </cell>
        </row>
        <row r="119">
          <cell r="A119">
            <v>172485</v>
          </cell>
          <cell r="B119" t="str">
            <v>O'KEEFE</v>
          </cell>
          <cell r="C119" t="str">
            <v>ALEXANDER</v>
          </cell>
          <cell r="D119">
            <v>38723</v>
          </cell>
          <cell r="E119">
            <v>8.6543463381245722</v>
          </cell>
        </row>
        <row r="120">
          <cell r="A120">
            <v>265879</v>
          </cell>
          <cell r="B120" t="str">
            <v>KIERSZ-BROWNSTONE</v>
          </cell>
          <cell r="C120" t="str">
            <v>SOPHIE</v>
          </cell>
          <cell r="D120">
            <v>38720</v>
          </cell>
          <cell r="E120">
            <v>8.6625598904859693</v>
          </cell>
        </row>
        <row r="121">
          <cell r="A121">
            <v>171852</v>
          </cell>
          <cell r="B121" t="str">
            <v>MAZINWOSU</v>
          </cell>
          <cell r="C121" t="str">
            <v>IKENNA</v>
          </cell>
          <cell r="D121">
            <v>38701</v>
          </cell>
          <cell r="E121">
            <v>8.7145790554414777</v>
          </cell>
        </row>
        <row r="122">
          <cell r="A122">
            <v>182820</v>
          </cell>
          <cell r="B122" t="str">
            <v>SLATER</v>
          </cell>
          <cell r="C122" t="str">
            <v>EMMA</v>
          </cell>
          <cell r="D122">
            <v>38677</v>
          </cell>
          <cell r="E122">
            <v>8.7802874743326491</v>
          </cell>
        </row>
        <row r="123">
          <cell r="A123">
            <v>174345</v>
          </cell>
          <cell r="B123" t="str">
            <v>JAMES</v>
          </cell>
          <cell r="C123" t="str">
            <v>CHYNA</v>
          </cell>
          <cell r="D123">
            <v>38666</v>
          </cell>
          <cell r="E123">
            <v>8.8104038329911027</v>
          </cell>
        </row>
        <row r="124">
          <cell r="A124">
            <v>155702</v>
          </cell>
          <cell r="B124" t="str">
            <v>LINDSAY</v>
          </cell>
          <cell r="C124" t="str">
            <v>CHASE</v>
          </cell>
          <cell r="D124">
            <v>38661</v>
          </cell>
          <cell r="E124">
            <v>8.8240930869267622</v>
          </cell>
        </row>
        <row r="125">
          <cell r="A125">
            <v>162666</v>
          </cell>
          <cell r="B125" t="str">
            <v>EDELSTEIN</v>
          </cell>
          <cell r="C125" t="str">
            <v>DAVID (SHULI)</v>
          </cell>
          <cell r="D125">
            <v>38645</v>
          </cell>
          <cell r="E125">
            <v>8.8678986995208753</v>
          </cell>
        </row>
        <row r="126">
          <cell r="A126">
            <v>117472</v>
          </cell>
          <cell r="B126" t="str">
            <v>WONG</v>
          </cell>
          <cell r="C126" t="str">
            <v>KAYE</v>
          </cell>
          <cell r="D126">
            <v>38636</v>
          </cell>
          <cell r="E126">
            <v>8.8925393566050648</v>
          </cell>
        </row>
        <row r="127">
          <cell r="A127">
            <v>265432</v>
          </cell>
          <cell r="B127" t="str">
            <v>MCDONAGH</v>
          </cell>
          <cell r="C127" t="str">
            <v>EDWARD</v>
          </cell>
          <cell r="D127">
            <v>38632</v>
          </cell>
          <cell r="E127">
            <v>8.9034907597535931</v>
          </cell>
        </row>
        <row r="128">
          <cell r="A128">
            <v>182746</v>
          </cell>
          <cell r="B128" t="str">
            <v>TWUMASI</v>
          </cell>
          <cell r="C128" t="str">
            <v>DAVID</v>
          </cell>
          <cell r="D128">
            <v>38554</v>
          </cell>
          <cell r="E128">
            <v>9.1170431211498979</v>
          </cell>
        </row>
        <row r="129">
          <cell r="A129">
            <v>155836</v>
          </cell>
          <cell r="B129" t="str">
            <v>LATTER</v>
          </cell>
          <cell r="C129" t="str">
            <v>GUY</v>
          </cell>
          <cell r="D129">
            <v>38539</v>
          </cell>
          <cell r="E129">
            <v>9.158110882956878</v>
          </cell>
        </row>
        <row r="130">
          <cell r="A130">
            <v>152088</v>
          </cell>
          <cell r="B130" t="str">
            <v>GALE</v>
          </cell>
          <cell r="C130" t="str">
            <v>JAMES</v>
          </cell>
          <cell r="D130">
            <v>38538</v>
          </cell>
          <cell r="E130">
            <v>9.160848733744011</v>
          </cell>
        </row>
        <row r="131">
          <cell r="A131">
            <v>171601</v>
          </cell>
          <cell r="B131" t="str">
            <v>KNOWLES</v>
          </cell>
          <cell r="C131" t="str">
            <v>LEWIS</v>
          </cell>
          <cell r="D131">
            <v>38537</v>
          </cell>
          <cell r="E131">
            <v>9.1635865845311422</v>
          </cell>
        </row>
        <row r="132">
          <cell r="A132">
            <v>270639</v>
          </cell>
          <cell r="B132" t="str">
            <v>DUBOW</v>
          </cell>
          <cell r="C132" t="str">
            <v>EMMA</v>
          </cell>
          <cell r="D132">
            <v>38523</v>
          </cell>
          <cell r="E132">
            <v>9.2019164955509929</v>
          </cell>
        </row>
        <row r="133">
          <cell r="A133">
            <v>300349</v>
          </cell>
          <cell r="B133" t="str">
            <v>KHALID</v>
          </cell>
          <cell r="C133" t="str">
            <v>IMMAN</v>
          </cell>
          <cell r="D133">
            <v>38520</v>
          </cell>
          <cell r="E133">
            <v>9.2101300479123882</v>
          </cell>
        </row>
        <row r="134">
          <cell r="A134">
            <v>117664</v>
          </cell>
          <cell r="B134" t="str">
            <v>McGREGOR</v>
          </cell>
          <cell r="C134" t="str">
            <v>TESS</v>
          </cell>
          <cell r="D134">
            <v>38518</v>
          </cell>
          <cell r="E134">
            <v>9.2156057494866523</v>
          </cell>
        </row>
        <row r="135">
          <cell r="A135">
            <v>155467</v>
          </cell>
          <cell r="B135" t="str">
            <v>LIEBERMAN</v>
          </cell>
          <cell r="C135" t="str">
            <v xml:space="preserve">PINCHOS </v>
          </cell>
          <cell r="D135">
            <v>38500</v>
          </cell>
          <cell r="E135">
            <v>9.2648870636550313</v>
          </cell>
        </row>
        <row r="136">
          <cell r="A136">
            <v>171060</v>
          </cell>
          <cell r="B136" t="str">
            <v>DJANOGLY</v>
          </cell>
          <cell r="C136" t="str">
            <v>SAMUEL</v>
          </cell>
          <cell r="D136">
            <v>38499</v>
          </cell>
          <cell r="E136">
            <v>9.2676249144421625</v>
          </cell>
        </row>
        <row r="137">
          <cell r="A137">
            <v>155866</v>
          </cell>
          <cell r="B137" t="str">
            <v>CANTY</v>
          </cell>
          <cell r="C137" t="str">
            <v>POPPY</v>
          </cell>
          <cell r="D137">
            <v>38496</v>
          </cell>
          <cell r="E137">
            <v>9.2758384668035596</v>
          </cell>
        </row>
        <row r="138">
          <cell r="A138">
            <v>125594</v>
          </cell>
          <cell r="B138" t="str">
            <v>MORGENSTERN</v>
          </cell>
          <cell r="C138" t="str">
            <v>GAMLIEL</v>
          </cell>
          <cell r="D138">
            <v>38481</v>
          </cell>
          <cell r="E138">
            <v>9.3169062286105415</v>
          </cell>
        </row>
        <row r="139">
          <cell r="A139">
            <v>163220</v>
          </cell>
          <cell r="B139" t="str">
            <v>LESMOND</v>
          </cell>
          <cell r="C139" t="str">
            <v>JONATHAN</v>
          </cell>
          <cell r="D139">
            <v>38452</v>
          </cell>
          <cell r="E139">
            <v>9.3963039014373724</v>
          </cell>
        </row>
        <row r="140">
          <cell r="A140">
            <v>232056</v>
          </cell>
          <cell r="B140" t="str">
            <v>MOHSENIAN</v>
          </cell>
          <cell r="C140" t="str">
            <v>ARAD</v>
          </cell>
          <cell r="D140">
            <v>38432</v>
          </cell>
          <cell r="E140">
            <v>9.4510609171800137</v>
          </cell>
        </row>
        <row r="141">
          <cell r="A141">
            <v>151041</v>
          </cell>
          <cell r="B141" t="str">
            <v>GRANT</v>
          </cell>
          <cell r="C141" t="str">
            <v>ELIAS</v>
          </cell>
          <cell r="D141">
            <v>38398</v>
          </cell>
          <cell r="E141">
            <v>9.5441478439425058</v>
          </cell>
        </row>
        <row r="142">
          <cell r="A142">
            <v>145042</v>
          </cell>
          <cell r="B142" t="str">
            <v>MARKS</v>
          </cell>
          <cell r="C142" t="str">
            <v>JOSHUA</v>
          </cell>
          <cell r="D142">
            <v>38388</v>
          </cell>
          <cell r="E142">
            <v>9.5715263518138265</v>
          </cell>
        </row>
        <row r="143">
          <cell r="A143">
            <v>264959</v>
          </cell>
          <cell r="B143" t="str">
            <v>DO ESPIRITO SANTO</v>
          </cell>
          <cell r="C143" t="str">
            <v>CLAYTON</v>
          </cell>
          <cell r="D143">
            <v>38383</v>
          </cell>
          <cell r="E143">
            <v>9.5852156057494859</v>
          </cell>
        </row>
        <row r="144">
          <cell r="A144">
            <v>203618</v>
          </cell>
          <cell r="B144" t="str">
            <v>ROSS</v>
          </cell>
          <cell r="C144" t="str">
            <v>JONATHAN</v>
          </cell>
          <cell r="D144">
            <v>38376</v>
          </cell>
          <cell r="E144">
            <v>9.6043805612594113</v>
          </cell>
        </row>
        <row r="145">
          <cell r="A145">
            <v>143224</v>
          </cell>
          <cell r="B145" t="str">
            <v>ZIMMER</v>
          </cell>
          <cell r="C145" t="str">
            <v>DAVID</v>
          </cell>
          <cell r="D145">
            <v>38337</v>
          </cell>
          <cell r="E145">
            <v>9.7111567419575628</v>
          </cell>
        </row>
        <row r="146">
          <cell r="A146">
            <v>150444</v>
          </cell>
          <cell r="B146" t="str">
            <v>STEINBERG</v>
          </cell>
          <cell r="C146" t="str">
            <v>ORA</v>
          </cell>
          <cell r="D146">
            <v>38330</v>
          </cell>
          <cell r="E146">
            <v>9.7303216974674882</v>
          </cell>
        </row>
        <row r="147">
          <cell r="A147">
            <v>145061</v>
          </cell>
          <cell r="B147" t="str">
            <v>GREENBLATT</v>
          </cell>
          <cell r="C147" t="str">
            <v>MOSHE</v>
          </cell>
          <cell r="D147">
            <v>38329</v>
          </cell>
          <cell r="E147">
            <v>9.7330595482546194</v>
          </cell>
        </row>
        <row r="148">
          <cell r="A148">
            <v>152076</v>
          </cell>
          <cell r="B148" t="str">
            <v>DINOWITZ</v>
          </cell>
          <cell r="C148" t="str">
            <v>EDAN</v>
          </cell>
          <cell r="D148">
            <v>38327</v>
          </cell>
          <cell r="E148">
            <v>9.7385352498288835</v>
          </cell>
        </row>
        <row r="149">
          <cell r="A149">
            <v>133907</v>
          </cell>
          <cell r="B149" t="str">
            <v>SILVERMAN</v>
          </cell>
          <cell r="C149" t="str">
            <v>THOMAS</v>
          </cell>
          <cell r="D149">
            <v>38323</v>
          </cell>
          <cell r="E149">
            <v>9.7494866529774136</v>
          </cell>
        </row>
        <row r="150">
          <cell r="A150">
            <v>100734</v>
          </cell>
          <cell r="B150" t="str">
            <v>COLLIS</v>
          </cell>
          <cell r="C150" t="str">
            <v>NATAN</v>
          </cell>
          <cell r="D150">
            <v>38321</v>
          </cell>
          <cell r="E150">
            <v>9.7549623545516777</v>
          </cell>
        </row>
        <row r="151">
          <cell r="A151">
            <v>146440</v>
          </cell>
          <cell r="B151" t="str">
            <v>HANNON</v>
          </cell>
          <cell r="C151" t="str">
            <v>LUKE</v>
          </cell>
          <cell r="D151">
            <v>38321</v>
          </cell>
          <cell r="E151">
            <v>9.7549623545516777</v>
          </cell>
        </row>
        <row r="152">
          <cell r="A152">
            <v>122026</v>
          </cell>
          <cell r="B152" t="str">
            <v>TUFFS</v>
          </cell>
          <cell r="C152" t="str">
            <v>NOAH</v>
          </cell>
          <cell r="D152">
            <v>38287</v>
          </cell>
          <cell r="E152">
            <v>9.848049281314168</v>
          </cell>
        </row>
        <row r="153">
          <cell r="A153">
            <v>216417</v>
          </cell>
          <cell r="B153" t="str">
            <v>MARTIN</v>
          </cell>
          <cell r="C153" t="str">
            <v>BELLASTAR</v>
          </cell>
          <cell r="D153">
            <v>38285</v>
          </cell>
          <cell r="E153">
            <v>9.8535249828884321</v>
          </cell>
        </row>
        <row r="154">
          <cell r="A154">
            <v>155607</v>
          </cell>
          <cell r="B154" t="str">
            <v>PATEL</v>
          </cell>
          <cell r="C154" t="str">
            <v>ANUSHKA</v>
          </cell>
          <cell r="D154">
            <v>38280</v>
          </cell>
          <cell r="E154">
            <v>9.8672142368240934</v>
          </cell>
        </row>
        <row r="155">
          <cell r="A155">
            <v>203342</v>
          </cell>
          <cell r="B155" t="str">
            <v>KATZ</v>
          </cell>
          <cell r="C155" t="str">
            <v>AARON</v>
          </cell>
          <cell r="D155">
            <v>38280</v>
          </cell>
          <cell r="E155">
            <v>9.8672142368240934</v>
          </cell>
        </row>
        <row r="156">
          <cell r="A156">
            <v>199131</v>
          </cell>
          <cell r="B156" t="str">
            <v>WILLIAMS</v>
          </cell>
          <cell r="C156" t="str">
            <v>JOSH</v>
          </cell>
          <cell r="D156">
            <v>38277</v>
          </cell>
          <cell r="E156">
            <v>9.8754277891854887</v>
          </cell>
        </row>
        <row r="157">
          <cell r="A157">
            <v>148459</v>
          </cell>
          <cell r="B157" t="str">
            <v>KERR</v>
          </cell>
          <cell r="C157" t="str">
            <v>JAHREL</v>
          </cell>
          <cell r="D157">
            <v>38275</v>
          </cell>
          <cell r="E157">
            <v>9.8809034907597528</v>
          </cell>
        </row>
        <row r="158">
          <cell r="A158">
            <v>275388</v>
          </cell>
          <cell r="B158" t="str">
            <v>ALTINSOY</v>
          </cell>
          <cell r="C158" t="str">
            <v>YASIN</v>
          </cell>
          <cell r="D158">
            <v>38243</v>
          </cell>
          <cell r="E158">
            <v>9.9685147159479808</v>
          </cell>
        </row>
        <row r="159">
          <cell r="A159">
            <v>182866</v>
          </cell>
          <cell r="B159" t="str">
            <v>ABRAHAMS</v>
          </cell>
          <cell r="C159" t="str">
            <v>YONI</v>
          </cell>
          <cell r="D159">
            <v>38233</v>
          </cell>
          <cell r="E159">
            <v>9.9958932238193015</v>
          </cell>
        </row>
        <row r="160">
          <cell r="A160">
            <v>195802</v>
          </cell>
          <cell r="B160" t="str">
            <v>ASTLEY</v>
          </cell>
          <cell r="C160" t="str">
            <v>OLIVIA</v>
          </cell>
          <cell r="D160">
            <v>38202</v>
          </cell>
          <cell r="E160">
            <v>10.080766598220396</v>
          </cell>
        </row>
        <row r="161">
          <cell r="A161">
            <v>133777</v>
          </cell>
          <cell r="B161" t="str">
            <v>BLAKER</v>
          </cell>
          <cell r="C161" t="str">
            <v>AMIEL</v>
          </cell>
          <cell r="D161">
            <v>38170</v>
          </cell>
          <cell r="E161">
            <v>10.168377823408624</v>
          </cell>
        </row>
        <row r="162">
          <cell r="A162">
            <v>224441</v>
          </cell>
          <cell r="B162" t="str">
            <v>JACOBSEN</v>
          </cell>
          <cell r="C162" t="str">
            <v>AARON</v>
          </cell>
          <cell r="D162">
            <v>38160</v>
          </cell>
          <cell r="E162">
            <v>10.195756331279945</v>
          </cell>
        </row>
        <row r="163">
          <cell r="A163">
            <v>255901</v>
          </cell>
          <cell r="B163" t="str">
            <v>ELMES</v>
          </cell>
          <cell r="C163" t="str">
            <v>FRANK</v>
          </cell>
          <cell r="D163">
            <v>38154</v>
          </cell>
          <cell r="E163">
            <v>10.212183436002737</v>
          </cell>
        </row>
        <row r="164">
          <cell r="A164">
            <v>133661</v>
          </cell>
          <cell r="B164" t="str">
            <v>HAMILTON</v>
          </cell>
          <cell r="C164" t="str">
            <v>RUBY</v>
          </cell>
          <cell r="D164">
            <v>38152</v>
          </cell>
          <cell r="E164">
            <v>10.217659137577002</v>
          </cell>
        </row>
        <row r="165">
          <cell r="A165">
            <v>228469</v>
          </cell>
          <cell r="B165" t="str">
            <v>SPIERLING</v>
          </cell>
          <cell r="C165" t="str">
            <v>CALLUM</v>
          </cell>
          <cell r="D165">
            <v>38131</v>
          </cell>
          <cell r="E165">
            <v>10.275154004106776</v>
          </cell>
        </row>
        <row r="166">
          <cell r="A166">
            <v>216403</v>
          </cell>
          <cell r="B166" t="str">
            <v>NWOSU</v>
          </cell>
          <cell r="C166" t="str">
            <v>CHARLES</v>
          </cell>
          <cell r="D166">
            <v>38126</v>
          </cell>
          <cell r="E166">
            <v>10.288843258042437</v>
          </cell>
        </row>
        <row r="167">
          <cell r="A167">
            <v>127595</v>
          </cell>
          <cell r="B167" t="str">
            <v>HARRIS</v>
          </cell>
          <cell r="C167" t="str">
            <v>EVA MARIE</v>
          </cell>
          <cell r="D167">
            <v>38121</v>
          </cell>
          <cell r="E167">
            <v>10.302532511978097</v>
          </cell>
        </row>
        <row r="168">
          <cell r="A168">
            <v>207832</v>
          </cell>
          <cell r="B168" t="str">
            <v>HALL</v>
          </cell>
          <cell r="C168" t="str">
            <v>HARMONY</v>
          </cell>
          <cell r="D168">
            <v>38119</v>
          </cell>
          <cell r="E168">
            <v>10.308008213552361</v>
          </cell>
        </row>
        <row r="169">
          <cell r="A169">
            <v>148769</v>
          </cell>
          <cell r="B169" t="str">
            <v>GOLDBERG</v>
          </cell>
          <cell r="C169" t="str">
            <v>BETZALEL</v>
          </cell>
          <cell r="D169">
            <v>38111</v>
          </cell>
          <cell r="E169">
            <v>10.329911019849419</v>
          </cell>
        </row>
        <row r="170">
          <cell r="A170">
            <v>128819</v>
          </cell>
          <cell r="B170" t="str">
            <v>BARS</v>
          </cell>
          <cell r="C170" t="str">
            <v>BARAN</v>
          </cell>
          <cell r="D170">
            <v>38104</v>
          </cell>
          <cell r="E170">
            <v>10.349075975359343</v>
          </cell>
        </row>
        <row r="171">
          <cell r="A171">
            <v>244601</v>
          </cell>
          <cell r="B171" t="str">
            <v>DAVIDSON</v>
          </cell>
          <cell r="C171" t="str">
            <v>FREDDIE</v>
          </cell>
          <cell r="D171">
            <v>38061</v>
          </cell>
          <cell r="E171">
            <v>10.466803559206022</v>
          </cell>
        </row>
        <row r="172">
          <cell r="A172">
            <v>274341</v>
          </cell>
          <cell r="B172" t="str">
            <v>ALEKSANDER</v>
          </cell>
          <cell r="C172" t="str">
            <v>SAMUEL</v>
          </cell>
          <cell r="D172">
            <v>38024</v>
          </cell>
          <cell r="E172">
            <v>10.568104038329912</v>
          </cell>
        </row>
        <row r="173">
          <cell r="A173">
            <v>217797</v>
          </cell>
          <cell r="B173" t="str">
            <v>CABACA</v>
          </cell>
          <cell r="C173" t="str">
            <v>JOSHUA</v>
          </cell>
          <cell r="D173">
            <v>38008</v>
          </cell>
          <cell r="E173">
            <v>10.611909650924025</v>
          </cell>
        </row>
        <row r="174">
          <cell r="A174">
            <v>260396</v>
          </cell>
          <cell r="B174" t="str">
            <v>ALI</v>
          </cell>
          <cell r="C174" t="str">
            <v>HAMZA</v>
          </cell>
          <cell r="D174">
            <v>37988</v>
          </cell>
          <cell r="E174">
            <v>10.666666666666666</v>
          </cell>
        </row>
        <row r="175">
          <cell r="A175">
            <v>128417</v>
          </cell>
          <cell r="B175" t="str">
            <v>SHAYA</v>
          </cell>
          <cell r="C175" t="str">
            <v>RACHEL</v>
          </cell>
          <cell r="D175">
            <v>37965</v>
          </cell>
          <cell r="E175">
            <v>10.729637234770705</v>
          </cell>
        </row>
        <row r="176">
          <cell r="A176">
            <v>104917</v>
          </cell>
          <cell r="B176" t="str">
            <v>FITZPATRICK</v>
          </cell>
          <cell r="C176" t="str">
            <v>LUCAS</v>
          </cell>
          <cell r="D176">
            <v>37963</v>
          </cell>
          <cell r="E176">
            <v>10.735112936344969</v>
          </cell>
        </row>
        <row r="177">
          <cell r="A177">
            <v>268899</v>
          </cell>
          <cell r="B177" t="str">
            <v>ZAK</v>
          </cell>
          <cell r="C177" t="str">
            <v>IDO</v>
          </cell>
          <cell r="D177">
            <v>37956</v>
          </cell>
          <cell r="E177">
            <v>10.754277891854894</v>
          </cell>
        </row>
        <row r="178">
          <cell r="A178">
            <v>155670</v>
          </cell>
          <cell r="B178" t="str">
            <v>BAKER</v>
          </cell>
          <cell r="C178" t="str">
            <v>ZACK</v>
          </cell>
          <cell r="D178">
            <v>37943</v>
          </cell>
          <cell r="E178">
            <v>10.789869952087612</v>
          </cell>
        </row>
        <row r="179">
          <cell r="A179">
            <v>251499</v>
          </cell>
          <cell r="B179" t="str">
            <v>SWIFT</v>
          </cell>
          <cell r="C179" t="str">
            <v>DYLAN</v>
          </cell>
          <cell r="D179">
            <v>37925</v>
          </cell>
          <cell r="E179">
            <v>10.839151266255989</v>
          </cell>
        </row>
        <row r="180">
          <cell r="A180">
            <v>270680</v>
          </cell>
          <cell r="B180" t="str">
            <v>SCHLEIDER</v>
          </cell>
          <cell r="C180" t="str">
            <v>GAVRIEL</v>
          </cell>
          <cell r="D180">
            <v>37924</v>
          </cell>
          <cell r="E180">
            <v>10.841889117043122</v>
          </cell>
        </row>
        <row r="181">
          <cell r="A181">
            <v>127119</v>
          </cell>
          <cell r="B181" t="str">
            <v>CASTLETON</v>
          </cell>
          <cell r="C181" t="str">
            <v>ELIAS</v>
          </cell>
          <cell r="D181">
            <v>37920</v>
          </cell>
          <cell r="E181">
            <v>10.85284052019165</v>
          </cell>
        </row>
        <row r="182">
          <cell r="A182">
            <v>126393</v>
          </cell>
          <cell r="B182" t="str">
            <v>PERTH</v>
          </cell>
          <cell r="C182" t="str">
            <v>TIARNAN</v>
          </cell>
          <cell r="D182">
            <v>37908</v>
          </cell>
          <cell r="E182">
            <v>10.885694729637235</v>
          </cell>
        </row>
        <row r="183">
          <cell r="A183">
            <v>157905</v>
          </cell>
          <cell r="B183" t="str">
            <v>ZEMAM</v>
          </cell>
          <cell r="C183" t="str">
            <v>HILBA</v>
          </cell>
          <cell r="D183">
            <v>37903</v>
          </cell>
          <cell r="E183">
            <v>10.899383983572895</v>
          </cell>
        </row>
        <row r="184">
          <cell r="A184">
            <v>281608</v>
          </cell>
          <cell r="B184" t="str">
            <v>BLOCH</v>
          </cell>
          <cell r="C184" t="str">
            <v>SHIMON</v>
          </cell>
          <cell r="D184">
            <v>37903</v>
          </cell>
          <cell r="E184">
            <v>10.899383983572895</v>
          </cell>
        </row>
        <row r="185">
          <cell r="A185">
            <v>196783</v>
          </cell>
          <cell r="B185" t="str">
            <v>SOUSSAN</v>
          </cell>
          <cell r="C185" t="str">
            <v>JACK</v>
          </cell>
          <cell r="D185">
            <v>37898</v>
          </cell>
          <cell r="E185">
            <v>10.913073237508556</v>
          </cell>
        </row>
        <row r="186">
          <cell r="A186">
            <v>130562</v>
          </cell>
          <cell r="B186" t="str">
            <v>CHAPMAN</v>
          </cell>
          <cell r="C186" t="str">
            <v>SARAH</v>
          </cell>
          <cell r="D186">
            <v>37896</v>
          </cell>
          <cell r="E186">
            <v>10.91854893908282</v>
          </cell>
        </row>
        <row r="187">
          <cell r="A187">
            <v>171474</v>
          </cell>
          <cell r="B187" t="str">
            <v>DAVIDSON-POSTON</v>
          </cell>
          <cell r="C187" t="str">
            <v>SAMUEL</v>
          </cell>
          <cell r="D187">
            <v>37896</v>
          </cell>
          <cell r="E187">
            <v>10.91854893908282</v>
          </cell>
        </row>
        <row r="188">
          <cell r="A188">
            <v>91389</v>
          </cell>
          <cell r="B188" t="str">
            <v>SAMUEL</v>
          </cell>
          <cell r="C188" t="str">
            <v>MICAH</v>
          </cell>
          <cell r="D188">
            <v>37874</v>
          </cell>
          <cell r="E188">
            <v>10.978781656399725</v>
          </cell>
        </row>
        <row r="189">
          <cell r="A189">
            <v>72172</v>
          </cell>
          <cell r="B189" t="str">
            <v>OSTFELD</v>
          </cell>
          <cell r="C189" t="str">
            <v>JONATHAN</v>
          </cell>
          <cell r="D189">
            <v>37844</v>
          </cell>
          <cell r="E189">
            <v>11.060917180013689</v>
          </cell>
        </row>
        <row r="190">
          <cell r="A190">
            <v>80864</v>
          </cell>
          <cell r="B190" t="str">
            <v>FREUNDLICH</v>
          </cell>
          <cell r="C190" t="str">
            <v>ETTY</v>
          </cell>
          <cell r="D190">
            <v>37830</v>
          </cell>
          <cell r="E190">
            <v>11.099247091033538</v>
          </cell>
        </row>
        <row r="191">
          <cell r="A191">
            <v>214693</v>
          </cell>
          <cell r="B191" t="str">
            <v>SHERWOOD</v>
          </cell>
          <cell r="C191" t="str">
            <v>SAMUEL</v>
          </cell>
          <cell r="D191">
            <v>37824</v>
          </cell>
          <cell r="E191">
            <v>11.115674195756331</v>
          </cell>
        </row>
        <row r="192">
          <cell r="A192">
            <v>252005</v>
          </cell>
          <cell r="B192" t="str">
            <v>SPECTOR</v>
          </cell>
          <cell r="C192" t="str">
            <v>YOSEF</v>
          </cell>
          <cell r="D192">
            <v>37816</v>
          </cell>
          <cell r="E192">
            <v>11.137577002053389</v>
          </cell>
        </row>
        <row r="193">
          <cell r="A193">
            <v>197346</v>
          </cell>
          <cell r="B193" t="str">
            <v>YADGAROFF</v>
          </cell>
          <cell r="C193" t="str">
            <v>RUEBAN</v>
          </cell>
          <cell r="D193">
            <v>37811</v>
          </cell>
          <cell r="E193">
            <v>11.151266255989048</v>
          </cell>
        </row>
        <row r="194">
          <cell r="A194">
            <v>108523</v>
          </cell>
          <cell r="B194" t="str">
            <v>McINTOSH</v>
          </cell>
          <cell r="C194" t="str">
            <v>TEVIS</v>
          </cell>
          <cell r="D194">
            <v>37810</v>
          </cell>
          <cell r="E194">
            <v>11.154004106776181</v>
          </cell>
        </row>
        <row r="195">
          <cell r="A195">
            <v>105855</v>
          </cell>
          <cell r="B195" t="str">
            <v>SAHYE</v>
          </cell>
          <cell r="C195" t="str">
            <v>RONIT</v>
          </cell>
          <cell r="D195">
            <v>37795</v>
          </cell>
          <cell r="E195">
            <v>11.195071868583161</v>
          </cell>
        </row>
        <row r="196">
          <cell r="A196">
            <v>64675</v>
          </cell>
          <cell r="B196" t="str">
            <v>COSGUN</v>
          </cell>
          <cell r="C196" t="str">
            <v>ISILAY</v>
          </cell>
          <cell r="D196">
            <v>37795</v>
          </cell>
          <cell r="E196">
            <v>11.195071868583161</v>
          </cell>
        </row>
        <row r="197">
          <cell r="A197">
            <v>106235</v>
          </cell>
          <cell r="B197" t="str">
            <v>BARUPS</v>
          </cell>
          <cell r="C197" t="str">
            <v>DANIELS</v>
          </cell>
          <cell r="D197">
            <v>37776</v>
          </cell>
          <cell r="E197">
            <v>11.247091033538672</v>
          </cell>
        </row>
        <row r="198">
          <cell r="A198">
            <v>106762</v>
          </cell>
          <cell r="B198" t="str">
            <v>WILLIAMS</v>
          </cell>
          <cell r="C198" t="str">
            <v>AMANI</v>
          </cell>
          <cell r="D198">
            <v>37776</v>
          </cell>
          <cell r="E198">
            <v>11.247091033538672</v>
          </cell>
        </row>
        <row r="199">
          <cell r="A199">
            <v>244722</v>
          </cell>
          <cell r="B199" t="str">
            <v>COHEN</v>
          </cell>
          <cell r="C199" t="str">
            <v>RAFI</v>
          </cell>
          <cell r="D199">
            <v>37774</v>
          </cell>
          <cell r="E199">
            <v>11.252566735112936</v>
          </cell>
        </row>
        <row r="200">
          <cell r="A200">
            <v>145550</v>
          </cell>
          <cell r="B200" t="str">
            <v>FARKYE</v>
          </cell>
          <cell r="C200" t="str">
            <v>STEPHEN</v>
          </cell>
          <cell r="D200">
            <v>37749</v>
          </cell>
          <cell r="E200">
            <v>11.321013004791238</v>
          </cell>
        </row>
        <row r="201">
          <cell r="A201">
            <v>93583</v>
          </cell>
          <cell r="B201" t="str">
            <v>PATEL</v>
          </cell>
          <cell r="C201" t="str">
            <v>AVISHA</v>
          </cell>
          <cell r="D201">
            <v>37747</v>
          </cell>
          <cell r="E201">
            <v>11.326488706365502</v>
          </cell>
        </row>
        <row r="202">
          <cell r="A202">
            <v>164116</v>
          </cell>
          <cell r="B202" t="str">
            <v>LEVY</v>
          </cell>
          <cell r="C202" t="str">
            <v>ZAC</v>
          </cell>
          <cell r="D202">
            <v>37740</v>
          </cell>
          <cell r="E202">
            <v>11.345653661875428</v>
          </cell>
        </row>
        <row r="203">
          <cell r="A203">
            <v>139197</v>
          </cell>
          <cell r="B203" t="str">
            <v>RAMESHKUMAR</v>
          </cell>
          <cell r="C203" t="str">
            <v>LUCKMY</v>
          </cell>
          <cell r="D203">
            <v>37730</v>
          </cell>
          <cell r="E203">
            <v>11.373032169746748</v>
          </cell>
        </row>
        <row r="204">
          <cell r="A204">
            <v>124633</v>
          </cell>
          <cell r="B204" t="str">
            <v>ROZMAN</v>
          </cell>
          <cell r="C204" t="str">
            <v>LUKA</v>
          </cell>
          <cell r="D204">
            <v>37724</v>
          </cell>
          <cell r="E204">
            <v>11.389459274469541</v>
          </cell>
        </row>
        <row r="205">
          <cell r="A205">
            <v>102271</v>
          </cell>
          <cell r="B205" t="str">
            <v>SADIK</v>
          </cell>
          <cell r="C205" t="str">
            <v>SION</v>
          </cell>
          <cell r="D205">
            <v>37718</v>
          </cell>
          <cell r="E205">
            <v>11.405886379192333</v>
          </cell>
        </row>
        <row r="206">
          <cell r="A206">
            <v>66231</v>
          </cell>
          <cell r="B206" t="str">
            <v>FRASER</v>
          </cell>
          <cell r="C206" t="str">
            <v>CHASYA</v>
          </cell>
          <cell r="D206">
            <v>37715</v>
          </cell>
          <cell r="E206">
            <v>11.41409993155373</v>
          </cell>
        </row>
        <row r="207">
          <cell r="A207">
            <v>225472</v>
          </cell>
          <cell r="B207" t="str">
            <v>DONALDSON-DAVIS</v>
          </cell>
          <cell r="C207" t="str">
            <v>JOOLS</v>
          </cell>
          <cell r="D207">
            <v>37709</v>
          </cell>
          <cell r="E207">
            <v>11.430527036276523</v>
          </cell>
        </row>
        <row r="208">
          <cell r="A208">
            <v>112424</v>
          </cell>
          <cell r="B208" t="str">
            <v>HOWARD</v>
          </cell>
          <cell r="C208" t="str">
            <v>KAED</v>
          </cell>
          <cell r="D208">
            <v>37699</v>
          </cell>
          <cell r="E208">
            <v>11.457905544147843</v>
          </cell>
        </row>
        <row r="209">
          <cell r="A209">
            <v>104289</v>
          </cell>
          <cell r="B209" t="str">
            <v>HARRIS-TIPLADY</v>
          </cell>
          <cell r="C209" t="str">
            <v>JOSHUA</v>
          </cell>
          <cell r="D209">
            <v>37698</v>
          </cell>
          <cell r="E209">
            <v>11.460643394934976</v>
          </cell>
        </row>
        <row r="210">
          <cell r="A210">
            <v>93429</v>
          </cell>
          <cell r="B210" t="str">
            <v>AHMED</v>
          </cell>
          <cell r="C210" t="str">
            <v>ALISHA</v>
          </cell>
          <cell r="D210">
            <v>37694</v>
          </cell>
          <cell r="E210">
            <v>11.471594798083505</v>
          </cell>
        </row>
        <row r="211">
          <cell r="A211">
            <v>100616</v>
          </cell>
          <cell r="B211" t="str">
            <v>AKAR</v>
          </cell>
          <cell r="C211" t="str">
            <v>SANNAH</v>
          </cell>
          <cell r="D211">
            <v>37673</v>
          </cell>
          <cell r="E211">
            <v>11.529089664613279</v>
          </cell>
        </row>
        <row r="212">
          <cell r="A212">
            <v>102540</v>
          </cell>
          <cell r="B212" t="str">
            <v>NORTON-PAICE</v>
          </cell>
          <cell r="C212" t="str">
            <v>WILLIAM</v>
          </cell>
          <cell r="D212">
            <v>37672</v>
          </cell>
          <cell r="E212">
            <v>11.53182751540041</v>
          </cell>
        </row>
        <row r="213">
          <cell r="A213">
            <v>281412</v>
          </cell>
          <cell r="B213" t="str">
            <v>IVES</v>
          </cell>
          <cell r="C213" t="str">
            <v>AHUVA</v>
          </cell>
          <cell r="D213">
            <v>37656</v>
          </cell>
          <cell r="E213">
            <v>11.575633127994525</v>
          </cell>
        </row>
        <row r="214">
          <cell r="A214">
            <v>111547</v>
          </cell>
          <cell r="B214" t="str">
            <v>ALI</v>
          </cell>
          <cell r="C214" t="str">
            <v>MOHAMMED</v>
          </cell>
          <cell r="D214">
            <v>37645</v>
          </cell>
          <cell r="E214">
            <v>11.605749486652977</v>
          </cell>
        </row>
        <row r="215">
          <cell r="A215">
            <v>92427</v>
          </cell>
          <cell r="B215" t="str">
            <v>THOMAS-CONSTANTINOU</v>
          </cell>
          <cell r="C215" t="str">
            <v>HARVEE</v>
          </cell>
          <cell r="D215">
            <v>37635</v>
          </cell>
          <cell r="E215">
            <v>11.633127994524298</v>
          </cell>
        </row>
        <row r="216">
          <cell r="A216">
            <v>106432</v>
          </cell>
          <cell r="B216" t="str">
            <v>LOKUGE</v>
          </cell>
          <cell r="C216" t="str">
            <v>SAKITH</v>
          </cell>
          <cell r="D216">
            <v>37632</v>
          </cell>
          <cell r="E216">
            <v>11.641341546885695</v>
          </cell>
        </row>
        <row r="217">
          <cell r="A217">
            <v>112077</v>
          </cell>
          <cell r="B217" t="str">
            <v>GIBSON</v>
          </cell>
          <cell r="C217" t="str">
            <v>JEROME</v>
          </cell>
          <cell r="D217">
            <v>37631</v>
          </cell>
          <cell r="E217">
            <v>11.644079397672828</v>
          </cell>
        </row>
        <row r="218">
          <cell r="A218">
            <v>127117</v>
          </cell>
          <cell r="B218" t="str">
            <v>MERCIER</v>
          </cell>
          <cell r="C218" t="str">
            <v>LUKE</v>
          </cell>
          <cell r="D218">
            <v>37626</v>
          </cell>
          <cell r="E218">
            <v>11.657768651608487</v>
          </cell>
        </row>
        <row r="219">
          <cell r="A219">
            <v>157777</v>
          </cell>
          <cell r="B219" t="str">
            <v>ZRIHEN</v>
          </cell>
          <cell r="C219" t="str">
            <v>ASHER</v>
          </cell>
          <cell r="D219">
            <v>37618</v>
          </cell>
          <cell r="E219">
            <v>11.679671457905544</v>
          </cell>
        </row>
        <row r="220">
          <cell r="A220">
            <v>226826</v>
          </cell>
          <cell r="B220" t="str">
            <v>MANSON</v>
          </cell>
          <cell r="C220" t="str">
            <v>YISRAEL</v>
          </cell>
          <cell r="D220">
            <v>37616</v>
          </cell>
          <cell r="E220">
            <v>11.685147159479808</v>
          </cell>
        </row>
        <row r="221">
          <cell r="A221">
            <v>78997</v>
          </cell>
          <cell r="B221" t="str">
            <v>SIMON</v>
          </cell>
          <cell r="C221" t="str">
            <v>REUBAN</v>
          </cell>
          <cell r="D221">
            <v>37615</v>
          </cell>
          <cell r="E221">
            <v>11.687885010266941</v>
          </cell>
        </row>
        <row r="222">
          <cell r="A222">
            <v>78997</v>
          </cell>
          <cell r="B222" t="str">
            <v>SIMON</v>
          </cell>
          <cell r="C222" t="str">
            <v>REUBEN</v>
          </cell>
          <cell r="D222">
            <v>37615</v>
          </cell>
          <cell r="E222">
            <v>11.687885010266941</v>
          </cell>
        </row>
        <row r="223">
          <cell r="A223">
            <v>78997</v>
          </cell>
          <cell r="B223" t="str">
            <v>SIMON</v>
          </cell>
          <cell r="C223" t="str">
            <v>REUBAN</v>
          </cell>
          <cell r="D223">
            <v>37615</v>
          </cell>
          <cell r="E223">
            <v>11.687885010266941</v>
          </cell>
        </row>
        <row r="224">
          <cell r="A224">
            <v>78997</v>
          </cell>
          <cell r="B224" t="str">
            <v>SIMON</v>
          </cell>
          <cell r="C224" t="str">
            <v>REUBEN</v>
          </cell>
          <cell r="D224">
            <v>37615</v>
          </cell>
          <cell r="E224">
            <v>11.687885010266941</v>
          </cell>
        </row>
        <row r="225">
          <cell r="A225">
            <v>82377</v>
          </cell>
          <cell r="B225" t="str">
            <v>WARSHAWSKY</v>
          </cell>
          <cell r="C225" t="str">
            <v>SARAH</v>
          </cell>
          <cell r="D225">
            <v>37603</v>
          </cell>
          <cell r="E225">
            <v>11.720739219712526</v>
          </cell>
        </row>
        <row r="226">
          <cell r="A226">
            <v>130531</v>
          </cell>
          <cell r="B226" t="str">
            <v>CANTOR</v>
          </cell>
          <cell r="C226" t="str">
            <v>EITAN</v>
          </cell>
          <cell r="D226">
            <v>37573</v>
          </cell>
          <cell r="E226">
            <v>11.802874743326489</v>
          </cell>
        </row>
        <row r="227">
          <cell r="A227">
            <v>104816</v>
          </cell>
          <cell r="B227" t="str">
            <v>EMERSON</v>
          </cell>
          <cell r="C227" t="str">
            <v>DENZEL</v>
          </cell>
          <cell r="D227">
            <v>37566</v>
          </cell>
          <cell r="E227">
            <v>11.822039698836413</v>
          </cell>
        </row>
        <row r="228">
          <cell r="A228">
            <v>100678</v>
          </cell>
          <cell r="B228" t="str">
            <v>CARNO</v>
          </cell>
          <cell r="C228" t="str">
            <v>MAAYAN</v>
          </cell>
          <cell r="D228">
            <v>37560</v>
          </cell>
          <cell r="E228">
            <v>11.838466803559205</v>
          </cell>
        </row>
        <row r="229">
          <cell r="A229">
            <v>264806</v>
          </cell>
          <cell r="B229" t="str">
            <v>RUSSELL</v>
          </cell>
          <cell r="C229" t="str">
            <v>JOSHUA</v>
          </cell>
          <cell r="D229">
            <v>37526</v>
          </cell>
          <cell r="E229">
            <v>11.931553730321697</v>
          </cell>
        </row>
        <row r="230">
          <cell r="A230">
            <v>234964</v>
          </cell>
          <cell r="B230" t="str">
            <v>SACK</v>
          </cell>
          <cell r="C230" t="str">
            <v>SHIMSHON</v>
          </cell>
          <cell r="D230">
            <v>37515</v>
          </cell>
          <cell r="E230">
            <v>11.961670088980151</v>
          </cell>
        </row>
        <row r="231">
          <cell r="A231">
            <v>107332</v>
          </cell>
          <cell r="B231" t="str">
            <v>ISMOND-PARKER</v>
          </cell>
          <cell r="C231" t="str">
            <v>ISAIAH</v>
          </cell>
          <cell r="D231">
            <v>37514</v>
          </cell>
          <cell r="E231">
            <v>11.964407939767282</v>
          </cell>
        </row>
        <row r="232">
          <cell r="A232">
            <v>99251</v>
          </cell>
          <cell r="B232" t="str">
            <v>GOLDFARB</v>
          </cell>
          <cell r="C232" t="str">
            <v>LIZZI</v>
          </cell>
          <cell r="D232">
            <v>37512</v>
          </cell>
          <cell r="E232">
            <v>11.969883641341546</v>
          </cell>
        </row>
        <row r="233">
          <cell r="A233">
            <v>73359</v>
          </cell>
          <cell r="B233" t="str">
            <v>CRONIN</v>
          </cell>
          <cell r="C233" t="str">
            <v>OWEN</v>
          </cell>
          <cell r="D233">
            <v>37497</v>
          </cell>
          <cell r="E233">
            <v>12.010951403148528</v>
          </cell>
        </row>
        <row r="234">
          <cell r="A234">
            <v>75009</v>
          </cell>
          <cell r="B234" t="str">
            <v>TOPER</v>
          </cell>
          <cell r="C234" t="str">
            <v>MAX</v>
          </cell>
          <cell r="D234">
            <v>37492</v>
          </cell>
          <cell r="E234">
            <v>12.024640657084189</v>
          </cell>
        </row>
        <row r="235">
          <cell r="A235">
            <v>82079</v>
          </cell>
          <cell r="B235" t="str">
            <v>WILDE</v>
          </cell>
          <cell r="C235" t="str">
            <v>CARLO</v>
          </cell>
          <cell r="D235">
            <v>37489</v>
          </cell>
          <cell r="E235">
            <v>12.032854209445585</v>
          </cell>
        </row>
        <row r="236">
          <cell r="A236">
            <v>65828</v>
          </cell>
          <cell r="B236" t="str">
            <v>POPATIYA</v>
          </cell>
          <cell r="C236" t="str">
            <v>PREM</v>
          </cell>
          <cell r="D236">
            <v>37480</v>
          </cell>
          <cell r="E236">
            <v>12.057494866529774</v>
          </cell>
        </row>
        <row r="237">
          <cell r="A237">
            <v>72815</v>
          </cell>
          <cell r="B237" t="str">
            <v>CHOW</v>
          </cell>
          <cell r="C237" t="str">
            <v>TOBEY</v>
          </cell>
          <cell r="D237">
            <v>37475</v>
          </cell>
          <cell r="E237">
            <v>12.071184120465434</v>
          </cell>
        </row>
        <row r="238">
          <cell r="A238">
            <v>226520</v>
          </cell>
          <cell r="B238" t="str">
            <v>JAMA</v>
          </cell>
          <cell r="C238" t="str">
            <v>ZABIR</v>
          </cell>
          <cell r="D238">
            <v>37463</v>
          </cell>
          <cell r="E238">
            <v>12.10403832991102</v>
          </cell>
        </row>
        <row r="239">
          <cell r="A239">
            <v>91351</v>
          </cell>
          <cell r="B239" t="str">
            <v>MOXOM</v>
          </cell>
          <cell r="C239" t="str">
            <v>CHLOE</v>
          </cell>
          <cell r="D239">
            <v>37458</v>
          </cell>
          <cell r="E239">
            <v>12.11772758384668</v>
          </cell>
        </row>
        <row r="240">
          <cell r="A240">
            <v>234024</v>
          </cell>
          <cell r="B240" t="str">
            <v>MAWESI</v>
          </cell>
          <cell r="C240" t="str">
            <v>VANQUEUR</v>
          </cell>
          <cell r="D240">
            <v>37450</v>
          </cell>
          <cell r="E240">
            <v>12.139630390143736</v>
          </cell>
        </row>
        <row r="241">
          <cell r="A241">
            <v>73428</v>
          </cell>
          <cell r="B241" t="str">
            <v>POSSAMAI</v>
          </cell>
          <cell r="C241" t="str">
            <v>MICHELE</v>
          </cell>
          <cell r="D241">
            <v>37445</v>
          </cell>
          <cell r="E241">
            <v>12.153319644079398</v>
          </cell>
        </row>
        <row r="242">
          <cell r="A242">
            <v>251795</v>
          </cell>
          <cell r="B242" t="str">
            <v>ROGOFF</v>
          </cell>
          <cell r="C242" t="str">
            <v>BENNY</v>
          </cell>
          <cell r="D242">
            <v>37423</v>
          </cell>
          <cell r="E242">
            <v>12.213552361396303</v>
          </cell>
        </row>
        <row r="243">
          <cell r="A243">
            <v>271189</v>
          </cell>
          <cell r="B243" t="str">
            <v>SCOTT</v>
          </cell>
          <cell r="C243" t="str">
            <v>SEAN</v>
          </cell>
          <cell r="D243">
            <v>37414</v>
          </cell>
          <cell r="E243">
            <v>12.238193018480493</v>
          </cell>
        </row>
        <row r="244">
          <cell r="A244">
            <v>81612</v>
          </cell>
          <cell r="B244" t="str">
            <v>MAXWELL-JACKSON</v>
          </cell>
          <cell r="C244" t="str">
            <v>JOEL</v>
          </cell>
          <cell r="D244">
            <v>37413</v>
          </cell>
          <cell r="E244">
            <v>12.240930869267626</v>
          </cell>
        </row>
        <row r="245">
          <cell r="A245">
            <v>201057</v>
          </cell>
          <cell r="B245" t="str">
            <v>HARRINGTON ALLEN</v>
          </cell>
          <cell r="C245" t="str">
            <v>LOUIE</v>
          </cell>
          <cell r="D245">
            <v>37411</v>
          </cell>
          <cell r="E245">
            <v>12.24640657084189</v>
          </cell>
        </row>
        <row r="246">
          <cell r="A246">
            <v>247674</v>
          </cell>
          <cell r="B246" t="str">
            <v>DOUGLAS</v>
          </cell>
          <cell r="C246" t="str">
            <v>JUSTIN</v>
          </cell>
          <cell r="D246">
            <v>37385</v>
          </cell>
          <cell r="E246">
            <v>12.317590691307323</v>
          </cell>
        </row>
        <row r="247">
          <cell r="A247">
            <v>73720</v>
          </cell>
          <cell r="B247" t="str">
            <v>BENTLEY</v>
          </cell>
          <cell r="C247" t="str">
            <v>NATHAN</v>
          </cell>
          <cell r="D247">
            <v>37378</v>
          </cell>
          <cell r="E247">
            <v>12.336755646817249</v>
          </cell>
        </row>
        <row r="248">
          <cell r="A248">
            <v>124622</v>
          </cell>
          <cell r="B248" t="str">
            <v>COPE</v>
          </cell>
          <cell r="C248" t="str">
            <v>SHOSHANA</v>
          </cell>
          <cell r="D248">
            <v>37364</v>
          </cell>
          <cell r="E248">
            <v>12.375085557837098</v>
          </cell>
        </row>
        <row r="249">
          <cell r="A249">
            <v>175864</v>
          </cell>
          <cell r="B249" t="str">
            <v>HAYAT</v>
          </cell>
          <cell r="C249" t="str">
            <v>ESAH</v>
          </cell>
          <cell r="D249">
            <v>37330</v>
          </cell>
          <cell r="E249">
            <v>12.46817248459959</v>
          </cell>
        </row>
        <row r="250">
          <cell r="A250">
            <v>68997</v>
          </cell>
          <cell r="B250" t="str">
            <v>ANAND</v>
          </cell>
          <cell r="C250" t="str">
            <v>NEEL</v>
          </cell>
          <cell r="D250">
            <v>37321</v>
          </cell>
          <cell r="E250">
            <v>12.492813141683778</v>
          </cell>
        </row>
        <row r="251">
          <cell r="A251">
            <v>65347</v>
          </cell>
          <cell r="B251" t="str">
            <v>GINSBURY</v>
          </cell>
          <cell r="C251" t="str">
            <v>YEHUDA (GRAHAM)</v>
          </cell>
          <cell r="D251">
            <v>37310</v>
          </cell>
          <cell r="E251">
            <v>12.522929500342231</v>
          </cell>
        </row>
        <row r="252">
          <cell r="A252">
            <v>75483</v>
          </cell>
          <cell r="B252" t="str">
            <v>VINER</v>
          </cell>
          <cell r="C252" t="str">
            <v>ADAM JOSHUA</v>
          </cell>
          <cell r="D252">
            <v>37295</v>
          </cell>
          <cell r="E252">
            <v>12.563997262149213</v>
          </cell>
        </row>
        <row r="253">
          <cell r="A253">
            <v>81903</v>
          </cell>
          <cell r="B253" t="str">
            <v>CHECCHETTO</v>
          </cell>
          <cell r="C253" t="str">
            <v>BILLIE</v>
          </cell>
          <cell r="D253">
            <v>37282</v>
          </cell>
          <cell r="E253">
            <v>12.599589322381931</v>
          </cell>
        </row>
        <row r="254">
          <cell r="A254">
            <v>73666</v>
          </cell>
          <cell r="B254" t="str">
            <v>KOSINER</v>
          </cell>
          <cell r="C254" t="str">
            <v>ARI</v>
          </cell>
          <cell r="D254">
            <v>37275</v>
          </cell>
          <cell r="E254">
            <v>12.618754277891854</v>
          </cell>
        </row>
        <row r="255">
          <cell r="A255">
            <v>264133</v>
          </cell>
          <cell r="B255" t="str">
            <v>POLLACK</v>
          </cell>
          <cell r="C255" t="str">
            <v>OSCAR</v>
          </cell>
          <cell r="D255">
            <v>37264</v>
          </cell>
          <cell r="E255">
            <v>12.648870636550308</v>
          </cell>
        </row>
        <row r="256">
          <cell r="A256">
            <v>211030</v>
          </cell>
          <cell r="B256" t="str">
            <v>NDJOLI</v>
          </cell>
          <cell r="C256" t="str">
            <v>JACOB</v>
          </cell>
          <cell r="D256">
            <v>37259</v>
          </cell>
          <cell r="E256">
            <v>12.662559890485969</v>
          </cell>
        </row>
        <row r="257">
          <cell r="A257">
            <v>74831</v>
          </cell>
          <cell r="B257" t="str">
            <v>ROSENFELD</v>
          </cell>
          <cell r="C257" t="str">
            <v>GAVRIEL</v>
          </cell>
          <cell r="D257">
            <v>37257</v>
          </cell>
          <cell r="E257">
            <v>12.668035592060233</v>
          </cell>
        </row>
        <row r="258">
          <cell r="A258">
            <v>213503</v>
          </cell>
          <cell r="B258" t="str">
            <v>BRIEF</v>
          </cell>
          <cell r="C258" t="str">
            <v>SOLOMON</v>
          </cell>
          <cell r="D258">
            <v>37256</v>
          </cell>
          <cell r="E258">
            <v>12.670773442847365</v>
          </cell>
        </row>
        <row r="259">
          <cell r="A259">
            <v>65184</v>
          </cell>
          <cell r="B259" t="str">
            <v>ROSENBLUM</v>
          </cell>
          <cell r="C259" t="str">
            <v>PINCHAS</v>
          </cell>
          <cell r="D259">
            <v>37255</v>
          </cell>
          <cell r="E259">
            <v>12.673511293634498</v>
          </cell>
        </row>
        <row r="260">
          <cell r="A260">
            <v>63780</v>
          </cell>
          <cell r="B260" t="str">
            <v>DHALLA</v>
          </cell>
          <cell r="C260" t="str">
            <v>SAIF</v>
          </cell>
          <cell r="D260">
            <v>37252</v>
          </cell>
          <cell r="E260">
            <v>12.681724845995893</v>
          </cell>
        </row>
        <row r="261">
          <cell r="A261">
            <v>65292</v>
          </cell>
          <cell r="B261" t="str">
            <v>PITTS-BRENNAN</v>
          </cell>
          <cell r="C261" t="str">
            <v>PEARL</v>
          </cell>
          <cell r="D261">
            <v>37242</v>
          </cell>
          <cell r="E261">
            <v>12.709103353867214</v>
          </cell>
        </row>
        <row r="262">
          <cell r="A262">
            <v>127085</v>
          </cell>
          <cell r="B262" t="str">
            <v>KANEL</v>
          </cell>
          <cell r="C262" t="str">
            <v>SARTHAK</v>
          </cell>
          <cell r="D262">
            <v>37242</v>
          </cell>
          <cell r="E262">
            <v>12.709103353867214</v>
          </cell>
        </row>
        <row r="263">
          <cell r="A263">
            <v>235407</v>
          </cell>
          <cell r="B263" t="str">
            <v>ALTMANN</v>
          </cell>
          <cell r="C263" t="str">
            <v>GEORGINA</v>
          </cell>
          <cell r="D263">
            <v>37217</v>
          </cell>
          <cell r="E263">
            <v>12.777549623545516</v>
          </cell>
        </row>
        <row r="264">
          <cell r="A264">
            <v>86315</v>
          </cell>
          <cell r="B264" t="str">
            <v>GOMES</v>
          </cell>
          <cell r="C264" t="str">
            <v>KAYSON</v>
          </cell>
          <cell r="D264">
            <v>37202</v>
          </cell>
          <cell r="E264">
            <v>12.818617385352498</v>
          </cell>
        </row>
        <row r="265">
          <cell r="A265">
            <v>73219</v>
          </cell>
          <cell r="B265" t="str">
            <v>GOODCHILD</v>
          </cell>
          <cell r="C265" t="str">
            <v>JACK</v>
          </cell>
          <cell r="D265">
            <v>37188</v>
          </cell>
          <cell r="E265">
            <v>12.856947296372347</v>
          </cell>
        </row>
        <row r="266">
          <cell r="A266">
            <v>144784</v>
          </cell>
          <cell r="B266" t="str">
            <v>NOEMAN</v>
          </cell>
          <cell r="C266" t="str">
            <v>YUSSEF</v>
          </cell>
          <cell r="D266">
            <v>37178</v>
          </cell>
          <cell r="E266">
            <v>12.884325804243669</v>
          </cell>
        </row>
        <row r="267">
          <cell r="A267">
            <v>99317</v>
          </cell>
          <cell r="B267" t="str">
            <v>COHEN</v>
          </cell>
          <cell r="C267" t="str">
            <v>ANTHONY</v>
          </cell>
          <cell r="D267">
            <v>37172</v>
          </cell>
          <cell r="E267">
            <v>12.900752908966462</v>
          </cell>
        </row>
        <row r="268">
          <cell r="A268">
            <v>216420</v>
          </cell>
          <cell r="B268" t="str">
            <v>KONASIEWICZ</v>
          </cell>
          <cell r="C268" t="str">
            <v>KEWIN</v>
          </cell>
          <cell r="D268">
            <v>37160</v>
          </cell>
          <cell r="E268">
            <v>12.933607118412047</v>
          </cell>
        </row>
        <row r="269">
          <cell r="A269">
            <v>81274</v>
          </cell>
          <cell r="B269" t="str">
            <v>APPELQUIST</v>
          </cell>
          <cell r="C269" t="str">
            <v>ALEXANDER</v>
          </cell>
          <cell r="D269">
            <v>37157</v>
          </cell>
          <cell r="E269">
            <v>12.941820670773442</v>
          </cell>
        </row>
        <row r="270">
          <cell r="A270">
            <v>103579</v>
          </cell>
          <cell r="B270" t="str">
            <v>SMIKLE-JOSHUA</v>
          </cell>
          <cell r="C270" t="str">
            <v>JADEN</v>
          </cell>
          <cell r="D270">
            <v>37157</v>
          </cell>
          <cell r="E270">
            <v>12.941820670773442</v>
          </cell>
        </row>
        <row r="271">
          <cell r="A271">
            <v>226322</v>
          </cell>
          <cell r="B271" t="str">
            <v>ABRAHAM</v>
          </cell>
          <cell r="C271" t="str">
            <v>RAPHAEL</v>
          </cell>
          <cell r="D271">
            <v>37149</v>
          </cell>
          <cell r="E271">
            <v>12.9637234770705</v>
          </cell>
        </row>
        <row r="272">
          <cell r="A272">
            <v>65333</v>
          </cell>
          <cell r="B272" t="str">
            <v>SCRUTON</v>
          </cell>
          <cell r="C272" t="str">
            <v>KIRA</v>
          </cell>
          <cell r="D272">
            <v>37147</v>
          </cell>
          <cell r="E272">
            <v>12.969199178644764</v>
          </cell>
        </row>
        <row r="273">
          <cell r="A273">
            <v>65213</v>
          </cell>
          <cell r="B273" t="str">
            <v>WEST</v>
          </cell>
          <cell r="C273" t="str">
            <v>DENNON</v>
          </cell>
          <cell r="D273">
            <v>37146</v>
          </cell>
          <cell r="E273">
            <v>12.971937029431896</v>
          </cell>
        </row>
        <row r="274">
          <cell r="A274">
            <v>224475</v>
          </cell>
          <cell r="B274" t="str">
            <v>BUSIGWA</v>
          </cell>
          <cell r="C274" t="str">
            <v>DAVID</v>
          </cell>
          <cell r="D274">
            <v>37138</v>
          </cell>
          <cell r="E274">
            <v>12.993839835728952</v>
          </cell>
        </row>
        <row r="275">
          <cell r="A275">
            <v>80971</v>
          </cell>
          <cell r="B275" t="str">
            <v>MOORCROFT-HOGAN</v>
          </cell>
          <cell r="C275" t="str">
            <v>SHAI</v>
          </cell>
          <cell r="D275">
            <v>37134</v>
          </cell>
          <cell r="E275">
            <v>13.00479123887748</v>
          </cell>
        </row>
        <row r="276">
          <cell r="A276">
            <v>201065</v>
          </cell>
          <cell r="B276" t="str">
            <v>HOARE</v>
          </cell>
          <cell r="C276" t="str">
            <v>GARETH</v>
          </cell>
          <cell r="D276">
            <v>37132</v>
          </cell>
          <cell r="E276">
            <v>13.010266940451745</v>
          </cell>
        </row>
        <row r="277">
          <cell r="A277">
            <v>155612</v>
          </cell>
          <cell r="B277" t="str">
            <v>STEINBOCK</v>
          </cell>
          <cell r="C277" t="str">
            <v>DAVID</v>
          </cell>
          <cell r="D277">
            <v>37126</v>
          </cell>
          <cell r="E277">
            <v>13.026694045174539</v>
          </cell>
        </row>
        <row r="278">
          <cell r="A278">
            <v>125286</v>
          </cell>
          <cell r="B278" t="str">
            <v>DULCKEN</v>
          </cell>
          <cell r="C278" t="str">
            <v>THOMAS</v>
          </cell>
          <cell r="D278">
            <v>37125</v>
          </cell>
          <cell r="E278">
            <v>13.02943189596167</v>
          </cell>
        </row>
        <row r="279">
          <cell r="A279">
            <v>65215</v>
          </cell>
          <cell r="B279" t="str">
            <v>HAMIYOU-AZAM</v>
          </cell>
          <cell r="C279" t="str">
            <v>SABAA</v>
          </cell>
          <cell r="D279">
            <v>37118</v>
          </cell>
          <cell r="E279">
            <v>13.048596851471595</v>
          </cell>
        </row>
        <row r="280">
          <cell r="A280">
            <v>68151</v>
          </cell>
          <cell r="B280" t="str">
            <v>FELLERMAN</v>
          </cell>
          <cell r="C280" t="str">
            <v>CHANNA</v>
          </cell>
          <cell r="D280">
            <v>37113</v>
          </cell>
          <cell r="E280">
            <v>13.062286105407255</v>
          </cell>
        </row>
        <row r="281">
          <cell r="A281">
            <v>199024</v>
          </cell>
          <cell r="B281" t="str">
            <v>OMAR</v>
          </cell>
          <cell r="C281" t="str">
            <v>SURAB</v>
          </cell>
          <cell r="D281">
            <v>37104</v>
          </cell>
          <cell r="E281">
            <v>13.086926762491444</v>
          </cell>
        </row>
        <row r="282">
          <cell r="A282">
            <v>170614</v>
          </cell>
          <cell r="B282" t="str">
            <v>LANGLEY</v>
          </cell>
          <cell r="C282" t="str">
            <v>FLORENCE</v>
          </cell>
          <cell r="D282">
            <v>37099</v>
          </cell>
          <cell r="E282">
            <v>13.100616016427105</v>
          </cell>
        </row>
        <row r="283">
          <cell r="A283">
            <v>80071</v>
          </cell>
          <cell r="B283" t="str">
            <v>NELSON</v>
          </cell>
          <cell r="C283" t="str">
            <v>XAIN-WAIIL</v>
          </cell>
          <cell r="D283">
            <v>37098</v>
          </cell>
          <cell r="E283">
            <v>13.103353867214237</v>
          </cell>
        </row>
        <row r="284">
          <cell r="A284">
            <v>92601</v>
          </cell>
          <cell r="B284" t="str">
            <v>BALOGUN</v>
          </cell>
          <cell r="C284" t="str">
            <v>JAMAL</v>
          </cell>
          <cell r="D284">
            <v>37096</v>
          </cell>
          <cell r="E284">
            <v>13.108829568788501</v>
          </cell>
        </row>
        <row r="285">
          <cell r="A285">
            <v>101638</v>
          </cell>
          <cell r="B285" t="str">
            <v>ERDWIN</v>
          </cell>
          <cell r="C285" t="str">
            <v>BILLY</v>
          </cell>
          <cell r="D285">
            <v>37092</v>
          </cell>
          <cell r="E285">
            <v>13.119780971937029</v>
          </cell>
        </row>
        <row r="286">
          <cell r="A286">
            <v>231428</v>
          </cell>
          <cell r="B286" t="str">
            <v xml:space="preserve">HASSAN </v>
          </cell>
          <cell r="C286" t="str">
            <v>SIVAN</v>
          </cell>
          <cell r="D286">
            <v>37080</v>
          </cell>
          <cell r="E286">
            <v>13.152635181382614</v>
          </cell>
        </row>
        <row r="287">
          <cell r="A287">
            <v>65817</v>
          </cell>
          <cell r="B287" t="str">
            <v>REES</v>
          </cell>
          <cell r="C287" t="str">
            <v>JAMIE</v>
          </cell>
          <cell r="D287">
            <v>37079</v>
          </cell>
          <cell r="E287">
            <v>13.155373032169747</v>
          </cell>
        </row>
        <row r="288">
          <cell r="A288">
            <v>125212</v>
          </cell>
          <cell r="B288" t="str">
            <v>O'DONOVAN</v>
          </cell>
          <cell r="C288" t="str">
            <v>SARAH</v>
          </cell>
          <cell r="D288">
            <v>37076</v>
          </cell>
          <cell r="E288">
            <v>13.163586584531142</v>
          </cell>
        </row>
        <row r="289">
          <cell r="A289">
            <v>80737</v>
          </cell>
          <cell r="B289" t="str">
            <v>SHAH</v>
          </cell>
          <cell r="C289" t="str">
            <v>RIA</v>
          </cell>
          <cell r="D289">
            <v>37073</v>
          </cell>
          <cell r="E289">
            <v>13.171800136892539</v>
          </cell>
        </row>
        <row r="290">
          <cell r="A290">
            <v>281381</v>
          </cell>
          <cell r="B290" t="str">
            <v>TADESSE</v>
          </cell>
          <cell r="C290" t="str">
            <v>NATHAN</v>
          </cell>
          <cell r="D290">
            <v>37061</v>
          </cell>
          <cell r="E290">
            <v>13.204654346338124</v>
          </cell>
        </row>
        <row r="291">
          <cell r="A291">
            <v>48656</v>
          </cell>
          <cell r="B291" t="str">
            <v>SANDOR</v>
          </cell>
          <cell r="C291" t="str">
            <v>OSCAR</v>
          </cell>
          <cell r="D291">
            <v>37052</v>
          </cell>
          <cell r="E291">
            <v>13.229295003422314</v>
          </cell>
        </row>
        <row r="292">
          <cell r="A292">
            <v>212872</v>
          </cell>
          <cell r="B292" t="str">
            <v>PARTOUCHE</v>
          </cell>
          <cell r="C292" t="str">
            <v>SHEINA</v>
          </cell>
          <cell r="D292">
            <v>37034</v>
          </cell>
          <cell r="E292">
            <v>13.278576317590691</v>
          </cell>
        </row>
        <row r="293">
          <cell r="A293">
            <v>69965</v>
          </cell>
          <cell r="B293" t="str">
            <v>MCDONAGH</v>
          </cell>
          <cell r="C293" t="str">
            <v>SCARLETT</v>
          </cell>
          <cell r="D293">
            <v>37033</v>
          </cell>
          <cell r="E293">
            <v>13.281314168377824</v>
          </cell>
        </row>
        <row r="294">
          <cell r="A294">
            <v>68124</v>
          </cell>
          <cell r="B294" t="str">
            <v>ORMSTON</v>
          </cell>
          <cell r="C294" t="str">
            <v>CHLOE</v>
          </cell>
          <cell r="D294">
            <v>37013</v>
          </cell>
          <cell r="E294">
            <v>13.336071184120465</v>
          </cell>
        </row>
        <row r="295">
          <cell r="A295">
            <v>63835</v>
          </cell>
          <cell r="B295" t="str">
            <v>SHEW</v>
          </cell>
          <cell r="C295" t="str">
            <v>JAKE</v>
          </cell>
          <cell r="D295">
            <v>37007</v>
          </cell>
          <cell r="E295">
            <v>13.352498288843258</v>
          </cell>
        </row>
        <row r="296">
          <cell r="A296">
            <v>80228</v>
          </cell>
          <cell r="B296" t="str">
            <v>OSHER</v>
          </cell>
          <cell r="C296" t="str">
            <v>DYLAN</v>
          </cell>
          <cell r="D296">
            <v>36998</v>
          </cell>
          <cell r="E296">
            <v>13.377138945927447</v>
          </cell>
        </row>
        <row r="297">
          <cell r="A297">
            <v>79207</v>
          </cell>
          <cell r="B297" t="str">
            <v>VEL</v>
          </cell>
          <cell r="C297" t="str">
            <v>ROBERT</v>
          </cell>
          <cell r="D297">
            <v>36993</v>
          </cell>
          <cell r="E297">
            <v>13.390828199863108</v>
          </cell>
        </row>
        <row r="298">
          <cell r="A298">
            <v>80775</v>
          </cell>
          <cell r="B298" t="str">
            <v xml:space="preserve">EVANS </v>
          </cell>
          <cell r="C298" t="str">
            <v>JACK</v>
          </cell>
          <cell r="D298">
            <v>36980</v>
          </cell>
          <cell r="E298">
            <v>13.426420260095824</v>
          </cell>
        </row>
        <row r="299">
          <cell r="A299">
            <v>49527</v>
          </cell>
          <cell r="B299" t="str">
            <v>MYERS</v>
          </cell>
          <cell r="C299" t="str">
            <v>CHRISTIAN</v>
          </cell>
          <cell r="D299">
            <v>36974</v>
          </cell>
          <cell r="E299">
            <v>13.442847364818617</v>
          </cell>
        </row>
        <row r="300">
          <cell r="A300">
            <v>64431</v>
          </cell>
          <cell r="B300" t="str">
            <v>KHORAM</v>
          </cell>
          <cell r="C300" t="str">
            <v>SAMI</v>
          </cell>
          <cell r="D300">
            <v>36974</v>
          </cell>
          <cell r="E300">
            <v>13.442847364818617</v>
          </cell>
        </row>
        <row r="301">
          <cell r="A301">
            <v>92825</v>
          </cell>
          <cell r="B301" t="str">
            <v>EFEY</v>
          </cell>
          <cell r="C301" t="str">
            <v>CHRISTOPHER</v>
          </cell>
          <cell r="D301">
            <v>36958</v>
          </cell>
          <cell r="E301">
            <v>13.486652977412732</v>
          </cell>
        </row>
        <row r="302">
          <cell r="A302">
            <v>49200</v>
          </cell>
          <cell r="B302" t="str">
            <v>MALIQI</v>
          </cell>
          <cell r="C302" t="str">
            <v>KREMTIM</v>
          </cell>
          <cell r="D302">
            <v>36954</v>
          </cell>
          <cell r="E302">
            <v>13.49760438056126</v>
          </cell>
        </row>
        <row r="303">
          <cell r="A303">
            <v>91486</v>
          </cell>
          <cell r="B303" t="str">
            <v>DONOVAN</v>
          </cell>
          <cell r="C303" t="str">
            <v>DANIEL</v>
          </cell>
          <cell r="D303">
            <v>36951</v>
          </cell>
          <cell r="E303">
            <v>13.505817932922655</v>
          </cell>
        </row>
        <row r="304">
          <cell r="A304">
            <v>51375</v>
          </cell>
          <cell r="B304" t="str">
            <v>BOLLEY</v>
          </cell>
          <cell r="C304" t="str">
            <v>DARREN</v>
          </cell>
          <cell r="D304">
            <v>36944</v>
          </cell>
          <cell r="E304">
            <v>13.52498288843258</v>
          </cell>
        </row>
        <row r="305">
          <cell r="A305">
            <v>149420</v>
          </cell>
          <cell r="B305" t="str">
            <v>NEWBY</v>
          </cell>
          <cell r="C305" t="str">
            <v>NICOLE</v>
          </cell>
          <cell r="D305">
            <v>36933</v>
          </cell>
          <cell r="E305">
            <v>13.555099247091034</v>
          </cell>
        </row>
        <row r="306">
          <cell r="A306">
            <v>264505</v>
          </cell>
          <cell r="B306" t="str">
            <v>JOKAR</v>
          </cell>
          <cell r="C306" t="str">
            <v>ARIA</v>
          </cell>
          <cell r="D306">
            <v>36927</v>
          </cell>
          <cell r="E306">
            <v>13.571526351813826</v>
          </cell>
        </row>
        <row r="307">
          <cell r="A307">
            <v>79327</v>
          </cell>
          <cell r="B307" t="str">
            <v>BROWN</v>
          </cell>
          <cell r="C307" t="str">
            <v>REGAN</v>
          </cell>
          <cell r="D307">
            <v>36926</v>
          </cell>
          <cell r="E307">
            <v>13.574264202600958</v>
          </cell>
        </row>
        <row r="308">
          <cell r="A308">
            <v>170069</v>
          </cell>
          <cell r="B308" t="str">
            <v>ZUCKER</v>
          </cell>
          <cell r="C308" t="str">
            <v>MIRIAM</v>
          </cell>
          <cell r="D308">
            <v>36921</v>
          </cell>
          <cell r="E308">
            <v>13.587953456536619</v>
          </cell>
        </row>
        <row r="309">
          <cell r="A309">
            <v>65296</v>
          </cell>
          <cell r="B309" t="str">
            <v>BARR</v>
          </cell>
          <cell r="C309" t="str">
            <v>ABIGAIL</v>
          </cell>
          <cell r="D309">
            <v>36917</v>
          </cell>
          <cell r="E309">
            <v>13.598904859685147</v>
          </cell>
        </row>
        <row r="310">
          <cell r="A310">
            <v>65207</v>
          </cell>
          <cell r="B310" t="str">
            <v>DELL</v>
          </cell>
          <cell r="C310" t="str">
            <v>MIA</v>
          </cell>
          <cell r="D310">
            <v>36916</v>
          </cell>
          <cell r="E310">
            <v>13.60164271047228</v>
          </cell>
        </row>
        <row r="311">
          <cell r="A311">
            <v>27783</v>
          </cell>
          <cell r="B311" t="str">
            <v>MACCARTHY</v>
          </cell>
          <cell r="C311" t="str">
            <v>CHRISTY</v>
          </cell>
          <cell r="D311">
            <v>36915</v>
          </cell>
          <cell r="E311">
            <v>13.604380561259411</v>
          </cell>
        </row>
        <row r="312">
          <cell r="A312">
            <v>31857</v>
          </cell>
          <cell r="B312" t="str">
            <v>DADOUN</v>
          </cell>
          <cell r="C312" t="str">
            <v>GABRIEL</v>
          </cell>
          <cell r="D312">
            <v>36915</v>
          </cell>
          <cell r="E312">
            <v>13.604380561259411</v>
          </cell>
        </row>
        <row r="313">
          <cell r="A313">
            <v>70386</v>
          </cell>
          <cell r="B313" t="str">
            <v>FAYE</v>
          </cell>
          <cell r="C313" t="str">
            <v>DEAN</v>
          </cell>
          <cell r="D313">
            <v>36907</v>
          </cell>
          <cell r="E313">
            <v>13.626283367556468</v>
          </cell>
        </row>
        <row r="314">
          <cell r="A314">
            <v>79776</v>
          </cell>
          <cell r="B314" t="str">
            <v>REICH</v>
          </cell>
          <cell r="C314" t="str">
            <v>YESHAYE</v>
          </cell>
          <cell r="D314">
            <v>36893</v>
          </cell>
          <cell r="E314">
            <v>13.664613278576317</v>
          </cell>
        </row>
        <row r="315">
          <cell r="A315">
            <v>155668</v>
          </cell>
          <cell r="B315" t="str">
            <v>MATEWELE</v>
          </cell>
          <cell r="C315" t="str">
            <v>WILLIAM</v>
          </cell>
          <cell r="D315">
            <v>36888</v>
          </cell>
          <cell r="E315">
            <v>13.678302532511978</v>
          </cell>
        </row>
        <row r="316">
          <cell r="A316">
            <v>184187</v>
          </cell>
          <cell r="B316" t="str">
            <v>FAHIMI</v>
          </cell>
          <cell r="C316" t="str">
            <v>EDERS</v>
          </cell>
          <cell r="D316">
            <v>36877</v>
          </cell>
          <cell r="E316">
            <v>13.708418891170432</v>
          </cell>
        </row>
        <row r="317">
          <cell r="A317">
            <v>310344</v>
          </cell>
          <cell r="B317" t="str">
            <v>ISMAILI-IDRISSI</v>
          </cell>
          <cell r="C317" t="str">
            <v>JALILA</v>
          </cell>
          <cell r="D317">
            <v>36872</v>
          </cell>
          <cell r="E317">
            <v>13.722108145106091</v>
          </cell>
        </row>
        <row r="318">
          <cell r="A318">
            <v>41693</v>
          </cell>
          <cell r="B318" t="str">
            <v>THOMPSON-ESSIG</v>
          </cell>
          <cell r="C318" t="str">
            <v>KIRELL</v>
          </cell>
          <cell r="D318">
            <v>36867</v>
          </cell>
          <cell r="E318">
            <v>13.735797399041752</v>
          </cell>
        </row>
        <row r="319">
          <cell r="A319">
            <v>65604</v>
          </cell>
          <cell r="B319" t="str">
            <v>KNOWLES</v>
          </cell>
          <cell r="C319" t="str">
            <v>REECE</v>
          </cell>
          <cell r="D319">
            <v>36866</v>
          </cell>
          <cell r="E319">
            <v>13.738535249828884</v>
          </cell>
        </row>
        <row r="320">
          <cell r="A320">
            <v>65340</v>
          </cell>
          <cell r="B320" t="str">
            <v>KARIM</v>
          </cell>
          <cell r="C320" t="str">
            <v>HASSAN</v>
          </cell>
          <cell r="D320">
            <v>36854</v>
          </cell>
          <cell r="E320">
            <v>13.77138945927447</v>
          </cell>
        </row>
        <row r="321">
          <cell r="A321">
            <v>48840</v>
          </cell>
          <cell r="B321" t="str">
            <v>REILLY</v>
          </cell>
          <cell r="C321" t="str">
            <v>JODIE</v>
          </cell>
          <cell r="D321">
            <v>36853</v>
          </cell>
          <cell r="E321">
            <v>13.774127310061601</v>
          </cell>
        </row>
        <row r="322">
          <cell r="A322">
            <v>69300</v>
          </cell>
          <cell r="B322" t="str">
            <v>MORRIS</v>
          </cell>
          <cell r="C322" t="str">
            <v>CARLEY</v>
          </cell>
          <cell r="D322">
            <v>36851</v>
          </cell>
          <cell r="E322">
            <v>13.779603011635865</v>
          </cell>
        </row>
        <row r="323">
          <cell r="A323">
            <v>48432</v>
          </cell>
          <cell r="B323" t="str">
            <v>HARWOOD</v>
          </cell>
          <cell r="C323" t="str">
            <v>DYLAN</v>
          </cell>
          <cell r="D323">
            <v>36843</v>
          </cell>
          <cell r="E323">
            <v>13.801505817932922</v>
          </cell>
        </row>
        <row r="324">
          <cell r="A324">
            <v>172131</v>
          </cell>
          <cell r="B324" t="str">
            <v>MOSS</v>
          </cell>
          <cell r="C324" t="str">
            <v>MAX</v>
          </cell>
          <cell r="D324">
            <v>36839</v>
          </cell>
          <cell r="E324">
            <v>13.81245722108145</v>
          </cell>
        </row>
        <row r="325">
          <cell r="A325">
            <v>51211</v>
          </cell>
          <cell r="B325" t="str">
            <v>CHOI</v>
          </cell>
          <cell r="C325" t="str">
            <v>ADRIAN</v>
          </cell>
          <cell r="D325">
            <v>36835</v>
          </cell>
          <cell r="E325">
            <v>13.82340862422998</v>
          </cell>
        </row>
        <row r="326">
          <cell r="A326">
            <v>65096</v>
          </cell>
          <cell r="B326" t="str">
            <v>OBODE</v>
          </cell>
          <cell r="C326" t="str">
            <v>GODSPOWER</v>
          </cell>
          <cell r="D326">
            <v>36817</v>
          </cell>
          <cell r="E326">
            <v>13.872689938398358</v>
          </cell>
        </row>
        <row r="327">
          <cell r="A327">
            <v>65270</v>
          </cell>
          <cell r="B327" t="str">
            <v>EZEKIEL</v>
          </cell>
          <cell r="C327" t="str">
            <v>GAVRIEL</v>
          </cell>
          <cell r="D327">
            <v>36813</v>
          </cell>
          <cell r="E327">
            <v>13.883641341546886</v>
          </cell>
        </row>
        <row r="328">
          <cell r="A328">
            <v>175489</v>
          </cell>
          <cell r="B328" t="str">
            <v>KELLY</v>
          </cell>
          <cell r="C328" t="str">
            <v>ANDREW</v>
          </cell>
          <cell r="D328">
            <v>36805</v>
          </cell>
          <cell r="E328">
            <v>13.905544147843942</v>
          </cell>
        </row>
        <row r="329">
          <cell r="A329">
            <v>32549</v>
          </cell>
          <cell r="B329" t="str">
            <v>COHEN</v>
          </cell>
          <cell r="C329" t="str">
            <v>NAIM</v>
          </cell>
          <cell r="D329">
            <v>36799</v>
          </cell>
          <cell r="E329">
            <v>13.921971252566735</v>
          </cell>
        </row>
        <row r="330">
          <cell r="A330">
            <v>103688</v>
          </cell>
          <cell r="B330" t="str">
            <v>KAUFFMAN</v>
          </cell>
          <cell r="C330" t="str">
            <v>TALIA</v>
          </cell>
          <cell r="D330">
            <v>36798</v>
          </cell>
          <cell r="E330">
            <v>13.924709103353868</v>
          </cell>
        </row>
        <row r="331">
          <cell r="A331">
            <v>233707</v>
          </cell>
          <cell r="B331" t="str">
            <v>KHODAYEKI</v>
          </cell>
          <cell r="C331" t="str">
            <v>ANTHONY</v>
          </cell>
          <cell r="D331">
            <v>36796</v>
          </cell>
          <cell r="E331">
            <v>13.930184804928132</v>
          </cell>
        </row>
        <row r="332">
          <cell r="A332">
            <v>40837</v>
          </cell>
          <cell r="B332" t="str">
            <v>DOLAN</v>
          </cell>
          <cell r="C332" t="str">
            <v>TAMARA</v>
          </cell>
          <cell r="D332">
            <v>36789</v>
          </cell>
          <cell r="E332">
            <v>13.949349760438055</v>
          </cell>
        </row>
        <row r="333">
          <cell r="A333">
            <v>65072</v>
          </cell>
          <cell r="B333" t="str">
            <v>CONWAY</v>
          </cell>
          <cell r="C333" t="str">
            <v>DINA</v>
          </cell>
          <cell r="D333">
            <v>36768</v>
          </cell>
          <cell r="E333">
            <v>14.00684462696783</v>
          </cell>
        </row>
        <row r="334">
          <cell r="A334">
            <v>24341</v>
          </cell>
          <cell r="B334" t="str">
            <v>SILVER</v>
          </cell>
          <cell r="C334" t="str">
            <v>HARRY</v>
          </cell>
          <cell r="D334">
            <v>36737</v>
          </cell>
          <cell r="E334">
            <v>14.091718001368925</v>
          </cell>
        </row>
        <row r="335">
          <cell r="A335">
            <v>258273</v>
          </cell>
          <cell r="B335" t="str">
            <v>HOWE</v>
          </cell>
          <cell r="C335" t="str">
            <v>RAHEEM</v>
          </cell>
          <cell r="D335">
            <v>36728</v>
          </cell>
          <cell r="E335">
            <v>14.116358658453114</v>
          </cell>
        </row>
        <row r="336">
          <cell r="A336">
            <v>25327</v>
          </cell>
          <cell r="B336" t="str">
            <v>WOLFSON</v>
          </cell>
          <cell r="C336" t="str">
            <v>NAFTALI</v>
          </cell>
          <cell r="D336">
            <v>36722</v>
          </cell>
          <cell r="E336">
            <v>14.132785763175907</v>
          </cell>
        </row>
        <row r="337">
          <cell r="A337">
            <v>25327</v>
          </cell>
          <cell r="B337" t="str">
            <v>WOLFSON</v>
          </cell>
          <cell r="C337" t="str">
            <v>NAFTALI</v>
          </cell>
          <cell r="D337">
            <v>36722</v>
          </cell>
          <cell r="E337">
            <v>14.132785763175907</v>
          </cell>
        </row>
        <row r="338">
          <cell r="A338">
            <v>50017</v>
          </cell>
          <cell r="B338" t="str">
            <v>RAJA</v>
          </cell>
          <cell r="C338" t="str">
            <v>VISHNAVI</v>
          </cell>
          <cell r="D338">
            <v>36718</v>
          </cell>
          <cell r="E338">
            <v>14.143737166324435</v>
          </cell>
        </row>
        <row r="339">
          <cell r="A339">
            <v>36447</v>
          </cell>
          <cell r="B339" t="str">
            <v>HARVEY</v>
          </cell>
          <cell r="C339" t="str">
            <v>HARRISON</v>
          </cell>
          <cell r="D339">
            <v>36714</v>
          </cell>
          <cell r="E339">
            <v>14.154688569472963</v>
          </cell>
        </row>
        <row r="340">
          <cell r="A340">
            <v>65749</v>
          </cell>
          <cell r="B340" t="str">
            <v>HART</v>
          </cell>
          <cell r="C340" t="str">
            <v>AMY</v>
          </cell>
          <cell r="D340">
            <v>36712</v>
          </cell>
          <cell r="E340">
            <v>14.160164271047227</v>
          </cell>
        </row>
        <row r="341">
          <cell r="A341">
            <v>212984</v>
          </cell>
          <cell r="B341" t="str">
            <v>ANSELL</v>
          </cell>
          <cell r="C341" t="str">
            <v>SAMUEL</v>
          </cell>
          <cell r="D341">
            <v>36705</v>
          </cell>
          <cell r="E341">
            <v>14.179329226557153</v>
          </cell>
        </row>
        <row r="342">
          <cell r="A342">
            <v>72419</v>
          </cell>
          <cell r="B342" t="str">
            <v>HOLMES</v>
          </cell>
          <cell r="C342" t="str">
            <v>NED</v>
          </cell>
          <cell r="D342">
            <v>36694</v>
          </cell>
          <cell r="E342">
            <v>14.209445585215606</v>
          </cell>
        </row>
        <row r="343">
          <cell r="A343">
            <v>201687</v>
          </cell>
          <cell r="B343" t="str">
            <v>ROBERTS-MURPHY</v>
          </cell>
          <cell r="C343" t="str">
            <v>BILLY</v>
          </cell>
          <cell r="D343">
            <v>36694</v>
          </cell>
          <cell r="E343">
            <v>14.209445585215606</v>
          </cell>
        </row>
        <row r="344">
          <cell r="A344">
            <v>16125</v>
          </cell>
          <cell r="B344" t="str">
            <v>MARVEL</v>
          </cell>
          <cell r="C344" t="str">
            <v>MEGAN</v>
          </cell>
          <cell r="D344">
            <v>36685</v>
          </cell>
          <cell r="E344">
            <v>14.234086242299794</v>
          </cell>
        </row>
        <row r="345">
          <cell r="A345">
            <v>63943</v>
          </cell>
          <cell r="B345" t="str">
            <v>CONLIN</v>
          </cell>
          <cell r="C345" t="str">
            <v>MAX</v>
          </cell>
          <cell r="D345">
            <v>36683</v>
          </cell>
          <cell r="E345">
            <v>14.239561943874058</v>
          </cell>
        </row>
        <row r="346">
          <cell r="A346">
            <v>65338</v>
          </cell>
          <cell r="B346" t="str">
            <v>MIDGEN</v>
          </cell>
          <cell r="C346" t="str">
            <v>JAMIE</v>
          </cell>
          <cell r="D346">
            <v>36675</v>
          </cell>
          <cell r="E346">
            <v>14.261464750171116</v>
          </cell>
        </row>
        <row r="347">
          <cell r="A347">
            <v>65728</v>
          </cell>
          <cell r="B347" t="str">
            <v>BENTLEY</v>
          </cell>
          <cell r="C347" t="str">
            <v>JOSEPH</v>
          </cell>
          <cell r="D347">
            <v>36661</v>
          </cell>
          <cell r="E347">
            <v>14.299794661190965</v>
          </cell>
        </row>
        <row r="348">
          <cell r="A348">
            <v>285640</v>
          </cell>
          <cell r="B348" t="str">
            <v xml:space="preserve">EMAMI </v>
          </cell>
          <cell r="C348" t="str">
            <v>REZA</v>
          </cell>
          <cell r="D348">
            <v>36661</v>
          </cell>
          <cell r="E348">
            <v>14.299794661190965</v>
          </cell>
        </row>
        <row r="349">
          <cell r="A349">
            <v>65073</v>
          </cell>
          <cell r="B349" t="str">
            <v>LEVINE</v>
          </cell>
          <cell r="C349" t="str">
            <v>SAMUEL</v>
          </cell>
          <cell r="D349">
            <v>36658</v>
          </cell>
          <cell r="E349">
            <v>14.308008213552361</v>
          </cell>
        </row>
        <row r="350">
          <cell r="A350">
            <v>34183</v>
          </cell>
          <cell r="B350" t="str">
            <v>MCLEOD</v>
          </cell>
          <cell r="C350" t="str">
            <v>MACKAYLA</v>
          </cell>
          <cell r="D350">
            <v>36657</v>
          </cell>
          <cell r="E350">
            <v>14.310746064339494</v>
          </cell>
        </row>
        <row r="351">
          <cell r="A351">
            <v>151894</v>
          </cell>
          <cell r="B351" t="str">
            <v>BRONSON</v>
          </cell>
          <cell r="C351" t="str">
            <v>LEO</v>
          </cell>
          <cell r="D351">
            <v>36656</v>
          </cell>
          <cell r="E351">
            <v>14.313483915126625</v>
          </cell>
        </row>
        <row r="352">
          <cell r="A352">
            <v>163879</v>
          </cell>
          <cell r="B352" t="str">
            <v>BRONSON</v>
          </cell>
          <cell r="C352" t="str">
            <v>THEO</v>
          </cell>
          <cell r="D352">
            <v>36656</v>
          </cell>
          <cell r="E352">
            <v>14.313483915126625</v>
          </cell>
        </row>
        <row r="353">
          <cell r="A353">
            <v>170878</v>
          </cell>
          <cell r="B353" t="str">
            <v>BROWN</v>
          </cell>
          <cell r="C353" t="str">
            <v>HARRY</v>
          </cell>
          <cell r="D353">
            <v>36653</v>
          </cell>
          <cell r="E353">
            <v>14.321697467488022</v>
          </cell>
        </row>
        <row r="354">
          <cell r="A354">
            <v>64800</v>
          </cell>
          <cell r="B354" t="str">
            <v>HENNELL</v>
          </cell>
          <cell r="C354" t="str">
            <v>PETER</v>
          </cell>
          <cell r="D354">
            <v>36644</v>
          </cell>
          <cell r="E354">
            <v>14.346338124572211</v>
          </cell>
        </row>
        <row r="355">
          <cell r="A355">
            <v>202213</v>
          </cell>
          <cell r="B355" t="str">
            <v>FERNANDEZ</v>
          </cell>
          <cell r="C355" t="str">
            <v>VAN</v>
          </cell>
          <cell r="D355">
            <v>36643</v>
          </cell>
          <cell r="E355">
            <v>14.349075975359343</v>
          </cell>
        </row>
        <row r="356">
          <cell r="A356">
            <v>93225</v>
          </cell>
          <cell r="B356" t="str">
            <v>TIANO</v>
          </cell>
          <cell r="C356" t="str">
            <v>SIMEON</v>
          </cell>
          <cell r="D356">
            <v>36642</v>
          </cell>
          <cell r="E356">
            <v>14.351813826146476</v>
          </cell>
        </row>
        <row r="357">
          <cell r="A357">
            <v>64534</v>
          </cell>
          <cell r="B357" t="str">
            <v>BENAMMAR</v>
          </cell>
          <cell r="C357" t="str">
            <v>ADAM</v>
          </cell>
          <cell r="D357">
            <v>36629</v>
          </cell>
          <cell r="E357">
            <v>14.387405886379192</v>
          </cell>
        </row>
        <row r="358">
          <cell r="A358">
            <v>51216</v>
          </cell>
          <cell r="B358" t="str">
            <v>DHILLON</v>
          </cell>
          <cell r="C358" t="str">
            <v>LUCA</v>
          </cell>
          <cell r="D358">
            <v>36623</v>
          </cell>
          <cell r="E358">
            <v>14.403832991101986</v>
          </cell>
        </row>
        <row r="359">
          <cell r="A359">
            <v>101722</v>
          </cell>
          <cell r="B359" t="str">
            <v>WILSON-WOOD</v>
          </cell>
          <cell r="C359" t="str">
            <v>NICHOLAS</v>
          </cell>
          <cell r="D359">
            <v>36613</v>
          </cell>
          <cell r="E359">
            <v>14.431211498973306</v>
          </cell>
        </row>
        <row r="360">
          <cell r="A360">
            <v>65121</v>
          </cell>
          <cell r="B360" t="str">
            <v>COGGIN</v>
          </cell>
          <cell r="C360" t="str">
            <v>THOMAS</v>
          </cell>
          <cell r="D360">
            <v>36599</v>
          </cell>
          <cell r="E360">
            <v>14.469541409993155</v>
          </cell>
        </row>
        <row r="361">
          <cell r="A361">
            <v>29360</v>
          </cell>
          <cell r="B361" t="str">
            <v>ANDERSON</v>
          </cell>
          <cell r="C361" t="str">
            <v>SHAUN</v>
          </cell>
          <cell r="D361">
            <v>36598</v>
          </cell>
          <cell r="E361">
            <v>14.472279260780287</v>
          </cell>
        </row>
        <row r="362">
          <cell r="A362">
            <v>71388</v>
          </cell>
          <cell r="B362" t="str">
            <v>DARZY</v>
          </cell>
          <cell r="C362" t="str">
            <v>MARK</v>
          </cell>
          <cell r="D362">
            <v>36592</v>
          </cell>
          <cell r="E362">
            <v>14.488706365503081</v>
          </cell>
        </row>
        <row r="363">
          <cell r="A363">
            <v>49295</v>
          </cell>
          <cell r="B363" t="str">
            <v>TANG-MARTIN</v>
          </cell>
          <cell r="C363" t="str">
            <v>CAROLINA</v>
          </cell>
          <cell r="D363">
            <v>36586</v>
          </cell>
          <cell r="E363">
            <v>14.505133470225873</v>
          </cell>
        </row>
        <row r="364">
          <cell r="A364">
            <v>59745</v>
          </cell>
          <cell r="B364" t="str">
            <v>SMYTH</v>
          </cell>
          <cell r="C364" t="str">
            <v>DAVID</v>
          </cell>
          <cell r="D364">
            <v>36575</v>
          </cell>
          <cell r="E364">
            <v>14.535249828884325</v>
          </cell>
        </row>
        <row r="365">
          <cell r="A365">
            <v>49289</v>
          </cell>
          <cell r="B365" t="str">
            <v>STINSON</v>
          </cell>
          <cell r="C365" t="str">
            <v>DAVID</v>
          </cell>
          <cell r="D365">
            <v>36570</v>
          </cell>
          <cell r="E365">
            <v>14.548939082819986</v>
          </cell>
        </row>
        <row r="366">
          <cell r="A366">
            <v>33564</v>
          </cell>
          <cell r="B366" t="str">
            <v>OYELADE</v>
          </cell>
          <cell r="C366" t="str">
            <v>DARIO</v>
          </cell>
          <cell r="D366">
            <v>36566</v>
          </cell>
          <cell r="E366">
            <v>14.559890485968515</v>
          </cell>
        </row>
        <row r="367">
          <cell r="A367">
            <v>14674</v>
          </cell>
          <cell r="B367" t="str">
            <v>DAVIS</v>
          </cell>
          <cell r="C367" t="str">
            <v>HARRY</v>
          </cell>
          <cell r="D367">
            <v>36565</v>
          </cell>
          <cell r="E367">
            <v>14.562628336755647</v>
          </cell>
        </row>
        <row r="368">
          <cell r="A368">
            <v>182809</v>
          </cell>
          <cell r="B368" t="str">
            <v>GORMAN</v>
          </cell>
          <cell r="C368" t="str">
            <v>BILLY</v>
          </cell>
          <cell r="D368">
            <v>36562</v>
          </cell>
          <cell r="E368">
            <v>14.570841889117043</v>
          </cell>
        </row>
        <row r="369">
          <cell r="A369">
            <v>37772</v>
          </cell>
          <cell r="B369" t="str">
            <v>NEALL</v>
          </cell>
          <cell r="C369" t="str">
            <v>MATTHEW</v>
          </cell>
          <cell r="D369">
            <v>36555</v>
          </cell>
          <cell r="E369">
            <v>14.590006844626968</v>
          </cell>
        </row>
        <row r="370">
          <cell r="A370">
            <v>145144</v>
          </cell>
          <cell r="B370" t="str">
            <v>GUTMAN</v>
          </cell>
          <cell r="C370" t="str">
            <v>MAXWELL</v>
          </cell>
          <cell r="D370">
            <v>36552</v>
          </cell>
          <cell r="E370">
            <v>14.598220396988363</v>
          </cell>
        </row>
        <row r="371">
          <cell r="A371">
            <v>33525</v>
          </cell>
          <cell r="B371" t="str">
            <v>RAJKOTIA</v>
          </cell>
          <cell r="C371" t="str">
            <v>PRANAV</v>
          </cell>
          <cell r="D371">
            <v>36551</v>
          </cell>
          <cell r="E371">
            <v>14.600958247775496</v>
          </cell>
        </row>
        <row r="372">
          <cell r="A372">
            <v>64543</v>
          </cell>
          <cell r="B372" t="str">
            <v>HAUGH</v>
          </cell>
          <cell r="C372" t="str">
            <v>OLIVER</v>
          </cell>
          <cell r="D372">
            <v>36532</v>
          </cell>
          <cell r="E372">
            <v>14.652977412731007</v>
          </cell>
        </row>
        <row r="373">
          <cell r="A373">
            <v>67919</v>
          </cell>
          <cell r="B373" t="str">
            <v>SACK</v>
          </cell>
          <cell r="C373" t="str">
            <v>CHAIM</v>
          </cell>
          <cell r="D373">
            <v>36531</v>
          </cell>
          <cell r="E373">
            <v>14.655715263518138</v>
          </cell>
        </row>
        <row r="374">
          <cell r="A374">
            <v>169019</v>
          </cell>
          <cell r="B374" t="str">
            <v>GEE</v>
          </cell>
          <cell r="C374" t="str">
            <v>DYLON</v>
          </cell>
          <cell r="D374">
            <v>36522</v>
          </cell>
          <cell r="E374">
            <v>14.680355920602327</v>
          </cell>
        </row>
        <row r="375">
          <cell r="A375">
            <v>34502</v>
          </cell>
          <cell r="B375" t="str">
            <v>SPEARMAN</v>
          </cell>
          <cell r="C375" t="str">
            <v>MAIZIE</v>
          </cell>
          <cell r="D375">
            <v>36511</v>
          </cell>
          <cell r="E375">
            <v>14.710472279260781</v>
          </cell>
        </row>
        <row r="376">
          <cell r="A376">
            <v>32622</v>
          </cell>
          <cell r="B376" t="str">
            <v>KANAR</v>
          </cell>
          <cell r="C376" t="str">
            <v>SHNEUR</v>
          </cell>
          <cell r="D376">
            <v>36494</v>
          </cell>
          <cell r="E376">
            <v>14.757015742642025</v>
          </cell>
        </row>
        <row r="377">
          <cell r="A377">
            <v>203130</v>
          </cell>
          <cell r="B377" t="str">
            <v>WEAVER</v>
          </cell>
          <cell r="C377" t="str">
            <v>SASKIA</v>
          </cell>
          <cell r="D377">
            <v>36475</v>
          </cell>
          <cell r="E377">
            <v>14.809034907597535</v>
          </cell>
        </row>
        <row r="378">
          <cell r="A378">
            <v>17748</v>
          </cell>
          <cell r="B378" t="str">
            <v>BALL</v>
          </cell>
          <cell r="C378" t="str">
            <v>BRADLEY</v>
          </cell>
          <cell r="D378">
            <v>36473</v>
          </cell>
          <cell r="E378">
            <v>14.8145106091718</v>
          </cell>
        </row>
        <row r="379">
          <cell r="A379">
            <v>15179</v>
          </cell>
          <cell r="B379" t="str">
            <v>CHADWICK</v>
          </cell>
          <cell r="C379" t="str">
            <v>JAMES</v>
          </cell>
          <cell r="D379">
            <v>36471</v>
          </cell>
          <cell r="E379">
            <v>14.819986310746064</v>
          </cell>
        </row>
        <row r="380">
          <cell r="A380">
            <v>64544</v>
          </cell>
          <cell r="B380" t="str">
            <v>JABBARI</v>
          </cell>
          <cell r="C380" t="str">
            <v>ARRAN</v>
          </cell>
          <cell r="D380">
            <v>36468</v>
          </cell>
          <cell r="E380">
            <v>14.828199863107461</v>
          </cell>
        </row>
        <row r="381">
          <cell r="A381">
            <v>53482</v>
          </cell>
          <cell r="B381" t="str">
            <v>HERSI</v>
          </cell>
          <cell r="C381" t="str">
            <v>Kamal</v>
          </cell>
          <cell r="D381">
            <v>36455</v>
          </cell>
          <cell r="E381">
            <v>14.863791923340179</v>
          </cell>
        </row>
        <row r="382">
          <cell r="A382">
            <v>231491</v>
          </cell>
          <cell r="B382" t="str">
            <v>NASSER</v>
          </cell>
          <cell r="C382" t="str">
            <v>SAMA</v>
          </cell>
          <cell r="D382">
            <v>36452</v>
          </cell>
          <cell r="E382">
            <v>14.872005475701574</v>
          </cell>
        </row>
        <row r="383">
          <cell r="A383">
            <v>102550</v>
          </cell>
          <cell r="B383" t="str">
            <v>RAHEEM</v>
          </cell>
          <cell r="C383" t="str">
            <v>EPITHANY</v>
          </cell>
          <cell r="D383">
            <v>36446</v>
          </cell>
          <cell r="E383">
            <v>14.888432580424366</v>
          </cell>
        </row>
        <row r="384">
          <cell r="A384">
            <v>34181</v>
          </cell>
          <cell r="B384" t="str">
            <v>MANIR</v>
          </cell>
          <cell r="C384" t="str">
            <v>SARA</v>
          </cell>
          <cell r="D384">
            <v>36446</v>
          </cell>
          <cell r="E384">
            <v>14.888432580424366</v>
          </cell>
        </row>
        <row r="385">
          <cell r="A385">
            <v>143183</v>
          </cell>
          <cell r="B385" t="str">
            <v>COHEN</v>
          </cell>
          <cell r="C385" t="str">
            <v>ELI</v>
          </cell>
          <cell r="D385">
            <v>36444</v>
          </cell>
          <cell r="E385">
            <v>14.89390828199863</v>
          </cell>
        </row>
        <row r="386">
          <cell r="A386">
            <v>127482</v>
          </cell>
          <cell r="B386" t="str">
            <v>BONNER</v>
          </cell>
          <cell r="C386" t="str">
            <v>SARAH</v>
          </cell>
          <cell r="D386">
            <v>36443</v>
          </cell>
          <cell r="E386">
            <v>14.896646132785763</v>
          </cell>
        </row>
        <row r="387">
          <cell r="A387">
            <v>66057</v>
          </cell>
          <cell r="B387" t="str">
            <v>WALLMAN-DANIELS</v>
          </cell>
          <cell r="C387" t="str">
            <v>KIERAN</v>
          </cell>
          <cell r="D387">
            <v>36417</v>
          </cell>
          <cell r="E387">
            <v>14.967830253251197</v>
          </cell>
        </row>
        <row r="388">
          <cell r="A388">
            <v>200594</v>
          </cell>
          <cell r="B388" t="str">
            <v>DA LUZ SANTOS SILVA</v>
          </cell>
          <cell r="C388" t="str">
            <v>ANDRIEA</v>
          </cell>
          <cell r="D388">
            <v>36411</v>
          </cell>
          <cell r="E388">
            <v>14.984257357973991</v>
          </cell>
        </row>
        <row r="389">
          <cell r="A389">
            <v>33562</v>
          </cell>
          <cell r="B389" t="str">
            <v>GIBSON</v>
          </cell>
          <cell r="C389" t="str">
            <v>RACHEL</v>
          </cell>
          <cell r="D389">
            <v>36410</v>
          </cell>
          <cell r="E389">
            <v>14.986995208761122</v>
          </cell>
        </row>
        <row r="390">
          <cell r="A390">
            <v>51178</v>
          </cell>
          <cell r="B390" t="str">
            <v>CARPUS</v>
          </cell>
          <cell r="C390" t="str">
            <v>JAMIE</v>
          </cell>
          <cell r="D390">
            <v>36406</v>
          </cell>
          <cell r="E390">
            <v>14.997946611909651</v>
          </cell>
        </row>
        <row r="391">
          <cell r="A391">
            <v>126098</v>
          </cell>
          <cell r="B391" t="str">
            <v>ENYIAGU</v>
          </cell>
          <cell r="C391" t="str">
            <v>ROY</v>
          </cell>
          <cell r="D391">
            <v>36404</v>
          </cell>
          <cell r="E391">
            <v>15.003422313483915</v>
          </cell>
        </row>
        <row r="392">
          <cell r="A392">
            <v>49718</v>
          </cell>
          <cell r="B392" t="str">
            <v>GREENBAUM</v>
          </cell>
          <cell r="C392" t="str">
            <v>SOPHIE</v>
          </cell>
          <cell r="D392">
            <v>36393</v>
          </cell>
          <cell r="E392">
            <v>15.033538672142368</v>
          </cell>
        </row>
        <row r="393">
          <cell r="A393">
            <v>66059</v>
          </cell>
          <cell r="B393" t="str">
            <v>McMORROW-CAME</v>
          </cell>
          <cell r="C393" t="str">
            <v>KATIE</v>
          </cell>
          <cell r="D393">
            <v>36391</v>
          </cell>
          <cell r="E393">
            <v>15.039014373716633</v>
          </cell>
        </row>
        <row r="394">
          <cell r="A394">
            <v>8296</v>
          </cell>
          <cell r="B394" t="str">
            <v>NEWBY</v>
          </cell>
          <cell r="C394" t="str">
            <v>JEAN LUC</v>
          </cell>
          <cell r="D394">
            <v>36389</v>
          </cell>
          <cell r="E394">
            <v>15.044490075290897</v>
          </cell>
        </row>
        <row r="395">
          <cell r="A395">
            <v>81190</v>
          </cell>
          <cell r="B395" t="str">
            <v>HASSAN</v>
          </cell>
          <cell r="C395" t="str">
            <v>OSMAN</v>
          </cell>
          <cell r="D395">
            <v>36385</v>
          </cell>
          <cell r="E395">
            <v>15.055441478439425</v>
          </cell>
        </row>
        <row r="396">
          <cell r="A396">
            <v>34489</v>
          </cell>
          <cell r="B396" t="str">
            <v>BENSON</v>
          </cell>
          <cell r="C396" t="str">
            <v>KYLIE</v>
          </cell>
          <cell r="D396">
            <v>36380</v>
          </cell>
          <cell r="E396">
            <v>15.069130732375086</v>
          </cell>
        </row>
        <row r="397">
          <cell r="A397">
            <v>112518</v>
          </cell>
          <cell r="B397" t="str">
            <v>GOODMAN</v>
          </cell>
          <cell r="C397" t="str">
            <v>NICOLE</v>
          </cell>
          <cell r="D397">
            <v>36370</v>
          </cell>
          <cell r="E397">
            <v>15.096509240246407</v>
          </cell>
        </row>
        <row r="398">
          <cell r="A398">
            <v>32822</v>
          </cell>
          <cell r="B398" t="str">
            <v>SAMUELS</v>
          </cell>
          <cell r="C398" t="str">
            <v>CAROLINE</v>
          </cell>
          <cell r="D398">
            <v>36365</v>
          </cell>
          <cell r="E398">
            <v>15.110198494182066</v>
          </cell>
        </row>
        <row r="399">
          <cell r="A399">
            <v>64918</v>
          </cell>
          <cell r="B399" t="str">
            <v>MARLOWE</v>
          </cell>
          <cell r="C399" t="str">
            <v>NATASHA</v>
          </cell>
          <cell r="D399">
            <v>36356</v>
          </cell>
          <cell r="E399">
            <v>15.134839151266256</v>
          </cell>
        </row>
        <row r="400">
          <cell r="A400">
            <v>18944</v>
          </cell>
          <cell r="B400" t="str">
            <v>RAHIMIAN</v>
          </cell>
          <cell r="C400" t="str">
            <v>TARA</v>
          </cell>
          <cell r="D400">
            <v>36349</v>
          </cell>
          <cell r="E400">
            <v>15.154004106776181</v>
          </cell>
        </row>
        <row r="401">
          <cell r="A401">
            <v>124516</v>
          </cell>
          <cell r="B401" t="str">
            <v>GALLAGHER</v>
          </cell>
          <cell r="C401" t="str">
            <v>CONALL</v>
          </cell>
          <cell r="D401">
            <v>36343</v>
          </cell>
          <cell r="E401">
            <v>15.170431211498974</v>
          </cell>
        </row>
        <row r="402">
          <cell r="A402">
            <v>34663</v>
          </cell>
          <cell r="B402" t="str">
            <v>PHILLIPS</v>
          </cell>
          <cell r="C402" t="str">
            <v>ADAM</v>
          </cell>
          <cell r="D402">
            <v>36342</v>
          </cell>
          <cell r="E402">
            <v>15.173169062286105</v>
          </cell>
        </row>
        <row r="403">
          <cell r="A403">
            <v>66036</v>
          </cell>
          <cell r="B403" t="str">
            <v>SCRUTON</v>
          </cell>
          <cell r="C403" t="str">
            <v>ALEXANDER</v>
          </cell>
          <cell r="D403">
            <v>36341</v>
          </cell>
          <cell r="E403">
            <v>15.175906913073238</v>
          </cell>
        </row>
        <row r="404">
          <cell r="A404">
            <v>104029</v>
          </cell>
          <cell r="B404" t="str">
            <v>KATES</v>
          </cell>
          <cell r="C404" t="str">
            <v>JADE</v>
          </cell>
          <cell r="D404">
            <v>36341</v>
          </cell>
          <cell r="E404">
            <v>15.175906913073238</v>
          </cell>
        </row>
        <row r="405">
          <cell r="A405">
            <v>117700</v>
          </cell>
          <cell r="B405" t="str">
            <v>KRAFT</v>
          </cell>
          <cell r="C405" t="str">
            <v>OSCAR</v>
          </cell>
          <cell r="D405">
            <v>36336</v>
          </cell>
          <cell r="E405">
            <v>15.189596167008897</v>
          </cell>
        </row>
        <row r="406">
          <cell r="A406">
            <v>65225</v>
          </cell>
          <cell r="B406" t="str">
            <v>COBERMAN</v>
          </cell>
          <cell r="C406" t="str">
            <v>TALIA</v>
          </cell>
          <cell r="D406">
            <v>36336</v>
          </cell>
          <cell r="E406">
            <v>15.189596167008897</v>
          </cell>
        </row>
        <row r="407">
          <cell r="A407">
            <v>32768</v>
          </cell>
          <cell r="B407" t="str">
            <v>WEITZMAN</v>
          </cell>
          <cell r="C407" t="str">
            <v>JACK</v>
          </cell>
          <cell r="D407">
            <v>36328</v>
          </cell>
          <cell r="E407">
            <v>15.211498973305956</v>
          </cell>
        </row>
        <row r="408">
          <cell r="A408">
            <v>200463</v>
          </cell>
          <cell r="B408" t="str">
            <v>ROSS</v>
          </cell>
          <cell r="C408" t="str">
            <v>JOSHUA</v>
          </cell>
          <cell r="D408">
            <v>36325</v>
          </cell>
          <cell r="E408">
            <v>15.219712525667351</v>
          </cell>
        </row>
        <row r="409">
          <cell r="A409">
            <v>32663</v>
          </cell>
          <cell r="B409" t="str">
            <v>BRILL</v>
          </cell>
          <cell r="C409" t="str">
            <v>BENJAMIN</v>
          </cell>
          <cell r="D409">
            <v>36323</v>
          </cell>
          <cell r="E409">
            <v>15.225188227241615</v>
          </cell>
        </row>
        <row r="410">
          <cell r="A410">
            <v>34256</v>
          </cell>
          <cell r="B410" t="str">
            <v>RESTREPO</v>
          </cell>
          <cell r="C410" t="str">
            <v>CARLOS</v>
          </cell>
          <cell r="D410">
            <v>36316</v>
          </cell>
          <cell r="E410">
            <v>15.24435318275154</v>
          </cell>
        </row>
        <row r="411">
          <cell r="A411">
            <v>32929</v>
          </cell>
          <cell r="B411" t="str">
            <v xml:space="preserve">McKENZI-CARDY </v>
          </cell>
          <cell r="C411" t="str">
            <v>JOSHUA</v>
          </cell>
          <cell r="D411">
            <v>36316</v>
          </cell>
          <cell r="E411">
            <v>15.24435318275154</v>
          </cell>
        </row>
        <row r="412">
          <cell r="A412">
            <v>65081</v>
          </cell>
          <cell r="B412" t="str">
            <v>SLOTNICK</v>
          </cell>
          <cell r="C412" t="str">
            <v>EDEN SAM</v>
          </cell>
          <cell r="D412">
            <v>36315</v>
          </cell>
          <cell r="E412">
            <v>15.247091033538672</v>
          </cell>
        </row>
        <row r="413">
          <cell r="A413"/>
          <cell r="B413" t="str">
            <v>Peradilla</v>
          </cell>
          <cell r="C413" t="str">
            <v>Collette</v>
          </cell>
          <cell r="D413">
            <v>36304</v>
          </cell>
          <cell r="E413">
            <v>15.277207392197125</v>
          </cell>
        </row>
        <row r="414">
          <cell r="A414">
            <v>33139</v>
          </cell>
          <cell r="B414" t="str">
            <v>SCHREIBER</v>
          </cell>
          <cell r="C414" t="str">
            <v>YAEL</v>
          </cell>
          <cell r="D414">
            <v>36303</v>
          </cell>
          <cell r="E414">
            <v>15.279945242984258</v>
          </cell>
        </row>
        <row r="415">
          <cell r="A415">
            <v>49921</v>
          </cell>
          <cell r="B415" t="str">
            <v>MURPHY</v>
          </cell>
          <cell r="C415" t="str">
            <v>CURTIS</v>
          </cell>
          <cell r="D415">
            <v>36299</v>
          </cell>
          <cell r="E415">
            <v>15.290896646132786</v>
          </cell>
        </row>
        <row r="416">
          <cell r="A416">
            <v>65770</v>
          </cell>
          <cell r="B416" t="str">
            <v>REBACK</v>
          </cell>
          <cell r="C416" t="str">
            <v>ZACHARY</v>
          </cell>
          <cell r="D416">
            <v>36292</v>
          </cell>
          <cell r="E416">
            <v>15.31006160164271</v>
          </cell>
        </row>
        <row r="417">
          <cell r="A417">
            <v>22986</v>
          </cell>
          <cell r="B417" t="str">
            <v>MIAH</v>
          </cell>
          <cell r="C417" t="str">
            <v>YASEEN</v>
          </cell>
          <cell r="D417">
            <v>36291</v>
          </cell>
          <cell r="E417">
            <v>15.312799452429843</v>
          </cell>
        </row>
        <row r="418">
          <cell r="A418">
            <v>69488</v>
          </cell>
          <cell r="B418" t="str">
            <v>OSTROFF</v>
          </cell>
          <cell r="C418" t="str">
            <v>DAVID</v>
          </cell>
          <cell r="D418">
            <v>36291</v>
          </cell>
          <cell r="E418">
            <v>15.312799452429843</v>
          </cell>
        </row>
        <row r="419">
          <cell r="A419">
            <v>48529</v>
          </cell>
          <cell r="B419" t="str">
            <v>HANASSAB</v>
          </cell>
          <cell r="C419" t="str">
            <v>GABRIEL</v>
          </cell>
          <cell r="D419">
            <v>36288</v>
          </cell>
          <cell r="E419">
            <v>15.321013004791238</v>
          </cell>
        </row>
        <row r="420">
          <cell r="A420">
            <v>34084</v>
          </cell>
          <cell r="B420" t="str">
            <v>BURTON</v>
          </cell>
          <cell r="C420" t="str">
            <v>MASON</v>
          </cell>
          <cell r="D420">
            <v>36281</v>
          </cell>
          <cell r="E420">
            <v>15.340177960301164</v>
          </cell>
        </row>
        <row r="421">
          <cell r="A421">
            <v>26155</v>
          </cell>
          <cell r="B421" t="str">
            <v>ELAABER</v>
          </cell>
          <cell r="C421" t="str">
            <v>HUSSAIN</v>
          </cell>
          <cell r="D421">
            <v>36276</v>
          </cell>
          <cell r="E421">
            <v>15.353867214236825</v>
          </cell>
        </row>
        <row r="422">
          <cell r="A422">
            <v>138901</v>
          </cell>
          <cell r="B422" t="str">
            <v>POZZI</v>
          </cell>
          <cell r="C422" t="str">
            <v>Antonio</v>
          </cell>
          <cell r="D422">
            <v>36275</v>
          </cell>
          <cell r="E422">
            <v>15.356605065023956</v>
          </cell>
        </row>
        <row r="423">
          <cell r="A423">
            <v>34271</v>
          </cell>
          <cell r="B423" t="str">
            <v>CROSBY</v>
          </cell>
          <cell r="C423" t="str">
            <v>CHARLIE</v>
          </cell>
          <cell r="D423">
            <v>36275</v>
          </cell>
          <cell r="E423">
            <v>15.356605065023956</v>
          </cell>
        </row>
        <row r="424">
          <cell r="A424">
            <v>28491</v>
          </cell>
          <cell r="B424" t="str">
            <v>ABBOTT</v>
          </cell>
          <cell r="C424" t="str">
            <v>BETHANY</v>
          </cell>
          <cell r="D424">
            <v>36271</v>
          </cell>
          <cell r="E424">
            <v>15.367556468172484</v>
          </cell>
        </row>
        <row r="425">
          <cell r="A425">
            <v>267697</v>
          </cell>
          <cell r="B425" t="str">
            <v>BRENNAN</v>
          </cell>
          <cell r="C425" t="str">
            <v>RONAN</v>
          </cell>
          <cell r="D425">
            <v>36269</v>
          </cell>
          <cell r="E425">
            <v>15.373032169746748</v>
          </cell>
        </row>
        <row r="426">
          <cell r="A426">
            <v>34953</v>
          </cell>
          <cell r="B426" t="str">
            <v>O'SULLIVAN</v>
          </cell>
          <cell r="C426" t="str">
            <v>SOPHIE</v>
          </cell>
          <cell r="D426">
            <v>36268</v>
          </cell>
          <cell r="E426">
            <v>15.375770020533881</v>
          </cell>
        </row>
        <row r="427">
          <cell r="A427">
            <v>19869</v>
          </cell>
          <cell r="B427" t="str">
            <v>SUMARIA</v>
          </cell>
          <cell r="C427" t="str">
            <v>SONAL</v>
          </cell>
          <cell r="D427">
            <v>36262</v>
          </cell>
          <cell r="E427">
            <v>15.392197125256674</v>
          </cell>
        </row>
        <row r="428">
          <cell r="A428">
            <v>64926</v>
          </cell>
          <cell r="B428" t="str">
            <v>LEUNG</v>
          </cell>
          <cell r="C428" t="str">
            <v>MARIA</v>
          </cell>
          <cell r="D428">
            <v>36261</v>
          </cell>
          <cell r="E428">
            <v>15.394934976043805</v>
          </cell>
        </row>
        <row r="429">
          <cell r="A429">
            <v>101463</v>
          </cell>
          <cell r="B429" t="str">
            <v>WETTON</v>
          </cell>
          <cell r="C429" t="str">
            <v>ALEXANDER</v>
          </cell>
          <cell r="D429">
            <v>36256</v>
          </cell>
          <cell r="E429">
            <v>15.408624229979466</v>
          </cell>
        </row>
        <row r="430">
          <cell r="A430">
            <v>87298</v>
          </cell>
          <cell r="B430" t="str">
            <v>WETTON</v>
          </cell>
          <cell r="C430" t="str">
            <v>JAMES</v>
          </cell>
          <cell r="D430">
            <v>37174</v>
          </cell>
          <cell r="E430">
            <v>12.895277207392198</v>
          </cell>
        </row>
        <row r="431">
          <cell r="A431">
            <v>93155</v>
          </cell>
          <cell r="B431" t="str">
            <v>DOROW</v>
          </cell>
          <cell r="C431" t="str">
            <v>CLIVE</v>
          </cell>
          <cell r="D431">
            <v>36246</v>
          </cell>
          <cell r="E431">
            <v>15.436002737850787</v>
          </cell>
        </row>
        <row r="432">
          <cell r="A432">
            <v>201402</v>
          </cell>
          <cell r="B432" t="str">
            <v>CAVOLI</v>
          </cell>
          <cell r="C432" t="str">
            <v>NOLI</v>
          </cell>
          <cell r="D432">
            <v>36232</v>
          </cell>
          <cell r="E432">
            <v>15.474332648870636</v>
          </cell>
        </row>
        <row r="433">
          <cell r="A433">
            <v>201402</v>
          </cell>
          <cell r="B433" t="str">
            <v>MULLA</v>
          </cell>
          <cell r="C433" t="str">
            <v>NOLI</v>
          </cell>
          <cell r="D433">
            <v>36232</v>
          </cell>
          <cell r="E433">
            <v>15.474332648870636</v>
          </cell>
        </row>
        <row r="434">
          <cell r="A434">
            <v>66040</v>
          </cell>
          <cell r="B434" t="str">
            <v>HASSAN-MARSHALL</v>
          </cell>
          <cell r="C434" t="str">
            <v>KAYA</v>
          </cell>
          <cell r="D434">
            <v>36228</v>
          </cell>
          <cell r="E434">
            <v>15.485284052019164</v>
          </cell>
        </row>
        <row r="435">
          <cell r="A435">
            <v>65074</v>
          </cell>
          <cell r="B435" t="str">
            <v>HALPERN</v>
          </cell>
          <cell r="C435" t="str">
            <v>NATHAN</v>
          </cell>
          <cell r="D435">
            <v>36203</v>
          </cell>
          <cell r="E435">
            <v>15.553730321697467</v>
          </cell>
        </row>
        <row r="436">
          <cell r="A436">
            <v>35274</v>
          </cell>
          <cell r="B436" t="str">
            <v>OKAI</v>
          </cell>
          <cell r="C436" t="str">
            <v>ELEOJO</v>
          </cell>
          <cell r="D436">
            <v>36199</v>
          </cell>
          <cell r="E436">
            <v>15.564681724845997</v>
          </cell>
        </row>
        <row r="437">
          <cell r="A437">
            <v>19890</v>
          </cell>
          <cell r="B437" t="str">
            <v>WARD</v>
          </cell>
          <cell r="C437" t="str">
            <v>ROBERT</v>
          </cell>
          <cell r="D437">
            <v>36196</v>
          </cell>
          <cell r="E437">
            <v>15.572895277207392</v>
          </cell>
        </row>
        <row r="438">
          <cell r="A438">
            <v>232550</v>
          </cell>
          <cell r="B438" t="str">
            <v>INGRAM</v>
          </cell>
          <cell r="C438" t="str">
            <v>ADAM</v>
          </cell>
          <cell r="D438">
            <v>36184</v>
          </cell>
          <cell r="E438">
            <v>15.605749486652977</v>
          </cell>
        </row>
        <row r="439">
          <cell r="A439">
            <v>34476</v>
          </cell>
          <cell r="B439" t="str">
            <v>WEEKES</v>
          </cell>
          <cell r="C439" t="str">
            <v>SAMUEL</v>
          </cell>
          <cell r="D439">
            <v>36183</v>
          </cell>
          <cell r="E439">
            <v>15.60848733744011</v>
          </cell>
        </row>
        <row r="440">
          <cell r="A440">
            <v>65922</v>
          </cell>
          <cell r="B440" t="str">
            <v>MAGUIRE</v>
          </cell>
          <cell r="C440" t="str">
            <v>PATRICK</v>
          </cell>
          <cell r="D440">
            <v>36182</v>
          </cell>
          <cell r="E440">
            <v>15.611225188227241</v>
          </cell>
        </row>
        <row r="441">
          <cell r="A441">
            <v>80451</v>
          </cell>
          <cell r="B441" t="str">
            <v>CORCORAN</v>
          </cell>
          <cell r="C441" t="str">
            <v>WILLIAM</v>
          </cell>
          <cell r="D441">
            <v>36182</v>
          </cell>
          <cell r="E441">
            <v>15.611225188227241</v>
          </cell>
        </row>
        <row r="442">
          <cell r="A442">
            <v>21503</v>
          </cell>
          <cell r="B442" t="str">
            <v>CORCORAN</v>
          </cell>
          <cell r="C442" t="str">
            <v>PATRICK</v>
          </cell>
          <cell r="D442">
            <v>36182</v>
          </cell>
          <cell r="E442">
            <v>15.611225188227241</v>
          </cell>
        </row>
        <row r="443">
          <cell r="A443">
            <v>14791</v>
          </cell>
          <cell r="B443" t="str">
            <v>BASSETT</v>
          </cell>
          <cell r="C443" t="str">
            <v>JACK</v>
          </cell>
          <cell r="D443">
            <v>36182</v>
          </cell>
          <cell r="E443">
            <v>15.611225188227241</v>
          </cell>
        </row>
        <row r="444">
          <cell r="A444">
            <v>34365</v>
          </cell>
          <cell r="B444" t="str">
            <v>HAUGH</v>
          </cell>
          <cell r="C444" t="str">
            <v>NICHOLAS</v>
          </cell>
          <cell r="D444">
            <v>36161</v>
          </cell>
          <cell r="E444">
            <v>15.668720054757015</v>
          </cell>
        </row>
        <row r="445">
          <cell r="A445">
            <v>157214</v>
          </cell>
          <cell r="B445" t="str">
            <v>REMER</v>
          </cell>
          <cell r="C445" t="str">
            <v>YISROEL (SRULIK)</v>
          </cell>
          <cell r="D445">
            <v>36149</v>
          </cell>
          <cell r="E445">
            <v>15.7015742642026</v>
          </cell>
        </row>
        <row r="446">
          <cell r="A446">
            <v>34677</v>
          </cell>
          <cell r="B446" t="str">
            <v>ABDICHE</v>
          </cell>
          <cell r="C446" t="str">
            <v>FETHI</v>
          </cell>
          <cell r="D446">
            <v>36143</v>
          </cell>
          <cell r="E446">
            <v>15.718001368925394</v>
          </cell>
        </row>
        <row r="447">
          <cell r="A447">
            <v>34328</v>
          </cell>
          <cell r="B447" t="str">
            <v>McKENZI-CARDY</v>
          </cell>
          <cell r="C447" t="str">
            <v>STEVEN</v>
          </cell>
          <cell r="D447">
            <v>36110</v>
          </cell>
          <cell r="E447">
            <v>15.808350444900753</v>
          </cell>
        </row>
        <row r="448">
          <cell r="A448">
            <v>65259</v>
          </cell>
          <cell r="B448" t="str">
            <v>ANI</v>
          </cell>
          <cell r="C448" t="str">
            <v>NAOMI (UYI-MORINOLA)</v>
          </cell>
          <cell r="D448">
            <v>36106</v>
          </cell>
          <cell r="E448">
            <v>15.819301848049282</v>
          </cell>
        </row>
        <row r="449">
          <cell r="A449">
            <v>138855</v>
          </cell>
          <cell r="B449" t="str">
            <v>NUNES</v>
          </cell>
          <cell r="C449" t="str">
            <v>GLODI</v>
          </cell>
          <cell r="D449">
            <v>36100</v>
          </cell>
          <cell r="E449">
            <v>15.835728952772074</v>
          </cell>
        </row>
        <row r="450">
          <cell r="A450">
            <v>65321</v>
          </cell>
          <cell r="B450" t="str">
            <v>RAYMOND</v>
          </cell>
          <cell r="C450" t="str">
            <v>KYLE</v>
          </cell>
          <cell r="D450">
            <v>36100</v>
          </cell>
          <cell r="E450">
            <v>15.835728952772074</v>
          </cell>
        </row>
        <row r="451">
          <cell r="A451">
            <v>157044</v>
          </cell>
          <cell r="B451" t="str">
            <v>TOWNSEND</v>
          </cell>
          <cell r="C451" t="str">
            <v>TOBY</v>
          </cell>
          <cell r="D451">
            <v>36098</v>
          </cell>
          <cell r="E451">
            <v>15.841204654346338</v>
          </cell>
        </row>
        <row r="452">
          <cell r="A452">
            <v>157205</v>
          </cell>
          <cell r="B452" t="str">
            <v>TOWNSEND</v>
          </cell>
          <cell r="C452" t="str">
            <v>THOMAS</v>
          </cell>
          <cell r="D452">
            <v>36098</v>
          </cell>
          <cell r="E452">
            <v>15.841204654346338</v>
          </cell>
        </row>
        <row r="453">
          <cell r="A453">
            <v>31871</v>
          </cell>
          <cell r="B453" t="str">
            <v>ELF</v>
          </cell>
          <cell r="C453" t="str">
            <v>YAFFA</v>
          </cell>
          <cell r="D453">
            <v>36094</v>
          </cell>
          <cell r="E453">
            <v>15.852156057494867</v>
          </cell>
        </row>
        <row r="454">
          <cell r="A454">
            <v>51167</v>
          </cell>
          <cell r="B454" t="str">
            <v>EPSTEIN</v>
          </cell>
          <cell r="C454" t="str">
            <v>JAMES</v>
          </cell>
          <cell r="D454">
            <v>36081</v>
          </cell>
          <cell r="E454">
            <v>15.887748117727584</v>
          </cell>
        </row>
        <row r="455">
          <cell r="A455">
            <v>34299</v>
          </cell>
          <cell r="B455" t="str">
            <v>PEARCE</v>
          </cell>
          <cell r="C455" t="str">
            <v>BRADLEY</v>
          </cell>
          <cell r="D455">
            <v>36078</v>
          </cell>
          <cell r="E455">
            <v>15.89596167008898</v>
          </cell>
        </row>
        <row r="456">
          <cell r="A456">
            <v>195485</v>
          </cell>
          <cell r="B456" t="str">
            <v>ARTAN</v>
          </cell>
          <cell r="C456" t="str">
            <v>FUAD</v>
          </cell>
          <cell r="D456">
            <v>36066</v>
          </cell>
          <cell r="E456">
            <v>15.928815879534566</v>
          </cell>
        </row>
        <row r="457">
          <cell r="A457">
            <v>38882</v>
          </cell>
          <cell r="B457" t="str">
            <v>RICHMAN</v>
          </cell>
          <cell r="C457" t="str">
            <v>ELIYAHU</v>
          </cell>
          <cell r="D457">
            <v>36056</v>
          </cell>
          <cell r="E457">
            <v>15.956194387405887</v>
          </cell>
        </row>
        <row r="458">
          <cell r="A458">
            <v>18972</v>
          </cell>
          <cell r="B458" t="str">
            <v>UNLE</v>
          </cell>
          <cell r="C458" t="str">
            <v>SULE</v>
          </cell>
          <cell r="D458">
            <v>36049</v>
          </cell>
          <cell r="E458">
            <v>15.975359342915811</v>
          </cell>
        </row>
        <row r="459">
          <cell r="A459">
            <v>33554</v>
          </cell>
          <cell r="B459" t="str">
            <v>TAYLOR JUKES</v>
          </cell>
          <cell r="C459" t="str">
            <v>ELLI</v>
          </cell>
          <cell r="D459">
            <v>36041</v>
          </cell>
          <cell r="E459">
            <v>15.997262149212867</v>
          </cell>
        </row>
        <row r="460">
          <cell r="A460">
            <v>32709</v>
          </cell>
          <cell r="B460" t="str">
            <v>SCHRANK</v>
          </cell>
          <cell r="C460" t="str">
            <v>ARONI</v>
          </cell>
          <cell r="D460">
            <v>36040</v>
          </cell>
          <cell r="E460">
            <v>16</v>
          </cell>
        </row>
        <row r="461">
          <cell r="A461">
            <v>63872</v>
          </cell>
          <cell r="B461" t="str">
            <v>BELL</v>
          </cell>
          <cell r="C461" t="str">
            <v>ANTONY</v>
          </cell>
          <cell r="D461">
            <v>36037</v>
          </cell>
          <cell r="E461">
            <v>16.008213552361397</v>
          </cell>
        </row>
        <row r="462">
          <cell r="A462">
            <v>66219</v>
          </cell>
          <cell r="B462" t="str">
            <v>OLIVER</v>
          </cell>
          <cell r="C462" t="str">
            <v>FABIENNE</v>
          </cell>
          <cell r="D462">
            <v>36033</v>
          </cell>
          <cell r="E462">
            <v>16.019164955509925</v>
          </cell>
        </row>
        <row r="463">
          <cell r="A463">
            <v>34745</v>
          </cell>
          <cell r="B463" t="str">
            <v>WOODS</v>
          </cell>
          <cell r="C463" t="str">
            <v>MATTHEW</v>
          </cell>
          <cell r="D463">
            <v>36031</v>
          </cell>
          <cell r="E463">
            <v>16.024640657084188</v>
          </cell>
        </row>
        <row r="464">
          <cell r="A464">
            <v>274592</v>
          </cell>
          <cell r="B464" t="str">
            <v>SUDDABY</v>
          </cell>
          <cell r="C464" t="str">
            <v>GEORGINA</v>
          </cell>
          <cell r="D464">
            <v>36027</v>
          </cell>
          <cell r="E464">
            <v>16.035592060232716</v>
          </cell>
        </row>
        <row r="465">
          <cell r="A465">
            <v>130369</v>
          </cell>
          <cell r="B465" t="str">
            <v>YASSIN</v>
          </cell>
          <cell r="C465" t="str">
            <v>HUSSEIN</v>
          </cell>
          <cell r="D465">
            <v>36010</v>
          </cell>
          <cell r="E465">
            <v>16.082135523613964</v>
          </cell>
        </row>
        <row r="466">
          <cell r="A466">
            <v>20871</v>
          </cell>
          <cell r="B466" t="str">
            <v>MIRAJ</v>
          </cell>
          <cell r="C466" t="str">
            <v>ZAYD</v>
          </cell>
          <cell r="D466">
            <v>36005</v>
          </cell>
          <cell r="E466">
            <v>16.095824777549623</v>
          </cell>
        </row>
        <row r="467">
          <cell r="A467">
            <v>72401</v>
          </cell>
          <cell r="B467" t="str">
            <v>MURPHY</v>
          </cell>
          <cell r="C467" t="str">
            <v>SEAN</v>
          </cell>
          <cell r="D467">
            <v>36003</v>
          </cell>
          <cell r="E467">
            <v>16.101300479123889</v>
          </cell>
        </row>
        <row r="468">
          <cell r="A468">
            <v>29022</v>
          </cell>
          <cell r="B468" t="str">
            <v>CREER</v>
          </cell>
          <cell r="C468" t="str">
            <v>MADISON</v>
          </cell>
          <cell r="D468">
            <v>35991</v>
          </cell>
          <cell r="E468">
            <v>16.134154688569474</v>
          </cell>
        </row>
        <row r="469">
          <cell r="A469">
            <v>24482</v>
          </cell>
          <cell r="B469" t="str">
            <v>MENDES</v>
          </cell>
          <cell r="C469" t="str">
            <v>EDGAR</v>
          </cell>
          <cell r="D469">
            <v>35980</v>
          </cell>
          <cell r="E469">
            <v>16.164271047227928</v>
          </cell>
        </row>
        <row r="470">
          <cell r="A470">
            <v>30096</v>
          </cell>
          <cell r="B470" t="str">
            <v>HUGHES</v>
          </cell>
          <cell r="C470" t="str">
            <v>EMILY</v>
          </cell>
          <cell r="D470">
            <v>35979</v>
          </cell>
          <cell r="E470">
            <v>16.167008898015059</v>
          </cell>
        </row>
        <row r="471">
          <cell r="A471">
            <v>49916</v>
          </cell>
          <cell r="B471" t="str">
            <v>MOUSA-NEJAD</v>
          </cell>
          <cell r="C471" t="str">
            <v>DANYAL</v>
          </cell>
          <cell r="D471">
            <v>35977</v>
          </cell>
          <cell r="E471">
            <v>16.172484599589321</v>
          </cell>
        </row>
        <row r="472">
          <cell r="A472">
            <v>79560</v>
          </cell>
          <cell r="B472" t="str">
            <v>HOWARD</v>
          </cell>
          <cell r="C472" t="str">
            <v>SAFIA</v>
          </cell>
          <cell r="D472">
            <v>35974</v>
          </cell>
          <cell r="E472">
            <v>16.180698151950718</v>
          </cell>
        </row>
        <row r="473">
          <cell r="A473">
            <v>65148</v>
          </cell>
          <cell r="B473" t="str">
            <v>CHWEIDAN</v>
          </cell>
          <cell r="C473" t="str">
            <v>JOEL</v>
          </cell>
          <cell r="D473">
            <v>35969</v>
          </cell>
          <cell r="E473">
            <v>16.194387405886378</v>
          </cell>
        </row>
        <row r="474">
          <cell r="A474">
            <v>24310</v>
          </cell>
          <cell r="B474" t="str">
            <v>NORMAN</v>
          </cell>
          <cell r="C474" t="str">
            <v>RYAN</v>
          </cell>
          <cell r="D474">
            <v>35966</v>
          </cell>
          <cell r="E474">
            <v>16.202600958247775</v>
          </cell>
        </row>
        <row r="475">
          <cell r="A475">
            <v>265041</v>
          </cell>
          <cell r="B475" t="str">
            <v>CAINE</v>
          </cell>
          <cell r="C475" t="str">
            <v>KAIRO</v>
          </cell>
          <cell r="D475">
            <v>35959</v>
          </cell>
          <cell r="E475">
            <v>16.2217659137577</v>
          </cell>
        </row>
        <row r="476">
          <cell r="A476">
            <v>49269</v>
          </cell>
          <cell r="B476" t="str">
            <v>SALIM</v>
          </cell>
          <cell r="C476" t="str">
            <v>KADIJAH</v>
          </cell>
          <cell r="D476">
            <v>35958</v>
          </cell>
          <cell r="E476">
            <v>16.224503764544831</v>
          </cell>
        </row>
        <row r="477">
          <cell r="A477"/>
          <cell r="B477" t="str">
            <v>Teixeira</v>
          </cell>
          <cell r="C477" t="str">
            <v>Fabio</v>
          </cell>
          <cell r="D477">
            <v>35956</v>
          </cell>
          <cell r="E477">
            <v>16.229979466119097</v>
          </cell>
        </row>
        <row r="478">
          <cell r="A478">
            <v>172939</v>
          </cell>
          <cell r="B478" t="str">
            <v>TAMS-LOVELL</v>
          </cell>
          <cell r="C478" t="str">
            <v>JORDAN</v>
          </cell>
          <cell r="D478">
            <v>35946</v>
          </cell>
          <cell r="E478">
            <v>16.257357973990416</v>
          </cell>
        </row>
        <row r="479">
          <cell r="A479">
            <v>16609</v>
          </cell>
          <cell r="B479" t="str">
            <v>INCE</v>
          </cell>
          <cell r="C479" t="str">
            <v>REBECCA</v>
          </cell>
          <cell r="D479">
            <v>35942</v>
          </cell>
          <cell r="E479">
            <v>16.268309377138944</v>
          </cell>
        </row>
        <row r="480">
          <cell r="A480">
            <v>19674</v>
          </cell>
          <cell r="B480" t="str">
            <v>BOTTERY</v>
          </cell>
          <cell r="C480" t="str">
            <v>THOMAS</v>
          </cell>
          <cell r="D480">
            <v>35941</v>
          </cell>
          <cell r="E480">
            <v>16.271047227926079</v>
          </cell>
        </row>
        <row r="481">
          <cell r="A481">
            <v>264881</v>
          </cell>
          <cell r="B481" t="str">
            <v>GHADIRIAN</v>
          </cell>
          <cell r="C481" t="str">
            <v>AMIR</v>
          </cell>
          <cell r="D481">
            <v>35940</v>
          </cell>
          <cell r="E481">
            <v>16.27378507871321</v>
          </cell>
        </row>
        <row r="482">
          <cell r="A482">
            <v>29203</v>
          </cell>
          <cell r="B482" t="str">
            <v>AKWAEZE</v>
          </cell>
          <cell r="C482" t="str">
            <v>DAVID</v>
          </cell>
          <cell r="D482">
            <v>35935</v>
          </cell>
          <cell r="E482">
            <v>16.28747433264887</v>
          </cell>
        </row>
        <row r="483">
          <cell r="A483">
            <v>20360</v>
          </cell>
          <cell r="B483" t="str">
            <v>AKKOUCHE</v>
          </cell>
          <cell r="C483" t="str">
            <v>SAMMY</v>
          </cell>
          <cell r="D483">
            <v>35933</v>
          </cell>
          <cell r="E483">
            <v>16.292950034223136</v>
          </cell>
        </row>
        <row r="484">
          <cell r="A484">
            <v>21550</v>
          </cell>
          <cell r="B484" t="str">
            <v>KAO</v>
          </cell>
          <cell r="C484" t="str">
            <v>JADE</v>
          </cell>
          <cell r="D484">
            <v>35932</v>
          </cell>
          <cell r="E484">
            <v>16.295687885010267</v>
          </cell>
        </row>
        <row r="485">
          <cell r="A485">
            <v>66042</v>
          </cell>
          <cell r="B485" t="str">
            <v>GRIFFITH-POLLACK</v>
          </cell>
          <cell r="C485" t="str">
            <v>SHANE</v>
          </cell>
          <cell r="D485">
            <v>35928</v>
          </cell>
          <cell r="E485">
            <v>16.306639288158795</v>
          </cell>
        </row>
        <row r="486">
          <cell r="A486">
            <v>35773</v>
          </cell>
          <cell r="B486" t="str">
            <v>SHAMIA</v>
          </cell>
          <cell r="C486" t="str">
            <v>SAMMY</v>
          </cell>
          <cell r="D486">
            <v>35922</v>
          </cell>
          <cell r="E486">
            <v>16.323066392881589</v>
          </cell>
        </row>
        <row r="487">
          <cell r="A487">
            <v>199316</v>
          </cell>
          <cell r="B487" t="str">
            <v>MEHMET</v>
          </cell>
          <cell r="C487" t="str">
            <v>ERAL</v>
          </cell>
          <cell r="D487">
            <v>35922</v>
          </cell>
          <cell r="E487">
            <v>16.323066392881589</v>
          </cell>
        </row>
        <row r="488">
          <cell r="A488">
            <v>17215</v>
          </cell>
          <cell r="B488" t="str">
            <v>HARMAN</v>
          </cell>
          <cell r="C488" t="str">
            <v>MASON</v>
          </cell>
          <cell r="D488">
            <v>35915</v>
          </cell>
          <cell r="E488">
            <v>16.342231348391511</v>
          </cell>
        </row>
        <row r="489">
          <cell r="A489">
            <v>103582</v>
          </cell>
          <cell r="B489" t="str">
            <v>DEUTSCH</v>
          </cell>
          <cell r="C489" t="str">
            <v>YEHUDA</v>
          </cell>
          <cell r="D489">
            <v>35913</v>
          </cell>
          <cell r="E489">
            <v>16.347707049965777</v>
          </cell>
        </row>
        <row r="490">
          <cell r="A490">
            <v>22047</v>
          </cell>
          <cell r="B490" t="str">
            <v>GIOVANELLI</v>
          </cell>
          <cell r="C490" t="str">
            <v>AMELIA</v>
          </cell>
          <cell r="D490">
            <v>35911</v>
          </cell>
          <cell r="E490">
            <v>16.353182751540039</v>
          </cell>
        </row>
        <row r="491">
          <cell r="A491">
            <v>51189</v>
          </cell>
          <cell r="B491" t="str">
            <v xml:space="preserve">RAMAZANZADEH  </v>
          </cell>
          <cell r="C491" t="str">
            <v>SHIRIN</v>
          </cell>
          <cell r="D491">
            <v>35909</v>
          </cell>
          <cell r="E491">
            <v>16.358658453114305</v>
          </cell>
        </row>
        <row r="492">
          <cell r="A492">
            <v>29044</v>
          </cell>
          <cell r="B492" t="str">
            <v>GIBSON</v>
          </cell>
          <cell r="C492" t="str">
            <v>HARRIET</v>
          </cell>
          <cell r="D492">
            <v>35908</v>
          </cell>
          <cell r="E492">
            <v>16.361396303901437</v>
          </cell>
        </row>
        <row r="493">
          <cell r="A493">
            <v>65093</v>
          </cell>
          <cell r="B493" t="str">
            <v>ATTAN</v>
          </cell>
          <cell r="C493" t="str">
            <v>RAPHAEL</v>
          </cell>
          <cell r="D493">
            <v>35908</v>
          </cell>
          <cell r="E493">
            <v>16.361396303901437</v>
          </cell>
        </row>
        <row r="494">
          <cell r="A494">
            <v>134599</v>
          </cell>
          <cell r="B494" t="str">
            <v>BAXTER</v>
          </cell>
          <cell r="C494" t="str">
            <v>SAMUEL</v>
          </cell>
          <cell r="D494">
            <v>35905</v>
          </cell>
          <cell r="E494">
            <v>16.369609856262834</v>
          </cell>
        </row>
        <row r="495">
          <cell r="A495">
            <v>8294</v>
          </cell>
          <cell r="B495" t="str">
            <v>ELLIS</v>
          </cell>
          <cell r="C495" t="str">
            <v>SANJIF(SANJAY)</v>
          </cell>
          <cell r="D495">
            <v>35905</v>
          </cell>
          <cell r="E495">
            <v>16.369609856262834</v>
          </cell>
        </row>
        <row r="496">
          <cell r="A496">
            <v>65392</v>
          </cell>
          <cell r="B496" t="str">
            <v>GOLDSCHMIDT</v>
          </cell>
          <cell r="C496" t="str">
            <v>ELIEZER</v>
          </cell>
          <cell r="D496">
            <v>35903</v>
          </cell>
          <cell r="E496">
            <v>16.3750855578371</v>
          </cell>
        </row>
        <row r="497">
          <cell r="A497">
            <v>21525</v>
          </cell>
          <cell r="B497" t="str">
            <v>GARDNER</v>
          </cell>
          <cell r="C497" t="str">
            <v>BENJAMIN</v>
          </cell>
          <cell r="D497">
            <v>35900</v>
          </cell>
          <cell r="E497">
            <v>16.383299110198493</v>
          </cell>
        </row>
        <row r="498">
          <cell r="A498">
            <v>134485</v>
          </cell>
          <cell r="B498" t="str">
            <v>WESTBROEK</v>
          </cell>
          <cell r="C498" t="str">
            <v>LEON</v>
          </cell>
          <cell r="D498">
            <v>35895</v>
          </cell>
          <cell r="E498">
            <v>16.396988364134156</v>
          </cell>
        </row>
        <row r="499">
          <cell r="A499">
            <v>134485</v>
          </cell>
          <cell r="B499" t="str">
            <v>WESTBROEK</v>
          </cell>
          <cell r="C499" t="str">
            <v>LEONIE</v>
          </cell>
          <cell r="D499">
            <v>35895</v>
          </cell>
          <cell r="E499">
            <v>16.396988364134156</v>
          </cell>
        </row>
        <row r="500">
          <cell r="A500">
            <v>19544</v>
          </cell>
          <cell r="B500" t="str">
            <v>HULL</v>
          </cell>
          <cell r="C500" t="str">
            <v>JOSHUA</v>
          </cell>
          <cell r="D500">
            <v>35891</v>
          </cell>
          <cell r="E500">
            <v>16.407939767282684</v>
          </cell>
        </row>
        <row r="501">
          <cell r="A501">
            <v>111537</v>
          </cell>
          <cell r="B501" t="str">
            <v>SHERMAN</v>
          </cell>
          <cell r="C501" t="str">
            <v>AVISHAI</v>
          </cell>
          <cell r="D501">
            <v>35888</v>
          </cell>
          <cell r="E501">
            <v>16.416153319644078</v>
          </cell>
        </row>
        <row r="502">
          <cell r="A502">
            <v>18255</v>
          </cell>
          <cell r="B502" t="str">
            <v>SHAPIRO</v>
          </cell>
          <cell r="C502" t="str">
            <v>DANIEL</v>
          </cell>
          <cell r="D502">
            <v>35888</v>
          </cell>
          <cell r="E502">
            <v>16.416153319644078</v>
          </cell>
        </row>
        <row r="503">
          <cell r="A503">
            <v>22868</v>
          </cell>
          <cell r="B503" t="str">
            <v>EFEY</v>
          </cell>
          <cell r="C503" t="str">
            <v>RYAN</v>
          </cell>
          <cell r="D503">
            <v>35882</v>
          </cell>
          <cell r="E503">
            <v>16.432580424366872</v>
          </cell>
        </row>
        <row r="504">
          <cell r="A504">
            <v>17952</v>
          </cell>
          <cell r="B504" t="str">
            <v>OPOLO</v>
          </cell>
          <cell r="C504" t="str">
            <v>NICHOLAS</v>
          </cell>
          <cell r="D504">
            <v>35880</v>
          </cell>
          <cell r="E504">
            <v>16.438056125941138</v>
          </cell>
        </row>
        <row r="505">
          <cell r="A505">
            <v>37227</v>
          </cell>
          <cell r="B505" t="str">
            <v>SENEVIRATNE</v>
          </cell>
          <cell r="C505" t="str">
            <v>OLIVER</v>
          </cell>
          <cell r="D505">
            <v>35880</v>
          </cell>
          <cell r="E505">
            <v>16.438056125941138</v>
          </cell>
        </row>
        <row r="506">
          <cell r="A506">
            <v>200017</v>
          </cell>
          <cell r="B506" t="str">
            <v>CLAIR</v>
          </cell>
          <cell r="C506" t="str">
            <v>PELLE</v>
          </cell>
          <cell r="D506">
            <v>35877</v>
          </cell>
          <cell r="E506">
            <v>16.446269678302532</v>
          </cell>
        </row>
        <row r="507">
          <cell r="A507">
            <v>200530</v>
          </cell>
          <cell r="B507" t="str">
            <v>AL-ZUWAYDEE</v>
          </cell>
          <cell r="C507" t="str">
            <v>SARAH</v>
          </cell>
          <cell r="D507">
            <v>35871</v>
          </cell>
          <cell r="E507">
            <v>16.462696783025326</v>
          </cell>
        </row>
        <row r="508">
          <cell r="A508">
            <v>18889</v>
          </cell>
          <cell r="B508" t="str">
            <v>KNIGHT</v>
          </cell>
          <cell r="C508" t="str">
            <v>SHANNON</v>
          </cell>
          <cell r="D508">
            <v>35871</v>
          </cell>
          <cell r="E508">
            <v>16.462696783025326</v>
          </cell>
        </row>
        <row r="509">
          <cell r="A509">
            <v>148740</v>
          </cell>
          <cell r="B509" t="str">
            <v>MCKENDRY-BROWN</v>
          </cell>
          <cell r="C509" t="str">
            <v>CAMERON</v>
          </cell>
          <cell r="D509">
            <v>35870</v>
          </cell>
          <cell r="E509">
            <v>16.465434633812457</v>
          </cell>
        </row>
        <row r="510">
          <cell r="A510">
            <v>23352</v>
          </cell>
          <cell r="B510" t="str">
            <v>GARVEY</v>
          </cell>
          <cell r="C510" t="str">
            <v>HARRY</v>
          </cell>
          <cell r="D510">
            <v>35860</v>
          </cell>
          <cell r="E510">
            <v>16.492813141683779</v>
          </cell>
        </row>
        <row r="511">
          <cell r="A511">
            <v>8468</v>
          </cell>
          <cell r="B511" t="str">
            <v>WILSON</v>
          </cell>
          <cell r="C511" t="str">
            <v>NICHOLAS</v>
          </cell>
          <cell r="D511">
            <v>35852</v>
          </cell>
          <cell r="E511">
            <v>16.514715947980836</v>
          </cell>
        </row>
        <row r="512">
          <cell r="A512">
            <v>218015</v>
          </cell>
          <cell r="B512" t="str">
            <v>WILLIS</v>
          </cell>
          <cell r="C512" t="str">
            <v>KEVOY</v>
          </cell>
          <cell r="D512">
            <v>35849</v>
          </cell>
          <cell r="E512">
            <v>16.522929500342233</v>
          </cell>
        </row>
        <row r="513">
          <cell r="A513">
            <v>190710</v>
          </cell>
          <cell r="B513" t="str">
            <v>MORRIS</v>
          </cell>
          <cell r="C513" t="str">
            <v>SHLOMO-ZALMAN</v>
          </cell>
          <cell r="D513">
            <v>35846</v>
          </cell>
          <cell r="E513">
            <v>16.531143052703626</v>
          </cell>
        </row>
        <row r="514">
          <cell r="A514">
            <v>81333</v>
          </cell>
          <cell r="B514" t="str">
            <v>ROSS</v>
          </cell>
          <cell r="C514" t="str">
            <v>RONAK</v>
          </cell>
          <cell r="D514">
            <v>35839</v>
          </cell>
          <cell r="E514">
            <v>16.550308008213552</v>
          </cell>
        </row>
        <row r="515">
          <cell r="A515">
            <v>17315</v>
          </cell>
          <cell r="B515" t="str">
            <v>PACKENHAM-BEHAN</v>
          </cell>
          <cell r="C515" t="str">
            <v>IEUAN</v>
          </cell>
          <cell r="D515">
            <v>35826</v>
          </cell>
          <cell r="E515">
            <v>16.585900068446271</v>
          </cell>
        </row>
        <row r="516">
          <cell r="A516">
            <v>65220</v>
          </cell>
          <cell r="B516" t="str">
            <v>GERRARD</v>
          </cell>
          <cell r="C516" t="str">
            <v>FREDDIE</v>
          </cell>
          <cell r="D516">
            <v>35823</v>
          </cell>
          <cell r="E516">
            <v>16.594113620807665</v>
          </cell>
        </row>
        <row r="517">
          <cell r="A517">
            <v>30639</v>
          </cell>
          <cell r="B517" t="str">
            <v>COHEN</v>
          </cell>
          <cell r="C517" t="str">
            <v>MATTISYOHU</v>
          </cell>
          <cell r="D517">
            <v>35820</v>
          </cell>
          <cell r="E517">
            <v>16.602327173169062</v>
          </cell>
        </row>
        <row r="518">
          <cell r="A518">
            <v>64923</v>
          </cell>
          <cell r="B518" t="str">
            <v>CHILON</v>
          </cell>
          <cell r="C518" t="str">
            <v>MARTIN</v>
          </cell>
          <cell r="D518">
            <v>35818</v>
          </cell>
          <cell r="E518">
            <v>16.607802874743328</v>
          </cell>
        </row>
        <row r="519">
          <cell r="A519">
            <v>283562</v>
          </cell>
          <cell r="B519" t="str">
            <v>ELLIS</v>
          </cell>
          <cell r="C519" t="str">
            <v>DANIELLE</v>
          </cell>
          <cell r="D519">
            <v>35804</v>
          </cell>
          <cell r="E519">
            <v>16.646132785763175</v>
          </cell>
        </row>
        <row r="520">
          <cell r="A520">
            <v>69691</v>
          </cell>
          <cell r="B520" t="str">
            <v>COHEN</v>
          </cell>
          <cell r="C520" t="str">
            <v>JAMIE</v>
          </cell>
          <cell r="D520">
            <v>35804</v>
          </cell>
          <cell r="E520">
            <v>16.646132785763175</v>
          </cell>
        </row>
        <row r="521">
          <cell r="A521">
            <v>51246</v>
          </cell>
          <cell r="B521" t="str">
            <v>ZOLFAGHARI</v>
          </cell>
          <cell r="C521" t="str">
            <v>BABAK</v>
          </cell>
          <cell r="D521">
            <v>35793</v>
          </cell>
          <cell r="E521">
            <v>16.676249144421629</v>
          </cell>
        </row>
        <row r="522">
          <cell r="A522">
            <v>36527</v>
          </cell>
          <cell r="B522" t="str">
            <v>MOHAMMADI</v>
          </cell>
          <cell r="C522" t="str">
            <v>NIKOU</v>
          </cell>
          <cell r="D522">
            <v>35787</v>
          </cell>
          <cell r="E522">
            <v>16.692676249144423</v>
          </cell>
        </row>
        <row r="523">
          <cell r="A523">
            <v>163862</v>
          </cell>
          <cell r="B523" t="str">
            <v>LAKHANI</v>
          </cell>
          <cell r="C523" t="str">
            <v>ABHISHEK</v>
          </cell>
          <cell r="D523">
            <v>35778</v>
          </cell>
          <cell r="E523">
            <v>16.717316906228611</v>
          </cell>
        </row>
        <row r="524">
          <cell r="A524">
            <v>36619</v>
          </cell>
          <cell r="B524" t="str">
            <v>SMITH</v>
          </cell>
          <cell r="C524" t="str">
            <v>LUKE</v>
          </cell>
          <cell r="D524">
            <v>35777</v>
          </cell>
          <cell r="E524">
            <v>16.720054757015742</v>
          </cell>
        </row>
        <row r="525">
          <cell r="A525">
            <v>19538</v>
          </cell>
          <cell r="B525" t="str">
            <v>HABIB</v>
          </cell>
          <cell r="C525" t="str">
            <v>ISMAIL</v>
          </cell>
          <cell r="D525">
            <v>35762</v>
          </cell>
          <cell r="E525">
            <v>16.761122518822724</v>
          </cell>
        </row>
        <row r="526">
          <cell r="A526">
            <v>64883</v>
          </cell>
          <cell r="B526" t="str">
            <v xml:space="preserve">DEVALIA </v>
          </cell>
          <cell r="C526" t="str">
            <v>MEERA</v>
          </cell>
          <cell r="D526">
            <v>35757</v>
          </cell>
          <cell r="E526">
            <v>16.774811772758383</v>
          </cell>
        </row>
        <row r="527">
          <cell r="A527">
            <v>51199</v>
          </cell>
          <cell r="B527" t="str">
            <v>WINEMAN</v>
          </cell>
          <cell r="C527" t="str">
            <v>JOSHUA</v>
          </cell>
          <cell r="D527">
            <v>35754</v>
          </cell>
          <cell r="E527">
            <v>16.78302532511978</v>
          </cell>
        </row>
        <row r="528">
          <cell r="A528">
            <v>36497</v>
          </cell>
          <cell r="B528" t="str">
            <v>LAING</v>
          </cell>
          <cell r="C528" t="str">
            <v>CHELSEA</v>
          </cell>
          <cell r="D528">
            <v>35753</v>
          </cell>
          <cell r="E528">
            <v>16.785763175906911</v>
          </cell>
        </row>
        <row r="529">
          <cell r="A529">
            <v>33137</v>
          </cell>
          <cell r="B529" t="str">
            <v>RUTMAN</v>
          </cell>
          <cell r="C529" t="str">
            <v>SOSHA</v>
          </cell>
          <cell r="D529">
            <v>35750</v>
          </cell>
          <cell r="E529">
            <v>16.793976728268309</v>
          </cell>
        </row>
        <row r="530">
          <cell r="A530">
            <v>68694</v>
          </cell>
          <cell r="B530" t="str">
            <v>COOPER</v>
          </cell>
          <cell r="C530" t="str">
            <v>BRANDON</v>
          </cell>
          <cell r="D530">
            <v>35744</v>
          </cell>
          <cell r="E530">
            <v>16.810403832991103</v>
          </cell>
        </row>
        <row r="531">
          <cell r="A531">
            <v>48509</v>
          </cell>
          <cell r="B531" t="str">
            <v>FREUD</v>
          </cell>
          <cell r="C531" t="str">
            <v>JORDAN</v>
          </cell>
          <cell r="D531">
            <v>35742</v>
          </cell>
          <cell r="E531">
            <v>16.815879534565365</v>
          </cell>
        </row>
        <row r="532">
          <cell r="A532">
            <v>48500</v>
          </cell>
          <cell r="B532" t="str">
            <v>EDMONDSON</v>
          </cell>
          <cell r="C532" t="str">
            <v>MAY</v>
          </cell>
          <cell r="D532">
            <v>35741</v>
          </cell>
          <cell r="E532">
            <v>16.8186173853525</v>
          </cell>
        </row>
        <row r="533">
          <cell r="A533">
            <v>65362</v>
          </cell>
          <cell r="B533" t="str">
            <v>ELLIOTT</v>
          </cell>
          <cell r="C533" t="str">
            <v>CAMERON</v>
          </cell>
          <cell r="D533">
            <v>35738</v>
          </cell>
          <cell r="E533">
            <v>16.826830937713893</v>
          </cell>
        </row>
        <row r="534">
          <cell r="A534">
            <v>8000</v>
          </cell>
          <cell r="B534" t="str">
            <v>STACEY</v>
          </cell>
          <cell r="C534" t="str">
            <v>LEE</v>
          </cell>
          <cell r="D534">
            <v>35733</v>
          </cell>
          <cell r="E534">
            <v>16.840520191649556</v>
          </cell>
        </row>
        <row r="535">
          <cell r="A535">
            <v>275154</v>
          </cell>
          <cell r="B535" t="str">
            <v>YADGARI</v>
          </cell>
          <cell r="C535" t="str">
            <v>MAKEEZA</v>
          </cell>
          <cell r="D535">
            <v>35729</v>
          </cell>
          <cell r="E535">
            <v>16.851471594798085</v>
          </cell>
        </row>
        <row r="536">
          <cell r="A536">
            <v>72438</v>
          </cell>
          <cell r="B536" t="str">
            <v>THOMPSON-VIDAL</v>
          </cell>
          <cell r="C536" t="str">
            <v>JEMIMA</v>
          </cell>
          <cell r="D536">
            <v>35723</v>
          </cell>
          <cell r="E536">
            <v>16.867898699520875</v>
          </cell>
        </row>
        <row r="537">
          <cell r="A537">
            <v>24323</v>
          </cell>
          <cell r="B537" t="str">
            <v>REES</v>
          </cell>
          <cell r="C537" t="str">
            <v>CHRISTOPHER</v>
          </cell>
          <cell r="D537">
            <v>35720</v>
          </cell>
          <cell r="E537">
            <v>16.876112251882272</v>
          </cell>
        </row>
        <row r="538">
          <cell r="A538">
            <v>65016</v>
          </cell>
          <cell r="B538" t="str">
            <v>CYNAMON</v>
          </cell>
          <cell r="C538" t="str">
            <v>ELISSA</v>
          </cell>
          <cell r="D538">
            <v>35712</v>
          </cell>
          <cell r="E538">
            <v>16.898015058179329</v>
          </cell>
        </row>
        <row r="539">
          <cell r="A539">
            <v>20959</v>
          </cell>
          <cell r="B539" t="str">
            <v>SILIS</v>
          </cell>
          <cell r="C539" t="str">
            <v>ALEXANDER</v>
          </cell>
          <cell r="D539">
            <v>35701</v>
          </cell>
          <cell r="E539">
            <v>16.928131416837783</v>
          </cell>
        </row>
        <row r="540">
          <cell r="A540">
            <v>34813</v>
          </cell>
          <cell r="B540" t="str">
            <v>SILIS</v>
          </cell>
          <cell r="C540" t="str">
            <v>BENJAMIN</v>
          </cell>
          <cell r="D540">
            <v>35701</v>
          </cell>
          <cell r="E540">
            <v>16.928131416837783</v>
          </cell>
        </row>
        <row r="541">
          <cell r="A541">
            <v>51154</v>
          </cell>
          <cell r="B541" t="str">
            <v>BALOGUN</v>
          </cell>
          <cell r="C541" t="str">
            <v>OLUSEGUN</v>
          </cell>
          <cell r="D541">
            <v>35693</v>
          </cell>
          <cell r="E541">
            <v>16.950034223134839</v>
          </cell>
        </row>
        <row r="542">
          <cell r="A542">
            <v>274468</v>
          </cell>
          <cell r="B542" t="str">
            <v>KURD</v>
          </cell>
          <cell r="C542" t="str">
            <v>MAHNOOR</v>
          </cell>
          <cell r="D542">
            <v>35692</v>
          </cell>
          <cell r="E542">
            <v>16.95277207392197</v>
          </cell>
        </row>
        <row r="543">
          <cell r="A543">
            <v>30527</v>
          </cell>
          <cell r="B543" t="str">
            <v>RASHTI</v>
          </cell>
          <cell r="C543" t="str">
            <v>JONATHAN</v>
          </cell>
          <cell r="D543">
            <v>35691</v>
          </cell>
          <cell r="E543">
            <v>16.955509924709105</v>
          </cell>
        </row>
        <row r="544">
          <cell r="A544">
            <v>27808</v>
          </cell>
          <cell r="B544" t="str">
            <v>O'CONNELL</v>
          </cell>
          <cell r="C544" t="str">
            <v>JAMES</v>
          </cell>
          <cell r="D544">
            <v>35690</v>
          </cell>
          <cell r="E544">
            <v>16.958247775496236</v>
          </cell>
        </row>
        <row r="545">
          <cell r="A545">
            <v>19860</v>
          </cell>
          <cell r="B545" t="str">
            <v>SMITH</v>
          </cell>
          <cell r="C545" t="str">
            <v>EDWARD</v>
          </cell>
          <cell r="D545">
            <v>35685</v>
          </cell>
          <cell r="E545">
            <v>16.971937029431896</v>
          </cell>
        </row>
        <row r="546">
          <cell r="A546">
            <v>65395</v>
          </cell>
          <cell r="B546" t="str">
            <v>MACLEOD</v>
          </cell>
          <cell r="C546" t="str">
            <v>JOHN</v>
          </cell>
          <cell r="D546">
            <v>35684</v>
          </cell>
          <cell r="E546">
            <v>16.974674880219027</v>
          </cell>
        </row>
        <row r="547">
          <cell r="A547">
            <v>79238</v>
          </cell>
          <cell r="B547" t="str">
            <v>ALARAJI</v>
          </cell>
          <cell r="C547" t="str">
            <v>MOHAMMED</v>
          </cell>
          <cell r="D547">
            <v>35682</v>
          </cell>
          <cell r="E547">
            <v>16.980150581793293</v>
          </cell>
        </row>
        <row r="548">
          <cell r="A548">
            <v>286035</v>
          </cell>
          <cell r="B548" t="str">
            <v>GHERSON</v>
          </cell>
          <cell r="C548" t="str">
            <v>JACOB</v>
          </cell>
          <cell r="D548">
            <v>35678</v>
          </cell>
          <cell r="E548">
            <v>16.991101984941821</v>
          </cell>
        </row>
        <row r="549">
          <cell r="A549">
            <v>195681</v>
          </cell>
          <cell r="B549" t="str">
            <v>GHANI</v>
          </cell>
          <cell r="C549" t="str">
            <v>WALI</v>
          </cell>
          <cell r="D549">
            <v>35678</v>
          </cell>
          <cell r="E549">
            <v>16.991101984941821</v>
          </cell>
        </row>
        <row r="550">
          <cell r="A550">
            <v>24233</v>
          </cell>
          <cell r="B550" t="str">
            <v>KAYA</v>
          </cell>
          <cell r="C550" t="str">
            <v>TAMMY</v>
          </cell>
          <cell r="D550">
            <v>35676</v>
          </cell>
          <cell r="E550">
            <v>16.996577686516083</v>
          </cell>
        </row>
        <row r="551">
          <cell r="A551">
            <v>22439</v>
          </cell>
          <cell r="B551" t="str">
            <v>HALL</v>
          </cell>
          <cell r="C551" t="str">
            <v>DAHRIA</v>
          </cell>
          <cell r="D551">
            <v>35676</v>
          </cell>
          <cell r="E551">
            <v>16.996577686516083</v>
          </cell>
        </row>
        <row r="552">
          <cell r="A552">
            <v>30055</v>
          </cell>
          <cell r="B552" t="str">
            <v>FERNANDO</v>
          </cell>
          <cell r="C552" t="str">
            <v>ROSHAN</v>
          </cell>
          <cell r="D552">
            <v>35672</v>
          </cell>
          <cell r="E552">
            <v>17.007529089664612</v>
          </cell>
        </row>
        <row r="553">
          <cell r="A553">
            <v>269917</v>
          </cell>
          <cell r="B553" t="str">
            <v>RAMRECHA</v>
          </cell>
          <cell r="C553" t="str">
            <v>REEYANA</v>
          </cell>
          <cell r="D553">
            <v>35661</v>
          </cell>
          <cell r="E553">
            <v>17.037645448323065</v>
          </cell>
        </row>
        <row r="554">
          <cell r="A554">
            <v>149449</v>
          </cell>
          <cell r="B554" t="str">
            <v>MOSKOVITZ</v>
          </cell>
          <cell r="C554" t="str">
            <v>MAAYAN</v>
          </cell>
          <cell r="D554">
            <v>35660</v>
          </cell>
          <cell r="E554">
            <v>17.0403832991102</v>
          </cell>
        </row>
        <row r="555">
          <cell r="A555">
            <v>28283</v>
          </cell>
          <cell r="B555" t="str">
            <v>VOGT-VINCENT</v>
          </cell>
          <cell r="C555" t="str">
            <v>NOAM</v>
          </cell>
          <cell r="D555">
            <v>35658</v>
          </cell>
          <cell r="E555">
            <v>17.045859000684462</v>
          </cell>
        </row>
        <row r="556">
          <cell r="A556">
            <v>170014</v>
          </cell>
          <cell r="B556" t="str">
            <v>AKAGBOSU</v>
          </cell>
          <cell r="C556" t="str">
            <v>CHINONSO</v>
          </cell>
          <cell r="D556">
            <v>35651</v>
          </cell>
          <cell r="E556">
            <v>17.065023956194388</v>
          </cell>
        </row>
        <row r="557">
          <cell r="A557">
            <v>24437</v>
          </cell>
          <cell r="B557" t="str">
            <v>FREEMAN</v>
          </cell>
          <cell r="C557" t="str">
            <v>TIMOTHY</v>
          </cell>
          <cell r="D557">
            <v>35647</v>
          </cell>
          <cell r="E557">
            <v>17.075975359342916</v>
          </cell>
        </row>
        <row r="558">
          <cell r="A558">
            <v>49568</v>
          </cell>
          <cell r="B558" t="str">
            <v>REDMAN</v>
          </cell>
          <cell r="C558" t="str">
            <v>EDWARD</v>
          </cell>
          <cell r="D558">
            <v>35645</v>
          </cell>
          <cell r="E558">
            <v>17.081451060917178</v>
          </cell>
        </row>
        <row r="559">
          <cell r="A559">
            <v>201052</v>
          </cell>
          <cell r="B559" t="str">
            <v>SINGH</v>
          </cell>
          <cell r="C559" t="str">
            <v>GOVIND</v>
          </cell>
          <cell r="D559">
            <v>35632</v>
          </cell>
          <cell r="E559">
            <v>17.117043121149898</v>
          </cell>
        </row>
        <row r="560">
          <cell r="A560">
            <v>34790</v>
          </cell>
          <cell r="B560" t="str">
            <v>HUTCHINSON</v>
          </cell>
          <cell r="C560" t="str">
            <v>DARIUS</v>
          </cell>
          <cell r="D560">
            <v>35632</v>
          </cell>
          <cell r="E560">
            <v>17.117043121149898</v>
          </cell>
        </row>
        <row r="561">
          <cell r="A561">
            <v>247352</v>
          </cell>
          <cell r="B561" t="str">
            <v>LAWTON</v>
          </cell>
          <cell r="C561" t="str">
            <v>PERRY</v>
          </cell>
          <cell r="D561">
            <v>35632</v>
          </cell>
          <cell r="E561">
            <v>17.117043121149898</v>
          </cell>
        </row>
        <row r="562">
          <cell r="A562">
            <v>63876</v>
          </cell>
          <cell r="B562" t="str">
            <v>ESMAILI</v>
          </cell>
          <cell r="C562" t="str">
            <v>SINA</v>
          </cell>
          <cell r="D562">
            <v>35631</v>
          </cell>
          <cell r="E562">
            <v>17.119780971937029</v>
          </cell>
        </row>
        <row r="563">
          <cell r="A563">
            <v>72807</v>
          </cell>
          <cell r="B563" t="str">
            <v>GREENE</v>
          </cell>
          <cell r="C563" t="str">
            <v>JAMES</v>
          </cell>
          <cell r="D563">
            <v>35626</v>
          </cell>
          <cell r="E563">
            <v>17.133470225872689</v>
          </cell>
        </row>
        <row r="564">
          <cell r="A564">
            <v>19751</v>
          </cell>
          <cell r="B564" t="str">
            <v>HENSHAW</v>
          </cell>
          <cell r="C564" t="str">
            <v>RICHARD</v>
          </cell>
          <cell r="D564">
            <v>35607</v>
          </cell>
          <cell r="E564">
            <v>17.185489390828199</v>
          </cell>
        </row>
        <row r="565">
          <cell r="A565">
            <v>16151</v>
          </cell>
          <cell r="B565" t="str">
            <v>MORGAN WILLIAMS</v>
          </cell>
          <cell r="C565" t="str">
            <v>KAFELE</v>
          </cell>
          <cell r="D565">
            <v>35605</v>
          </cell>
          <cell r="E565">
            <v>17.190965092402465</v>
          </cell>
        </row>
        <row r="566">
          <cell r="A566">
            <v>23015</v>
          </cell>
          <cell r="B566" t="str">
            <v>OGBE</v>
          </cell>
          <cell r="C566" t="str">
            <v>CHANTE</v>
          </cell>
          <cell r="D566">
            <v>35602</v>
          </cell>
          <cell r="E566">
            <v>17.199178644763862</v>
          </cell>
        </row>
        <row r="567">
          <cell r="A567">
            <v>19703</v>
          </cell>
          <cell r="B567" t="str">
            <v>OAKLEY DARWIN</v>
          </cell>
          <cell r="C567" t="str">
            <v>MIRANDA</v>
          </cell>
          <cell r="D567">
            <v>35586</v>
          </cell>
          <cell r="E567">
            <v>17.242984257357975</v>
          </cell>
        </row>
        <row r="568">
          <cell r="A568">
            <v>35205</v>
          </cell>
          <cell r="B568" t="str">
            <v>ANVAR</v>
          </cell>
          <cell r="C568" t="str">
            <v>SHAI</v>
          </cell>
          <cell r="D568">
            <v>35582</v>
          </cell>
          <cell r="E568">
            <v>17.253935660506503</v>
          </cell>
        </row>
        <row r="569">
          <cell r="A569">
            <v>71250</v>
          </cell>
          <cell r="B569" t="str">
            <v>HONCA</v>
          </cell>
          <cell r="C569" t="str">
            <v>SERDAL</v>
          </cell>
          <cell r="D569">
            <v>35574</v>
          </cell>
          <cell r="E569">
            <v>17.27583846680356</v>
          </cell>
        </row>
        <row r="570">
          <cell r="A570">
            <v>22979</v>
          </cell>
          <cell r="B570" t="str">
            <v>MAYUBA</v>
          </cell>
          <cell r="C570" t="str">
            <v>RUSSELL</v>
          </cell>
          <cell r="D570">
            <v>35571</v>
          </cell>
          <cell r="E570">
            <v>17.284052019164957</v>
          </cell>
        </row>
        <row r="571">
          <cell r="A571">
            <v>18231</v>
          </cell>
          <cell r="B571" t="str">
            <v>PASH</v>
          </cell>
          <cell r="C571" t="str">
            <v>JAMIE</v>
          </cell>
          <cell r="D571">
            <v>35565</v>
          </cell>
          <cell r="E571">
            <v>17.300479123887747</v>
          </cell>
        </row>
        <row r="572">
          <cell r="A572">
            <v>30552</v>
          </cell>
          <cell r="B572" t="str">
            <v>SALTER</v>
          </cell>
          <cell r="C572" t="str">
            <v>DANIEL</v>
          </cell>
          <cell r="D572">
            <v>35558</v>
          </cell>
          <cell r="E572">
            <v>17.319644079397673</v>
          </cell>
        </row>
        <row r="573">
          <cell r="A573">
            <v>66212</v>
          </cell>
          <cell r="B573" t="str">
            <v>WARD</v>
          </cell>
          <cell r="C573" t="str">
            <v>NOAH</v>
          </cell>
          <cell r="D573">
            <v>35556</v>
          </cell>
          <cell r="E573">
            <v>17.325119780971939</v>
          </cell>
        </row>
        <row r="574">
          <cell r="A574">
            <v>48724</v>
          </cell>
          <cell r="B574" t="str">
            <v>DEFRIEND</v>
          </cell>
          <cell r="C574" t="str">
            <v>TONY</v>
          </cell>
          <cell r="D574">
            <v>35553</v>
          </cell>
          <cell r="E574">
            <v>17.333333333333332</v>
          </cell>
        </row>
        <row r="575">
          <cell r="A575">
            <v>51190</v>
          </cell>
          <cell r="B575" t="str">
            <v>ROBINSON</v>
          </cell>
          <cell r="C575" t="str">
            <v>THOMAS</v>
          </cell>
          <cell r="D575">
            <v>35542</v>
          </cell>
          <cell r="E575">
            <v>17.363449691991786</v>
          </cell>
        </row>
        <row r="576">
          <cell r="A576">
            <v>17323</v>
          </cell>
          <cell r="B576" t="str">
            <v>PUZEY</v>
          </cell>
          <cell r="C576" t="str">
            <v>CHLOE</v>
          </cell>
          <cell r="D576">
            <v>35528</v>
          </cell>
          <cell r="E576">
            <v>17.401779603011637</v>
          </cell>
        </row>
        <row r="577">
          <cell r="A577">
            <v>36742</v>
          </cell>
          <cell r="B577" t="str">
            <v>ILMISEN</v>
          </cell>
          <cell r="C577" t="str">
            <v>IBRAHIM</v>
          </cell>
          <cell r="D577">
            <v>35515</v>
          </cell>
          <cell r="E577">
            <v>17.437371663244353</v>
          </cell>
        </row>
        <row r="578">
          <cell r="A578">
            <v>49146</v>
          </cell>
          <cell r="B578" t="str">
            <v>HOOKER</v>
          </cell>
          <cell r="C578" t="str">
            <v>MICHAEL</v>
          </cell>
          <cell r="D578">
            <v>35501</v>
          </cell>
          <cell r="E578">
            <v>17.475701574264203</v>
          </cell>
        </row>
        <row r="579">
          <cell r="A579">
            <v>18388</v>
          </cell>
          <cell r="B579" t="str">
            <v>MASKELL</v>
          </cell>
          <cell r="C579" t="str">
            <v>SAM</v>
          </cell>
          <cell r="D579">
            <v>35486</v>
          </cell>
          <cell r="E579">
            <v>17.516769336071185</v>
          </cell>
        </row>
        <row r="580">
          <cell r="A580">
            <v>38469</v>
          </cell>
          <cell r="B580" t="str">
            <v>SCARGILL</v>
          </cell>
          <cell r="C580" t="str">
            <v>LUKE</v>
          </cell>
          <cell r="D580">
            <v>35483</v>
          </cell>
          <cell r="E580">
            <v>17.524982888432579</v>
          </cell>
        </row>
        <row r="581">
          <cell r="A581">
            <v>210748</v>
          </cell>
          <cell r="B581" t="str">
            <v>HICKEY</v>
          </cell>
          <cell r="C581" t="str">
            <v>DARREN</v>
          </cell>
          <cell r="D581">
            <v>35466</v>
          </cell>
          <cell r="E581">
            <v>17.571526351813826</v>
          </cell>
        </row>
        <row r="582">
          <cell r="A582">
            <v>126181</v>
          </cell>
          <cell r="B582" t="str">
            <v>JACKMAN</v>
          </cell>
          <cell r="C582" t="str">
            <v>EZEKIEL</v>
          </cell>
          <cell r="D582">
            <v>35461</v>
          </cell>
          <cell r="E582">
            <v>17.585215605749486</v>
          </cell>
        </row>
        <row r="583">
          <cell r="A583">
            <v>126178</v>
          </cell>
          <cell r="B583" t="str">
            <v>JACKMAN</v>
          </cell>
          <cell r="C583" t="str">
            <v>SAMUEL</v>
          </cell>
          <cell r="D583">
            <v>35461</v>
          </cell>
          <cell r="E583">
            <v>17.585215605749486</v>
          </cell>
        </row>
        <row r="584">
          <cell r="A584">
            <v>25324</v>
          </cell>
          <cell r="B584" t="str">
            <v>WEST</v>
          </cell>
          <cell r="C584" t="str">
            <v>GAVRIELLA</v>
          </cell>
          <cell r="D584">
            <v>35457</v>
          </cell>
          <cell r="E584">
            <v>17.596167008898014</v>
          </cell>
        </row>
        <row r="585">
          <cell r="A585">
            <v>4473</v>
          </cell>
          <cell r="B585" t="str">
            <v xml:space="preserve">SERVICE  </v>
          </cell>
          <cell r="C585" t="str">
            <v>BRETT</v>
          </cell>
          <cell r="D585">
            <v>35446</v>
          </cell>
          <cell r="E585">
            <v>17.626283367556468</v>
          </cell>
        </row>
        <row r="586">
          <cell r="A586">
            <v>24362</v>
          </cell>
          <cell r="B586" t="str">
            <v>WISEMAN</v>
          </cell>
          <cell r="C586" t="str">
            <v>THOMAS</v>
          </cell>
          <cell r="D586">
            <v>35446</v>
          </cell>
          <cell r="E586">
            <v>17.626283367556468</v>
          </cell>
        </row>
        <row r="587">
          <cell r="A587">
            <v>30889</v>
          </cell>
          <cell r="B587" t="str">
            <v>SULZBACHER</v>
          </cell>
          <cell r="C587" t="str">
            <v>TUVYA</v>
          </cell>
          <cell r="D587">
            <v>35445</v>
          </cell>
          <cell r="E587">
            <v>17.629021218343599</v>
          </cell>
        </row>
        <row r="588">
          <cell r="A588">
            <v>26797</v>
          </cell>
          <cell r="B588" t="str">
            <v>RABSON</v>
          </cell>
          <cell r="C588" t="str">
            <v>ESTHER</v>
          </cell>
          <cell r="D588">
            <v>35441</v>
          </cell>
          <cell r="E588">
            <v>17.639972621492127</v>
          </cell>
        </row>
        <row r="589">
          <cell r="A589">
            <v>100622</v>
          </cell>
          <cell r="B589" t="str">
            <v>CHRISTODOULIDES</v>
          </cell>
          <cell r="C589" t="str">
            <v>YIANNIS</v>
          </cell>
          <cell r="D589">
            <v>35440</v>
          </cell>
          <cell r="E589">
            <v>17.642710472279262</v>
          </cell>
        </row>
        <row r="590">
          <cell r="A590">
            <v>30457</v>
          </cell>
          <cell r="B590" t="str">
            <v>LAWRENCE</v>
          </cell>
          <cell r="C590" t="str">
            <v>GABRIELLA</v>
          </cell>
          <cell r="D590">
            <v>35439</v>
          </cell>
          <cell r="E590">
            <v>17.645448323066393</v>
          </cell>
        </row>
        <row r="591">
          <cell r="A591">
            <v>101102</v>
          </cell>
          <cell r="B591" t="str">
            <v>SEGALOV</v>
          </cell>
          <cell r="C591" t="str">
            <v>ISAAC</v>
          </cell>
          <cell r="D591">
            <v>35438</v>
          </cell>
          <cell r="E591">
            <v>17.648186173853524</v>
          </cell>
        </row>
        <row r="592">
          <cell r="A592">
            <v>64521</v>
          </cell>
          <cell r="B592" t="str">
            <v>NYEIN</v>
          </cell>
          <cell r="C592" t="str">
            <v>THU THU</v>
          </cell>
          <cell r="D592">
            <v>35424</v>
          </cell>
          <cell r="E592">
            <v>17.686516084873375</v>
          </cell>
        </row>
        <row r="593">
          <cell r="A593">
            <v>65163</v>
          </cell>
          <cell r="B593" t="str">
            <v>DAYRIT</v>
          </cell>
          <cell r="C593" t="str">
            <v>KEVIN ANTHONY</v>
          </cell>
          <cell r="D593">
            <v>35419</v>
          </cell>
          <cell r="E593">
            <v>17.700205338809035</v>
          </cell>
        </row>
        <row r="594">
          <cell r="A594">
            <v>64884</v>
          </cell>
          <cell r="B594" t="str">
            <v>ABOUDY</v>
          </cell>
          <cell r="C594" t="str">
            <v>DANIEL</v>
          </cell>
          <cell r="D594">
            <v>35418</v>
          </cell>
          <cell r="E594">
            <v>17.702943189596166</v>
          </cell>
        </row>
        <row r="595">
          <cell r="A595">
            <v>65276</v>
          </cell>
          <cell r="B595" t="str">
            <v>INGLIS</v>
          </cell>
          <cell r="C595" t="str">
            <v>JACK</v>
          </cell>
          <cell r="D595">
            <v>35405</v>
          </cell>
          <cell r="E595">
            <v>17.738535249828885</v>
          </cell>
        </row>
        <row r="596">
          <cell r="A596">
            <v>52897</v>
          </cell>
          <cell r="B596" t="str">
            <v>STEELS</v>
          </cell>
          <cell r="C596" t="str">
            <v>LUKE</v>
          </cell>
          <cell r="D596">
            <v>35404</v>
          </cell>
          <cell r="E596">
            <v>17.741273100616016</v>
          </cell>
        </row>
        <row r="597">
          <cell r="A597">
            <v>38111</v>
          </cell>
          <cell r="B597" t="str">
            <v>GODFREY</v>
          </cell>
          <cell r="C597" t="str">
            <v>TIFFANY</v>
          </cell>
          <cell r="D597">
            <v>35402</v>
          </cell>
          <cell r="E597">
            <v>17.746748802190282</v>
          </cell>
        </row>
        <row r="598">
          <cell r="A598">
            <v>22538</v>
          </cell>
          <cell r="B598" t="str">
            <v>RAMEZANZADEH</v>
          </cell>
          <cell r="C598" t="str">
            <v>MEHDI</v>
          </cell>
          <cell r="D598">
            <v>35387</v>
          </cell>
          <cell r="E598">
            <v>17.787816563997261</v>
          </cell>
        </row>
        <row r="599">
          <cell r="A599">
            <v>30270</v>
          </cell>
          <cell r="B599" t="str">
            <v>ANDREWS</v>
          </cell>
          <cell r="C599" t="str">
            <v>BRAD</v>
          </cell>
          <cell r="D599">
            <v>35384</v>
          </cell>
          <cell r="E599">
            <v>17.796030116358658</v>
          </cell>
        </row>
        <row r="600">
          <cell r="A600">
            <v>20248</v>
          </cell>
          <cell r="B600" t="str">
            <v>ALTERMAN</v>
          </cell>
          <cell r="C600" t="str">
            <v>LOUIS</v>
          </cell>
          <cell r="D600">
            <v>35375</v>
          </cell>
          <cell r="E600">
            <v>17.820670773442849</v>
          </cell>
        </row>
        <row r="601">
          <cell r="A601">
            <v>64879</v>
          </cell>
          <cell r="B601" t="str">
            <v>RUSSELL</v>
          </cell>
          <cell r="C601" t="str">
            <v>SARAH</v>
          </cell>
          <cell r="D601">
            <v>35372</v>
          </cell>
          <cell r="E601">
            <v>17.828884325804243</v>
          </cell>
        </row>
        <row r="602">
          <cell r="A602">
            <v>70428</v>
          </cell>
          <cell r="B602" t="str">
            <v>HOPKINS</v>
          </cell>
          <cell r="C602" t="str">
            <v>LOUISE</v>
          </cell>
          <cell r="D602">
            <v>35371</v>
          </cell>
          <cell r="E602">
            <v>17.831622176591377</v>
          </cell>
        </row>
        <row r="603">
          <cell r="A603">
            <v>149756</v>
          </cell>
          <cell r="B603" t="str">
            <v>GREEN</v>
          </cell>
          <cell r="C603" t="str">
            <v>DAVAINE</v>
          </cell>
          <cell r="D603">
            <v>35371</v>
          </cell>
          <cell r="E603">
            <v>17.831622176591377</v>
          </cell>
        </row>
        <row r="604">
          <cell r="A604">
            <v>193737</v>
          </cell>
          <cell r="B604" t="str">
            <v>McDONALD</v>
          </cell>
          <cell r="C604" t="str">
            <v>SHANE</v>
          </cell>
          <cell r="D604">
            <v>35368</v>
          </cell>
          <cell r="E604">
            <v>17.839835728952771</v>
          </cell>
        </row>
        <row r="605">
          <cell r="A605">
            <v>24296</v>
          </cell>
          <cell r="B605" t="str">
            <v>MILLER</v>
          </cell>
          <cell r="C605" t="str">
            <v>ASHLEY</v>
          </cell>
          <cell r="D605">
            <v>35368</v>
          </cell>
          <cell r="E605">
            <v>17.839835728952771</v>
          </cell>
        </row>
        <row r="606">
          <cell r="A606">
            <v>17437</v>
          </cell>
          <cell r="B606" t="str">
            <v>FILINSKI</v>
          </cell>
          <cell r="C606" t="str">
            <v>ANTHONY</v>
          </cell>
          <cell r="D606">
            <v>35367</v>
          </cell>
          <cell r="E606">
            <v>17.842573579739906</v>
          </cell>
        </row>
        <row r="607">
          <cell r="A607">
            <v>15530</v>
          </cell>
          <cell r="B607" t="str">
            <v>PROUD</v>
          </cell>
          <cell r="C607" t="str">
            <v>JAMES</v>
          </cell>
          <cell r="D607">
            <v>35364</v>
          </cell>
          <cell r="E607">
            <v>17.850787132101299</v>
          </cell>
        </row>
        <row r="608">
          <cell r="A608">
            <v>22291</v>
          </cell>
          <cell r="B608" t="str">
            <v>STANLEY</v>
          </cell>
          <cell r="C608" t="str">
            <v>CHARLIE</v>
          </cell>
          <cell r="D608">
            <v>35357</v>
          </cell>
          <cell r="E608">
            <v>17.869952087611225</v>
          </cell>
        </row>
        <row r="609">
          <cell r="A609">
            <v>52914</v>
          </cell>
          <cell r="B609" t="str">
            <v>TILBROOK</v>
          </cell>
          <cell r="C609" t="str">
            <v>SONIA</v>
          </cell>
          <cell r="D609">
            <v>35355</v>
          </cell>
          <cell r="E609">
            <v>17.87542778918549</v>
          </cell>
        </row>
        <row r="610">
          <cell r="A610">
            <v>26144</v>
          </cell>
          <cell r="B610" t="str">
            <v>DAVIES</v>
          </cell>
          <cell r="C610" t="str">
            <v>SHANNON</v>
          </cell>
          <cell r="D610">
            <v>35352</v>
          </cell>
          <cell r="E610">
            <v>17.883641341546884</v>
          </cell>
        </row>
        <row r="611">
          <cell r="A611">
            <v>51183</v>
          </cell>
          <cell r="B611" t="str">
            <v>MILLER</v>
          </cell>
          <cell r="C611" t="str">
            <v>CONOR</v>
          </cell>
          <cell r="D611">
            <v>35347</v>
          </cell>
          <cell r="E611">
            <v>17.897330595482547</v>
          </cell>
        </row>
        <row r="612">
          <cell r="A612">
            <v>51157</v>
          </cell>
          <cell r="B612" t="str">
            <v>BOWLING</v>
          </cell>
          <cell r="C612" t="str">
            <v>THOMAS</v>
          </cell>
          <cell r="D612">
            <v>35340</v>
          </cell>
          <cell r="E612">
            <v>17.916495550992472</v>
          </cell>
        </row>
        <row r="613">
          <cell r="A613">
            <v>19628</v>
          </cell>
          <cell r="B613" t="str">
            <v>SHAW</v>
          </cell>
          <cell r="C613" t="str">
            <v>RACHEL</v>
          </cell>
          <cell r="D613">
            <v>35339</v>
          </cell>
          <cell r="E613">
            <v>17.919233401779604</v>
          </cell>
        </row>
        <row r="614">
          <cell r="A614">
            <v>130121</v>
          </cell>
          <cell r="B614" t="str">
            <v>CATZ</v>
          </cell>
          <cell r="C614" t="str">
            <v>YISROEL</v>
          </cell>
          <cell r="D614">
            <v>35334</v>
          </cell>
          <cell r="E614">
            <v>17.932922655715263</v>
          </cell>
        </row>
        <row r="615">
          <cell r="A615">
            <v>101545</v>
          </cell>
          <cell r="B615" t="str">
            <v>GRANT-TAITT</v>
          </cell>
          <cell r="C615" t="str">
            <v>KHADIJAH</v>
          </cell>
          <cell r="D615">
            <v>35315</v>
          </cell>
          <cell r="E615">
            <v>17.984941820670773</v>
          </cell>
        </row>
        <row r="616">
          <cell r="A616">
            <v>297897</v>
          </cell>
          <cell r="B616" t="str">
            <v>CRAWLEY</v>
          </cell>
          <cell r="C616" t="str">
            <v>LUCA</v>
          </cell>
          <cell r="D616">
            <v>40155</v>
          </cell>
          <cell r="E616">
            <v>4.7337440109514031</v>
          </cell>
        </row>
        <row r="617">
          <cell r="A617">
            <v>26456</v>
          </cell>
          <cell r="B617" t="str">
            <v>MOSS</v>
          </cell>
          <cell r="C617" t="str">
            <v>NACHUM</v>
          </cell>
          <cell r="D617">
            <v>35306</v>
          </cell>
          <cell r="E617">
            <v>18.009582477754961</v>
          </cell>
        </row>
        <row r="618">
          <cell r="A618">
            <v>18110</v>
          </cell>
          <cell r="B618" t="str">
            <v>BUTT</v>
          </cell>
          <cell r="C618" t="str">
            <v>MICHAELA</v>
          </cell>
          <cell r="D618">
            <v>35293</v>
          </cell>
          <cell r="E618">
            <v>18.04517453798768</v>
          </cell>
        </row>
        <row r="619">
          <cell r="A619">
            <v>15636</v>
          </cell>
          <cell r="B619" t="str">
            <v>AWALE</v>
          </cell>
          <cell r="C619" t="str">
            <v>MOHAMED</v>
          </cell>
          <cell r="D619">
            <v>35292</v>
          </cell>
          <cell r="E619">
            <v>18.047912388774812</v>
          </cell>
        </row>
        <row r="620">
          <cell r="A620">
            <v>65082</v>
          </cell>
          <cell r="B620" t="str">
            <v>PEREGBA-MAJODINA</v>
          </cell>
          <cell r="C620" t="str">
            <v>MBULELO</v>
          </cell>
          <cell r="D620">
            <v>35282</v>
          </cell>
          <cell r="E620">
            <v>18.075290896646134</v>
          </cell>
        </row>
        <row r="621">
          <cell r="A621">
            <v>18101</v>
          </cell>
          <cell r="B621" t="str">
            <v>BARRETT</v>
          </cell>
          <cell r="C621" t="str">
            <v>WARREN</v>
          </cell>
          <cell r="D621">
            <v>35272</v>
          </cell>
          <cell r="E621">
            <v>18.102669404517453</v>
          </cell>
        </row>
        <row r="622">
          <cell r="A622">
            <v>26633</v>
          </cell>
          <cell r="B622" t="str">
            <v>ERLICH</v>
          </cell>
          <cell r="C622" t="str">
            <v>TZIVIA</v>
          </cell>
          <cell r="D622">
            <v>35270</v>
          </cell>
          <cell r="E622">
            <v>18.108145106091719</v>
          </cell>
        </row>
        <row r="623">
          <cell r="A623">
            <v>30860</v>
          </cell>
          <cell r="B623" t="str">
            <v>ROTENBERG</v>
          </cell>
          <cell r="C623" t="str">
            <v>SHAMMAI</v>
          </cell>
          <cell r="D623">
            <v>35268</v>
          </cell>
          <cell r="E623">
            <v>18.113620807665981</v>
          </cell>
        </row>
        <row r="624">
          <cell r="A624">
            <v>36032</v>
          </cell>
          <cell r="B624" t="str">
            <v>KISHINANI</v>
          </cell>
          <cell r="C624" t="str">
            <v>TIANA</v>
          </cell>
          <cell r="D624">
            <v>35266</v>
          </cell>
          <cell r="E624">
            <v>18.119096509240247</v>
          </cell>
        </row>
        <row r="625">
          <cell r="A625">
            <v>22588</v>
          </cell>
          <cell r="B625" t="str">
            <v>THOMPSON</v>
          </cell>
          <cell r="C625" t="str">
            <v>ROANNA</v>
          </cell>
          <cell r="D625">
            <v>35259</v>
          </cell>
          <cell r="E625">
            <v>18.138261464750173</v>
          </cell>
        </row>
        <row r="626">
          <cell r="A626">
            <v>51207</v>
          </cell>
          <cell r="B626" t="str">
            <v>BULL</v>
          </cell>
          <cell r="C626" t="str">
            <v>LUKE</v>
          </cell>
          <cell r="D626">
            <v>35258</v>
          </cell>
          <cell r="E626">
            <v>18.140999315537304</v>
          </cell>
        </row>
        <row r="627">
          <cell r="A627">
            <v>17358</v>
          </cell>
          <cell r="B627" t="str">
            <v>SHAW</v>
          </cell>
          <cell r="C627" t="str">
            <v>CIARA</v>
          </cell>
          <cell r="D627">
            <v>35258</v>
          </cell>
          <cell r="E627">
            <v>18.140999315537304</v>
          </cell>
        </row>
        <row r="628">
          <cell r="A628">
            <v>65004</v>
          </cell>
          <cell r="B628" t="str">
            <v>ADEBAYO</v>
          </cell>
          <cell r="C628" t="str">
            <v>AKINTADE</v>
          </cell>
          <cell r="D628">
            <v>35247</v>
          </cell>
          <cell r="E628">
            <v>18.171115674195757</v>
          </cell>
        </row>
        <row r="629">
          <cell r="A629">
            <v>49339</v>
          </cell>
          <cell r="B629" t="str">
            <v>PATHMAN</v>
          </cell>
          <cell r="C629" t="str">
            <v>CHLOE</v>
          </cell>
          <cell r="D629">
            <v>35243</v>
          </cell>
          <cell r="E629">
            <v>18.182067077344286</v>
          </cell>
        </row>
        <row r="630">
          <cell r="A630">
            <v>31875</v>
          </cell>
          <cell r="B630" t="str">
            <v>FISHER</v>
          </cell>
          <cell r="C630" t="str">
            <v>MAX</v>
          </cell>
          <cell r="D630">
            <v>35242</v>
          </cell>
          <cell r="E630">
            <v>18.184804928131417</v>
          </cell>
        </row>
        <row r="631">
          <cell r="A631">
            <v>65006</v>
          </cell>
          <cell r="B631" t="str">
            <v>WINGAD</v>
          </cell>
          <cell r="C631" t="str">
            <v>ARCHIE</v>
          </cell>
          <cell r="D631">
            <v>35239</v>
          </cell>
          <cell r="E631">
            <v>18.193018480492814</v>
          </cell>
        </row>
        <row r="632">
          <cell r="A632">
            <v>65195</v>
          </cell>
          <cell r="B632" t="str">
            <v>FREILICH</v>
          </cell>
          <cell r="C632" t="str">
            <v>PINCHOS-MENACHEM</v>
          </cell>
          <cell r="D632">
            <v>35234</v>
          </cell>
          <cell r="E632">
            <v>18.206707734428473</v>
          </cell>
        </row>
        <row r="633">
          <cell r="A633">
            <v>23083</v>
          </cell>
          <cell r="B633" t="str">
            <v>WARREN</v>
          </cell>
          <cell r="C633" t="str">
            <v>NICOLE</v>
          </cell>
          <cell r="D633">
            <v>35229</v>
          </cell>
          <cell r="E633">
            <v>18.220396988364133</v>
          </cell>
        </row>
        <row r="634">
          <cell r="A634">
            <v>65826</v>
          </cell>
          <cell r="B634" t="str">
            <v>BARNES</v>
          </cell>
          <cell r="C634" t="str">
            <v>JORDAN</v>
          </cell>
          <cell r="D634">
            <v>37369</v>
          </cell>
          <cell r="E634">
            <v>12.361396303901437</v>
          </cell>
        </row>
        <row r="635">
          <cell r="A635">
            <v>23357</v>
          </cell>
          <cell r="B635" t="str">
            <v>GOODING</v>
          </cell>
          <cell r="C635" t="str">
            <v>KIERAN</v>
          </cell>
          <cell r="D635">
            <v>35223</v>
          </cell>
          <cell r="E635">
            <v>18.236824093086927</v>
          </cell>
        </row>
        <row r="636">
          <cell r="A636">
            <v>24501</v>
          </cell>
          <cell r="B636" t="str">
            <v>PETERS</v>
          </cell>
          <cell r="C636" t="str">
            <v>PATRICK</v>
          </cell>
          <cell r="D636">
            <v>35223</v>
          </cell>
          <cell r="E636">
            <v>18.236824093086927</v>
          </cell>
        </row>
        <row r="637">
          <cell r="A637">
            <v>189680</v>
          </cell>
          <cell r="B637" t="str">
            <v>MWATI</v>
          </cell>
          <cell r="C637" t="str">
            <v>OLIVIA</v>
          </cell>
          <cell r="D637">
            <v>35223</v>
          </cell>
          <cell r="E637">
            <v>18.236824093086927</v>
          </cell>
        </row>
        <row r="638">
          <cell r="A638">
            <v>18684</v>
          </cell>
          <cell r="B638" t="str">
            <v>MULCAHY</v>
          </cell>
          <cell r="C638" t="str">
            <v>SHANE</v>
          </cell>
          <cell r="D638">
            <v>35220</v>
          </cell>
          <cell r="E638">
            <v>18.245037645448324</v>
          </cell>
        </row>
        <row r="639">
          <cell r="A639">
            <v>65012</v>
          </cell>
          <cell r="B639" t="str">
            <v>COTTON</v>
          </cell>
          <cell r="C639" t="str">
            <v>JACK</v>
          </cell>
          <cell r="D639">
            <v>35220</v>
          </cell>
          <cell r="E639">
            <v>18.245037645448324</v>
          </cell>
        </row>
        <row r="640">
          <cell r="A640">
            <v>232856</v>
          </cell>
          <cell r="B640" t="str">
            <v>MOKEKOLA</v>
          </cell>
          <cell r="C640" t="str">
            <v>BRIAN</v>
          </cell>
          <cell r="D640">
            <v>35217</v>
          </cell>
          <cell r="E640">
            <v>18.253251197809718</v>
          </cell>
        </row>
        <row r="641">
          <cell r="A641">
            <v>100666</v>
          </cell>
          <cell r="B641" t="str">
            <v>CICHOWSKI</v>
          </cell>
          <cell r="C641" t="str">
            <v>BARTOSZ</v>
          </cell>
          <cell r="D641">
            <v>35216</v>
          </cell>
          <cell r="E641">
            <v>18.255989048596852</v>
          </cell>
        </row>
        <row r="642">
          <cell r="A642">
            <v>68701</v>
          </cell>
          <cell r="B642" t="str">
            <v>FOORD</v>
          </cell>
          <cell r="C642" t="str">
            <v>ZOE</v>
          </cell>
          <cell r="D642">
            <v>35213</v>
          </cell>
          <cell r="E642">
            <v>18.264202600958249</v>
          </cell>
        </row>
        <row r="643">
          <cell r="A643">
            <v>18006</v>
          </cell>
          <cell r="B643" t="str">
            <v>SALT-EMERSON</v>
          </cell>
          <cell r="C643" t="str">
            <v>MEGAN</v>
          </cell>
          <cell r="D643">
            <v>35208</v>
          </cell>
          <cell r="E643">
            <v>18.277891854893909</v>
          </cell>
        </row>
        <row r="644">
          <cell r="A644">
            <v>23005</v>
          </cell>
          <cell r="B644" t="str">
            <v>GURNEY</v>
          </cell>
          <cell r="C644" t="str">
            <v>BRADLEY</v>
          </cell>
          <cell r="D644">
            <v>35197</v>
          </cell>
          <cell r="E644">
            <v>18.308008213552363</v>
          </cell>
        </row>
        <row r="645">
          <cell r="A645">
            <v>195614</v>
          </cell>
          <cell r="B645" t="str">
            <v>FOSTER</v>
          </cell>
          <cell r="C645" t="str">
            <v>LUKE</v>
          </cell>
          <cell r="D645">
            <v>35195</v>
          </cell>
          <cell r="E645">
            <v>18.313483915126625</v>
          </cell>
        </row>
        <row r="646">
          <cell r="A646">
            <v>134489</v>
          </cell>
          <cell r="B646" t="str">
            <v>LEVY</v>
          </cell>
          <cell r="C646" t="str">
            <v>SAMUEL</v>
          </cell>
          <cell r="D646">
            <v>35186</v>
          </cell>
          <cell r="E646">
            <v>18.338124572210816</v>
          </cell>
        </row>
        <row r="647">
          <cell r="A647">
            <v>17183</v>
          </cell>
          <cell r="B647" t="str">
            <v>FEARON</v>
          </cell>
          <cell r="C647" t="str">
            <v>DIONNE</v>
          </cell>
          <cell r="D647">
            <v>35179</v>
          </cell>
          <cell r="E647">
            <v>18.357289527720738</v>
          </cell>
        </row>
        <row r="648">
          <cell r="A648">
            <v>65221</v>
          </cell>
          <cell r="B648" t="str">
            <v>SANGER</v>
          </cell>
          <cell r="C648" t="str">
            <v>YAAKOV</v>
          </cell>
          <cell r="D648">
            <v>35177</v>
          </cell>
          <cell r="E648">
            <v>18.362765229295004</v>
          </cell>
        </row>
        <row r="649">
          <cell r="A649">
            <v>110097</v>
          </cell>
          <cell r="B649" t="str">
            <v>SAGIV</v>
          </cell>
          <cell r="C649" t="str">
            <v>ADAM</v>
          </cell>
          <cell r="D649">
            <v>35167</v>
          </cell>
          <cell r="E649">
            <v>18.390143737166323</v>
          </cell>
        </row>
        <row r="650">
          <cell r="A650">
            <v>71163</v>
          </cell>
          <cell r="B650" t="str">
            <v>SINCLAIR</v>
          </cell>
          <cell r="C650" t="str">
            <v>DANIEL</v>
          </cell>
          <cell r="D650">
            <v>35158</v>
          </cell>
          <cell r="E650">
            <v>18.414784394250514</v>
          </cell>
        </row>
        <row r="651">
          <cell r="A651">
            <v>199585</v>
          </cell>
          <cell r="B651" t="str">
            <v>UKPABIA</v>
          </cell>
          <cell r="C651" t="str">
            <v>CYNETHIA</v>
          </cell>
          <cell r="D651">
            <v>35155</v>
          </cell>
          <cell r="E651">
            <v>18.422997946611911</v>
          </cell>
        </row>
        <row r="652">
          <cell r="A652">
            <v>66192</v>
          </cell>
          <cell r="B652" t="str">
            <v>OWEN</v>
          </cell>
          <cell r="C652" t="str">
            <v>OLIVER</v>
          </cell>
          <cell r="D652">
            <v>35154</v>
          </cell>
          <cell r="E652">
            <v>18.425735797399042</v>
          </cell>
        </row>
        <row r="653">
          <cell r="A653">
            <v>212722</v>
          </cell>
          <cell r="B653" t="str">
            <v>LUZ COSTA</v>
          </cell>
          <cell r="C653" t="str">
            <v>BRUNA</v>
          </cell>
          <cell r="D653">
            <v>35150</v>
          </cell>
          <cell r="E653">
            <v>18.436687200547571</v>
          </cell>
        </row>
        <row r="654">
          <cell r="A654">
            <v>71106</v>
          </cell>
          <cell r="B654" t="str">
            <v>MALLEY</v>
          </cell>
          <cell r="C654" t="str">
            <v>NATALIE</v>
          </cell>
          <cell r="D654">
            <v>35145</v>
          </cell>
          <cell r="E654">
            <v>18.45037645448323</v>
          </cell>
        </row>
        <row r="655">
          <cell r="A655">
            <v>64885</v>
          </cell>
          <cell r="B655" t="str">
            <v>BONHAM</v>
          </cell>
          <cell r="C655" t="str">
            <v>DAN</v>
          </cell>
          <cell r="D655">
            <v>35144</v>
          </cell>
          <cell r="E655">
            <v>18.453114305270361</v>
          </cell>
        </row>
        <row r="656">
          <cell r="A656">
            <v>30483</v>
          </cell>
          <cell r="B656" t="str">
            <v>LIPMAN</v>
          </cell>
          <cell r="C656" t="str">
            <v>ADAM</v>
          </cell>
          <cell r="D656">
            <v>35141</v>
          </cell>
          <cell r="E656">
            <v>18.461327857631758</v>
          </cell>
        </row>
        <row r="657">
          <cell r="A657">
            <v>21057</v>
          </cell>
          <cell r="B657" t="str">
            <v>COLEMAN</v>
          </cell>
          <cell r="C657" t="str">
            <v>SAM</v>
          </cell>
          <cell r="D657">
            <v>35137</v>
          </cell>
          <cell r="E657">
            <v>18.472279260780287</v>
          </cell>
        </row>
        <row r="658">
          <cell r="A658">
            <v>18141</v>
          </cell>
          <cell r="B658" t="str">
            <v>ENEFER</v>
          </cell>
          <cell r="C658" t="str">
            <v>TOMASZ</v>
          </cell>
          <cell r="D658">
            <v>35136</v>
          </cell>
          <cell r="E658">
            <v>18.475017111567421</v>
          </cell>
        </row>
        <row r="659">
          <cell r="A659">
            <v>127221</v>
          </cell>
          <cell r="B659" t="str">
            <v>ARORA</v>
          </cell>
          <cell r="C659" t="str">
            <v>RUBY</v>
          </cell>
          <cell r="D659">
            <v>35136</v>
          </cell>
          <cell r="E659">
            <v>18.475017111567421</v>
          </cell>
        </row>
        <row r="660">
          <cell r="A660">
            <v>37810</v>
          </cell>
          <cell r="B660" t="str">
            <v>CLARK</v>
          </cell>
          <cell r="C660" t="str">
            <v>HAMISH</v>
          </cell>
          <cell r="D660">
            <v>35132</v>
          </cell>
          <cell r="E660">
            <v>18.48596851471595</v>
          </cell>
        </row>
        <row r="661">
          <cell r="A661">
            <v>30547</v>
          </cell>
          <cell r="B661" t="str">
            <v>ROSS</v>
          </cell>
          <cell r="C661" t="str">
            <v>GABRIEL</v>
          </cell>
          <cell r="D661">
            <v>35130</v>
          </cell>
          <cell r="E661">
            <v>18.491444216290212</v>
          </cell>
        </row>
        <row r="662">
          <cell r="A662">
            <v>64897</v>
          </cell>
          <cell r="B662" t="str">
            <v>IGEL</v>
          </cell>
          <cell r="C662" t="str">
            <v>SCOTT</v>
          </cell>
          <cell r="D662">
            <v>35125</v>
          </cell>
          <cell r="E662">
            <v>18.505133470225871</v>
          </cell>
        </row>
        <row r="663">
          <cell r="A663">
            <v>41123</v>
          </cell>
          <cell r="B663" t="str">
            <v>MADJIDI</v>
          </cell>
          <cell r="C663" t="str">
            <v>MARYAM</v>
          </cell>
          <cell r="D663">
            <v>35122</v>
          </cell>
          <cell r="E663">
            <v>18.513347022587268</v>
          </cell>
        </row>
        <row r="664">
          <cell r="A664">
            <v>32130</v>
          </cell>
          <cell r="B664" t="str">
            <v>HALIM</v>
          </cell>
          <cell r="C664" t="str">
            <v>FATMA</v>
          </cell>
          <cell r="D664">
            <v>35117</v>
          </cell>
          <cell r="E664">
            <v>18.527036276522928</v>
          </cell>
        </row>
        <row r="665">
          <cell r="A665">
            <v>30537</v>
          </cell>
          <cell r="B665" t="str">
            <v>RICHARDS</v>
          </cell>
          <cell r="C665" t="str">
            <v>JONATHAN</v>
          </cell>
          <cell r="D665">
            <v>35090</v>
          </cell>
          <cell r="E665">
            <v>18.600958247775495</v>
          </cell>
        </row>
        <row r="666">
          <cell r="A666">
            <v>4532</v>
          </cell>
          <cell r="B666" t="str">
            <v>MOTTORSHEAD</v>
          </cell>
          <cell r="C666" t="str">
            <v>DONNA</v>
          </cell>
          <cell r="D666">
            <v>35085</v>
          </cell>
          <cell r="E666">
            <v>18.614647501711158</v>
          </cell>
        </row>
        <row r="667">
          <cell r="A667">
            <v>197487</v>
          </cell>
          <cell r="B667" t="str">
            <v>HAMILTON-BUONOCORE</v>
          </cell>
          <cell r="C667" t="str">
            <v>EMANUELA</v>
          </cell>
          <cell r="D667">
            <v>35074</v>
          </cell>
          <cell r="E667">
            <v>18.644763860369611</v>
          </cell>
        </row>
        <row r="668">
          <cell r="A668">
            <v>51194</v>
          </cell>
          <cell r="B668" t="str">
            <v>SMITH</v>
          </cell>
          <cell r="C668" t="str">
            <v>DARREN</v>
          </cell>
          <cell r="D668">
            <v>35071</v>
          </cell>
          <cell r="E668">
            <v>18.652977412731005</v>
          </cell>
        </row>
        <row r="669">
          <cell r="A669">
            <v>118199</v>
          </cell>
          <cell r="B669" t="str">
            <v>BACA</v>
          </cell>
          <cell r="C669" t="str">
            <v>MIMIZA</v>
          </cell>
          <cell r="D669">
            <v>35058</v>
          </cell>
          <cell r="E669">
            <v>18.688569472963724</v>
          </cell>
        </row>
        <row r="670">
          <cell r="A670">
            <v>31914</v>
          </cell>
          <cell r="B670" t="str">
            <v>LANDAU</v>
          </cell>
          <cell r="C670" t="str">
            <v>JAMIE</v>
          </cell>
          <cell r="D670">
            <v>35051</v>
          </cell>
          <cell r="E670">
            <v>18.70773442847365</v>
          </cell>
        </row>
        <row r="671">
          <cell r="A671">
            <v>200602</v>
          </cell>
          <cell r="B671" t="str">
            <v>AWAD</v>
          </cell>
          <cell r="C671" t="str">
            <v>HUMED</v>
          </cell>
          <cell r="D671">
            <v>35039</v>
          </cell>
          <cell r="E671">
            <v>18.740588637919235</v>
          </cell>
        </row>
        <row r="672">
          <cell r="A672">
            <v>213653</v>
          </cell>
          <cell r="B672" t="str">
            <v>ROBERTS</v>
          </cell>
          <cell r="C672" t="str">
            <v>PIERCE</v>
          </cell>
          <cell r="D672">
            <v>35037</v>
          </cell>
          <cell r="E672">
            <v>18.746064339493497</v>
          </cell>
        </row>
        <row r="673">
          <cell r="A673">
            <v>65155</v>
          </cell>
          <cell r="B673" t="str">
            <v>ZAHIR</v>
          </cell>
          <cell r="C673" t="str">
            <v>ARASH</v>
          </cell>
          <cell r="D673">
            <v>35021</v>
          </cell>
          <cell r="E673">
            <v>18.78986995208761</v>
          </cell>
        </row>
        <row r="674">
          <cell r="A674">
            <v>281333</v>
          </cell>
          <cell r="B674" t="str">
            <v>BRENNAN</v>
          </cell>
          <cell r="C674" t="str">
            <v>KIERAN</v>
          </cell>
          <cell r="D674">
            <v>35019</v>
          </cell>
          <cell r="E674">
            <v>18.795345653661876</v>
          </cell>
        </row>
        <row r="675">
          <cell r="A675">
            <v>8129</v>
          </cell>
          <cell r="B675" t="str">
            <v>ROSENWINK</v>
          </cell>
          <cell r="C675" t="str">
            <v>CAMERON</v>
          </cell>
          <cell r="D675">
            <v>35017</v>
          </cell>
          <cell r="E675">
            <v>18.800821355236138</v>
          </cell>
        </row>
        <row r="676">
          <cell r="A676">
            <v>17514</v>
          </cell>
          <cell r="B676" t="str">
            <v>RAMAGE</v>
          </cell>
          <cell r="C676" t="str">
            <v>FREDERICO</v>
          </cell>
          <cell r="D676">
            <v>35014</v>
          </cell>
          <cell r="E676">
            <v>18.809034907597535</v>
          </cell>
        </row>
        <row r="677">
          <cell r="A677">
            <v>65000</v>
          </cell>
          <cell r="B677" t="str">
            <v>FASHANU</v>
          </cell>
          <cell r="C677" t="str">
            <v>AMIR</v>
          </cell>
          <cell r="D677">
            <v>35008</v>
          </cell>
          <cell r="E677">
            <v>18.82546201232033</v>
          </cell>
        </row>
        <row r="678">
          <cell r="A678">
            <v>64886</v>
          </cell>
          <cell r="B678" t="str">
            <v>BARNETT</v>
          </cell>
          <cell r="C678" t="str">
            <v>PHILIP</v>
          </cell>
          <cell r="D678">
            <v>35005</v>
          </cell>
          <cell r="E678">
            <v>18.833675564681723</v>
          </cell>
        </row>
        <row r="679">
          <cell r="A679">
            <v>65314</v>
          </cell>
          <cell r="B679" t="str">
            <v>HUCKLE</v>
          </cell>
          <cell r="C679" t="str">
            <v>JAMIE</v>
          </cell>
          <cell r="D679">
            <v>34990</v>
          </cell>
          <cell r="E679">
            <v>18.874743326488705</v>
          </cell>
        </row>
        <row r="680">
          <cell r="A680">
            <v>8570</v>
          </cell>
          <cell r="B680" t="str">
            <v>O'HARE DOILEY</v>
          </cell>
          <cell r="C680" t="str">
            <v>JASON</v>
          </cell>
          <cell r="D680">
            <v>34983</v>
          </cell>
          <cell r="E680">
            <v>18.89390828199863</v>
          </cell>
        </row>
        <row r="681">
          <cell r="A681">
            <v>207856</v>
          </cell>
          <cell r="B681" t="str">
            <v>BOWLER</v>
          </cell>
          <cell r="C681" t="str">
            <v>PETER</v>
          </cell>
          <cell r="D681">
            <v>34979</v>
          </cell>
          <cell r="E681">
            <v>18.904859685147159</v>
          </cell>
        </row>
        <row r="682">
          <cell r="A682">
            <v>103967</v>
          </cell>
          <cell r="B682" t="str">
            <v>FOSSEY</v>
          </cell>
          <cell r="C682" t="str">
            <v>MARK</v>
          </cell>
          <cell r="D682">
            <v>34979</v>
          </cell>
          <cell r="E682">
            <v>18.904859685147159</v>
          </cell>
        </row>
        <row r="683">
          <cell r="A683">
            <v>72335</v>
          </cell>
          <cell r="B683" t="str">
            <v>MBETOLO</v>
          </cell>
          <cell r="C683" t="str">
            <v>SMITH</v>
          </cell>
          <cell r="D683">
            <v>34976</v>
          </cell>
          <cell r="E683">
            <v>18.913073237508556</v>
          </cell>
        </row>
        <row r="684">
          <cell r="A684">
            <v>24153</v>
          </cell>
          <cell r="B684" t="str">
            <v>REES</v>
          </cell>
          <cell r="C684" t="str">
            <v>SARAH JANE</v>
          </cell>
          <cell r="D684">
            <v>34975</v>
          </cell>
          <cell r="E684">
            <v>18.915811088295687</v>
          </cell>
        </row>
        <row r="685">
          <cell r="A685">
            <v>38590</v>
          </cell>
          <cell r="B685" t="str">
            <v>FREUD</v>
          </cell>
          <cell r="C685" t="str">
            <v>THEO</v>
          </cell>
          <cell r="D685">
            <v>34968</v>
          </cell>
          <cell r="E685">
            <v>18.934976043805612</v>
          </cell>
        </row>
        <row r="686">
          <cell r="A686">
            <v>30597</v>
          </cell>
          <cell r="B686" t="str">
            <v>WUNSH</v>
          </cell>
          <cell r="C686" t="str">
            <v>NAOMI</v>
          </cell>
          <cell r="D686">
            <v>34966</v>
          </cell>
          <cell r="E686">
            <v>18.940451745379878</v>
          </cell>
        </row>
        <row r="687">
          <cell r="A687">
            <v>25051</v>
          </cell>
          <cell r="B687" t="str">
            <v>MORGAN</v>
          </cell>
          <cell r="C687" t="str">
            <v>JOHN</v>
          </cell>
          <cell r="D687">
            <v>34964</v>
          </cell>
          <cell r="E687">
            <v>18.945927446954141</v>
          </cell>
        </row>
        <row r="688">
          <cell r="A688">
            <v>26292</v>
          </cell>
          <cell r="B688" t="str">
            <v>OWUSU-POKU</v>
          </cell>
          <cell r="C688" t="str">
            <v>YAW</v>
          </cell>
          <cell r="D688">
            <v>34963</v>
          </cell>
          <cell r="E688">
            <v>18.948665297741272</v>
          </cell>
        </row>
        <row r="689">
          <cell r="A689">
            <v>65265</v>
          </cell>
          <cell r="B689" t="str">
            <v>LEIGH</v>
          </cell>
          <cell r="C689" t="str">
            <v>SABRINA</v>
          </cell>
          <cell r="D689">
            <v>34955</v>
          </cell>
          <cell r="E689">
            <v>18.970568104038328</v>
          </cell>
        </row>
        <row r="690">
          <cell r="A690">
            <v>18197</v>
          </cell>
          <cell r="B690" t="str">
            <v>LISMORE</v>
          </cell>
          <cell r="C690" t="str">
            <v>LOUISE</v>
          </cell>
          <cell r="D690">
            <v>34954</v>
          </cell>
          <cell r="E690">
            <v>18.973305954825463</v>
          </cell>
        </row>
        <row r="691">
          <cell r="A691">
            <v>251299</v>
          </cell>
          <cell r="B691" t="str">
            <v>LLOYD</v>
          </cell>
          <cell r="C691" t="str">
            <v>JOSHUA</v>
          </cell>
          <cell r="D691">
            <v>34944</v>
          </cell>
          <cell r="E691">
            <v>19.000684462696782</v>
          </cell>
        </row>
        <row r="692">
          <cell r="A692">
            <v>26112</v>
          </cell>
          <cell r="B692" t="str">
            <v>BROWN</v>
          </cell>
          <cell r="C692" t="str">
            <v>AARON</v>
          </cell>
          <cell r="D692">
            <v>34939</v>
          </cell>
          <cell r="E692">
            <v>19.014373716632445</v>
          </cell>
        </row>
        <row r="693">
          <cell r="A693">
            <v>146043</v>
          </cell>
          <cell r="B693" t="str">
            <v>ANGEL</v>
          </cell>
          <cell r="C693" t="str">
            <v>FABIAN</v>
          </cell>
          <cell r="D693">
            <v>34931</v>
          </cell>
          <cell r="E693">
            <v>19.036276522929501</v>
          </cell>
        </row>
        <row r="694">
          <cell r="A694">
            <v>18069</v>
          </cell>
          <cell r="B694" t="str">
            <v>WEBSTER</v>
          </cell>
          <cell r="C694" t="str">
            <v>BILLY</v>
          </cell>
          <cell r="D694">
            <v>34926</v>
          </cell>
          <cell r="E694">
            <v>19.049965776865161</v>
          </cell>
        </row>
        <row r="695">
          <cell r="A695">
            <v>15151</v>
          </cell>
          <cell r="B695" t="str">
            <v>WILLIAMS</v>
          </cell>
          <cell r="C695" t="str">
            <v>BEN</v>
          </cell>
          <cell r="D695">
            <v>34923</v>
          </cell>
          <cell r="E695">
            <v>19.058179329226558</v>
          </cell>
        </row>
        <row r="696">
          <cell r="A696">
            <v>20157</v>
          </cell>
          <cell r="B696" t="str">
            <v>PERLBERG</v>
          </cell>
          <cell r="C696" t="str">
            <v>MATTHEW</v>
          </cell>
          <cell r="D696">
            <v>34921</v>
          </cell>
          <cell r="E696">
            <v>19.06365503080082</v>
          </cell>
        </row>
        <row r="697">
          <cell r="A697">
            <v>65123</v>
          </cell>
          <cell r="B697" t="str">
            <v>O'SHEA</v>
          </cell>
          <cell r="C697" t="str">
            <v>DOMINIC</v>
          </cell>
          <cell r="D697">
            <v>34916</v>
          </cell>
          <cell r="E697">
            <v>19.077344284736483</v>
          </cell>
        </row>
        <row r="698">
          <cell r="A698">
            <v>21163</v>
          </cell>
          <cell r="B698" t="str">
            <v>PHILLIPS</v>
          </cell>
          <cell r="C698" t="str">
            <v>ROBERT</v>
          </cell>
          <cell r="D698">
            <v>34916</v>
          </cell>
          <cell r="E698">
            <v>19.077344284736483</v>
          </cell>
        </row>
        <row r="699">
          <cell r="A699">
            <v>127121</v>
          </cell>
          <cell r="B699" t="str">
            <v>MERCIER</v>
          </cell>
          <cell r="C699" t="str">
            <v>ALEX</v>
          </cell>
          <cell r="D699">
            <v>34913</v>
          </cell>
          <cell r="E699">
            <v>19.085557837097877</v>
          </cell>
        </row>
        <row r="700">
          <cell r="A700">
            <v>4020</v>
          </cell>
          <cell r="B700" t="str">
            <v>WAKEFIELD</v>
          </cell>
          <cell r="C700" t="str">
            <v>JAMIE</v>
          </cell>
          <cell r="D700">
            <v>34912</v>
          </cell>
          <cell r="E700">
            <v>19.088295687885012</v>
          </cell>
        </row>
        <row r="701">
          <cell r="A701">
            <v>20512</v>
          </cell>
          <cell r="B701" t="str">
            <v>LATOUCHE</v>
          </cell>
          <cell r="C701" t="str">
            <v>SEAN</v>
          </cell>
          <cell r="D701">
            <v>34910</v>
          </cell>
          <cell r="E701">
            <v>19.093771389459274</v>
          </cell>
        </row>
        <row r="702">
          <cell r="A702">
            <v>28324</v>
          </cell>
          <cell r="B702" t="str">
            <v>BURNARD</v>
          </cell>
          <cell r="C702" t="str">
            <v>JACK</v>
          </cell>
          <cell r="D702">
            <v>34908</v>
          </cell>
          <cell r="E702">
            <v>19.09924709103354</v>
          </cell>
        </row>
        <row r="703">
          <cell r="A703">
            <v>31927</v>
          </cell>
          <cell r="B703" t="str">
            <v>LEVY</v>
          </cell>
          <cell r="C703" t="str">
            <v>KELLY</v>
          </cell>
          <cell r="D703">
            <v>34894</v>
          </cell>
          <cell r="E703">
            <v>19.137577002053387</v>
          </cell>
        </row>
        <row r="704">
          <cell r="A704">
            <v>64948</v>
          </cell>
          <cell r="B704" t="str">
            <v>AZIZ</v>
          </cell>
          <cell r="C704" t="str">
            <v>TALIA</v>
          </cell>
          <cell r="D704">
            <v>34890</v>
          </cell>
          <cell r="E704">
            <v>19.148528405201915</v>
          </cell>
        </row>
        <row r="705">
          <cell r="A705">
            <v>24661</v>
          </cell>
          <cell r="B705" t="str">
            <v>QUASTEL</v>
          </cell>
          <cell r="C705" t="str">
            <v>MAX</v>
          </cell>
          <cell r="D705">
            <v>34876</v>
          </cell>
          <cell r="E705">
            <v>19.186858316221766</v>
          </cell>
        </row>
        <row r="706">
          <cell r="A706">
            <v>17726</v>
          </cell>
          <cell r="B706" t="str">
            <v>AKTHER</v>
          </cell>
          <cell r="C706" t="str">
            <v>ABBAS</v>
          </cell>
          <cell r="D706">
            <v>34867</v>
          </cell>
          <cell r="E706">
            <v>19.211498973305954</v>
          </cell>
        </row>
        <row r="707">
          <cell r="A707">
            <v>64620</v>
          </cell>
          <cell r="B707" t="str">
            <v>EL WAKHERY</v>
          </cell>
          <cell r="C707" t="str">
            <v>ZIAD</v>
          </cell>
          <cell r="D707">
            <v>34866</v>
          </cell>
          <cell r="E707">
            <v>19.214236824093089</v>
          </cell>
        </row>
        <row r="708">
          <cell r="A708">
            <v>26945</v>
          </cell>
          <cell r="B708" t="str">
            <v>DA SILVA SANTOS</v>
          </cell>
          <cell r="C708" t="str">
            <v>MARVYN</v>
          </cell>
          <cell r="D708">
            <v>34865</v>
          </cell>
          <cell r="E708">
            <v>19.21697467488022</v>
          </cell>
        </row>
        <row r="709">
          <cell r="A709">
            <v>24847</v>
          </cell>
          <cell r="B709" t="str">
            <v>SAYERS</v>
          </cell>
          <cell r="C709" t="str">
            <v>RICHARD</v>
          </cell>
          <cell r="D709">
            <v>34862</v>
          </cell>
          <cell r="E709">
            <v>19.225188227241617</v>
          </cell>
        </row>
        <row r="710">
          <cell r="A710">
            <v>65048</v>
          </cell>
          <cell r="B710" t="str">
            <v>LOOKER-BIDDLE</v>
          </cell>
          <cell r="C710" t="str">
            <v>PETER</v>
          </cell>
          <cell r="D710">
            <v>34850</v>
          </cell>
          <cell r="E710">
            <v>19.258042436687202</v>
          </cell>
        </row>
        <row r="711">
          <cell r="A711">
            <v>72149</v>
          </cell>
          <cell r="B711" t="str">
            <v>FIERSTONE</v>
          </cell>
          <cell r="C711" t="str">
            <v>CHARLES</v>
          </cell>
          <cell r="D711">
            <v>34848</v>
          </cell>
          <cell r="E711">
            <v>19.263518138261464</v>
          </cell>
        </row>
        <row r="712">
          <cell r="A712">
            <v>29359</v>
          </cell>
          <cell r="B712" t="str">
            <v>ANDERSON</v>
          </cell>
          <cell r="C712" t="str">
            <v>GEMMA</v>
          </cell>
          <cell r="D712">
            <v>34845</v>
          </cell>
          <cell r="E712">
            <v>19.271731690622861</v>
          </cell>
        </row>
        <row r="713">
          <cell r="A713">
            <v>19649</v>
          </cell>
          <cell r="B713" t="str">
            <v>ADAMS</v>
          </cell>
          <cell r="C713" t="str">
            <v>CHRISTOPHER</v>
          </cell>
          <cell r="D713">
            <v>34837</v>
          </cell>
          <cell r="E713">
            <v>19.293634496919918</v>
          </cell>
        </row>
        <row r="714">
          <cell r="A714">
            <v>133733</v>
          </cell>
          <cell r="B714" t="str">
            <v>SIDARENOU</v>
          </cell>
          <cell r="C714" t="str">
            <v>ANASTASIOS</v>
          </cell>
          <cell r="D714">
            <v>34836</v>
          </cell>
          <cell r="E714">
            <v>19.296372347707049</v>
          </cell>
        </row>
        <row r="715">
          <cell r="A715">
            <v>3595</v>
          </cell>
          <cell r="B715" t="str">
            <v>MANFIELD</v>
          </cell>
          <cell r="C715" t="str">
            <v>ADAM</v>
          </cell>
          <cell r="D715">
            <v>34836</v>
          </cell>
          <cell r="E715">
            <v>19.296372347707049</v>
          </cell>
        </row>
        <row r="716">
          <cell r="A716">
            <v>17306</v>
          </cell>
          <cell r="B716" t="str">
            <v>NAYEE</v>
          </cell>
          <cell r="C716" t="str">
            <v>PAYAL</v>
          </cell>
          <cell r="D716">
            <v>34829</v>
          </cell>
          <cell r="E716">
            <v>19.315537303216974</v>
          </cell>
        </row>
        <row r="717">
          <cell r="A717">
            <v>65149</v>
          </cell>
          <cell r="B717" t="str">
            <v>CHAUDHURI</v>
          </cell>
          <cell r="C717" t="str">
            <v>KIRAN RANJAN</v>
          </cell>
          <cell r="D717">
            <v>34828</v>
          </cell>
          <cell r="E717">
            <v>19.318275154004105</v>
          </cell>
        </row>
        <row r="718">
          <cell r="A718">
            <v>75714</v>
          </cell>
          <cell r="B718" t="str">
            <v>MARTIN NWORISA</v>
          </cell>
          <cell r="C718" t="str">
            <v>KELECHI</v>
          </cell>
          <cell r="D718">
            <v>34822</v>
          </cell>
          <cell r="E718">
            <v>19.3347022587269</v>
          </cell>
        </row>
        <row r="719">
          <cell r="A719">
            <v>148683</v>
          </cell>
          <cell r="B719" t="str">
            <v>MURDOCK</v>
          </cell>
          <cell r="C719" t="str">
            <v>HARLEY</v>
          </cell>
          <cell r="D719">
            <v>34817</v>
          </cell>
          <cell r="E719">
            <v>19.348391512662559</v>
          </cell>
        </row>
        <row r="720">
          <cell r="A720">
            <v>20885</v>
          </cell>
          <cell r="B720" t="str">
            <v>NASTARI</v>
          </cell>
          <cell r="C720" t="str">
            <v>ALI</v>
          </cell>
          <cell r="D720">
            <v>34813</v>
          </cell>
          <cell r="E720">
            <v>19.359342915811087</v>
          </cell>
        </row>
        <row r="721">
          <cell r="A721">
            <v>224921</v>
          </cell>
          <cell r="B721" t="str">
            <v>RILEY</v>
          </cell>
          <cell r="C721" t="str">
            <v>JACK</v>
          </cell>
          <cell r="D721">
            <v>34813</v>
          </cell>
          <cell r="E721">
            <v>19.359342915811087</v>
          </cell>
        </row>
        <row r="722">
          <cell r="A722">
            <v>22882</v>
          </cell>
          <cell r="B722" t="str">
            <v>CAHILL</v>
          </cell>
          <cell r="C722" t="str">
            <v>ROBBIE</v>
          </cell>
          <cell r="D722">
            <v>34811</v>
          </cell>
          <cell r="E722">
            <v>19.364818617385353</v>
          </cell>
        </row>
        <row r="723">
          <cell r="A723">
            <v>171583</v>
          </cell>
          <cell r="B723" t="str">
            <v>LEWIS</v>
          </cell>
          <cell r="C723" t="str">
            <v>TAHJAY</v>
          </cell>
          <cell r="D723">
            <v>34811</v>
          </cell>
          <cell r="E723">
            <v>19.364818617385353</v>
          </cell>
        </row>
        <row r="724">
          <cell r="A724">
            <v>65376</v>
          </cell>
          <cell r="B724" t="str">
            <v>DAWSON</v>
          </cell>
          <cell r="C724" t="str">
            <v>BENJAMIN</v>
          </cell>
          <cell r="D724">
            <v>34803</v>
          </cell>
          <cell r="E724">
            <v>19.38672142368241</v>
          </cell>
        </row>
        <row r="725">
          <cell r="A725">
            <v>3437</v>
          </cell>
          <cell r="B725" t="str">
            <v>GOLABI</v>
          </cell>
          <cell r="C725" t="str">
            <v>EMMA</v>
          </cell>
          <cell r="D725">
            <v>34799</v>
          </cell>
          <cell r="E725">
            <v>19.397672826830938</v>
          </cell>
        </row>
        <row r="726">
          <cell r="A726">
            <v>139493</v>
          </cell>
          <cell r="B726" t="str">
            <v>GOLD</v>
          </cell>
          <cell r="C726" t="str">
            <v>CHLOE</v>
          </cell>
          <cell r="D726">
            <v>34788</v>
          </cell>
          <cell r="E726">
            <v>19.427789185489392</v>
          </cell>
        </row>
        <row r="727">
          <cell r="A727">
            <v>16028</v>
          </cell>
          <cell r="B727" t="str">
            <v>DAWSON</v>
          </cell>
          <cell r="C727" t="str">
            <v>BILLY</v>
          </cell>
          <cell r="D727">
            <v>34778</v>
          </cell>
          <cell r="E727">
            <v>19.455167693360711</v>
          </cell>
        </row>
        <row r="728">
          <cell r="A728">
            <v>64992</v>
          </cell>
          <cell r="B728" t="str">
            <v>SIMON</v>
          </cell>
          <cell r="C728" t="str">
            <v>HADASSAH</v>
          </cell>
          <cell r="D728">
            <v>34777</v>
          </cell>
          <cell r="E728">
            <v>19.457905544147845</v>
          </cell>
        </row>
        <row r="729">
          <cell r="A729">
            <v>8140</v>
          </cell>
          <cell r="B729" t="str">
            <v>BISHOP</v>
          </cell>
          <cell r="C729" t="str">
            <v>NIAH</v>
          </cell>
          <cell r="D729">
            <v>34772</v>
          </cell>
          <cell r="E729">
            <v>19.471594798083505</v>
          </cell>
        </row>
        <row r="730">
          <cell r="A730">
            <v>65223</v>
          </cell>
          <cell r="B730" t="str">
            <v>SCOTT</v>
          </cell>
          <cell r="C730" t="str">
            <v>ELLIOTT</v>
          </cell>
          <cell r="D730">
            <v>34767</v>
          </cell>
          <cell r="E730">
            <v>19.485284052019164</v>
          </cell>
        </row>
        <row r="731">
          <cell r="A731">
            <v>75740</v>
          </cell>
          <cell r="B731" t="str">
            <v>REKHAVI</v>
          </cell>
          <cell r="C731" t="str">
            <v>HANNA</v>
          </cell>
          <cell r="D731">
            <v>34766</v>
          </cell>
          <cell r="E731">
            <v>19.488021902806295</v>
          </cell>
        </row>
        <row r="732">
          <cell r="A732">
            <v>65224</v>
          </cell>
          <cell r="B732" t="str">
            <v>KLIEN</v>
          </cell>
          <cell r="C732" t="str">
            <v>YAEL</v>
          </cell>
          <cell r="D732">
            <v>34763</v>
          </cell>
          <cell r="E732">
            <v>19.496235455167692</v>
          </cell>
        </row>
        <row r="733">
          <cell r="A733">
            <v>20070</v>
          </cell>
          <cell r="B733" t="str">
            <v>KING</v>
          </cell>
          <cell r="C733" t="str">
            <v>VINCENT</v>
          </cell>
          <cell r="D733">
            <v>34754</v>
          </cell>
          <cell r="E733">
            <v>19.520876112251884</v>
          </cell>
        </row>
        <row r="734">
          <cell r="A734">
            <v>51232</v>
          </cell>
          <cell r="B734" t="str">
            <v>PALACIO-FARMER</v>
          </cell>
          <cell r="C734" t="str">
            <v>KATIE</v>
          </cell>
          <cell r="D734">
            <v>34747</v>
          </cell>
          <cell r="E734">
            <v>19.540041067761805</v>
          </cell>
        </row>
        <row r="735">
          <cell r="A735">
            <v>145573</v>
          </cell>
          <cell r="B735" t="str">
            <v>HASAN</v>
          </cell>
          <cell r="C735" t="str">
            <v>KARMEN</v>
          </cell>
          <cell r="D735">
            <v>34737</v>
          </cell>
          <cell r="E735">
            <v>19.567419575633128</v>
          </cell>
        </row>
        <row r="736">
          <cell r="A736">
            <v>30599</v>
          </cell>
          <cell r="B736" t="str">
            <v>ZAMIR</v>
          </cell>
          <cell r="C736" t="str">
            <v>DANIEL</v>
          </cell>
          <cell r="D736">
            <v>34723</v>
          </cell>
          <cell r="E736">
            <v>19.605749486652979</v>
          </cell>
        </row>
        <row r="737">
          <cell r="A737">
            <v>17167</v>
          </cell>
          <cell r="B737" t="str">
            <v>DAMAAN</v>
          </cell>
          <cell r="C737" t="str">
            <v>SAIF</v>
          </cell>
          <cell r="D737">
            <v>34721</v>
          </cell>
          <cell r="E737">
            <v>19.611225188227241</v>
          </cell>
        </row>
        <row r="738">
          <cell r="A738">
            <v>26800</v>
          </cell>
          <cell r="B738" t="str">
            <v>REICH</v>
          </cell>
          <cell r="C738" t="str">
            <v>CHANI</v>
          </cell>
          <cell r="D738">
            <v>34719</v>
          </cell>
          <cell r="E738">
            <v>19.616700889801507</v>
          </cell>
        </row>
        <row r="739">
          <cell r="A739">
            <v>16081</v>
          </cell>
          <cell r="B739" t="str">
            <v>HEIDARIFAR</v>
          </cell>
          <cell r="C739" t="str">
            <v>ARIAN</v>
          </cell>
          <cell r="D739">
            <v>34718</v>
          </cell>
          <cell r="E739">
            <v>19.619438740588638</v>
          </cell>
        </row>
        <row r="740">
          <cell r="A740">
            <v>51187</v>
          </cell>
          <cell r="B740" t="str">
            <v>PORGES</v>
          </cell>
          <cell r="C740" t="str">
            <v>EMILY</v>
          </cell>
          <cell r="D740">
            <v>34708</v>
          </cell>
          <cell r="E740">
            <v>19.646817248459961</v>
          </cell>
        </row>
        <row r="741">
          <cell r="A741">
            <v>67849</v>
          </cell>
          <cell r="B741" t="str">
            <v>MERVIS</v>
          </cell>
          <cell r="C741" t="str">
            <v>RACHEL</v>
          </cell>
          <cell r="D741">
            <v>34707</v>
          </cell>
          <cell r="E741">
            <v>19.649555099247092</v>
          </cell>
        </row>
        <row r="742">
          <cell r="A742">
            <v>24597</v>
          </cell>
          <cell r="B742" t="str">
            <v>HERRIDGE-ISHAK</v>
          </cell>
          <cell r="C742" t="str">
            <v>DANIEL</v>
          </cell>
          <cell r="D742">
            <v>34698</v>
          </cell>
          <cell r="E742">
            <v>19.674195756331279</v>
          </cell>
        </row>
        <row r="743">
          <cell r="A743">
            <v>40372</v>
          </cell>
          <cell r="B743" t="str">
            <v>SAUNDERS</v>
          </cell>
          <cell r="C743" t="str">
            <v>LUCINDA</v>
          </cell>
          <cell r="D743">
            <v>34698</v>
          </cell>
          <cell r="E743">
            <v>19.674195756331279</v>
          </cell>
        </row>
        <row r="744">
          <cell r="A744">
            <v>128306</v>
          </cell>
          <cell r="B744" t="str">
            <v>SERVICE</v>
          </cell>
          <cell r="C744" t="str">
            <v>SHANE</v>
          </cell>
          <cell r="D744">
            <v>34688</v>
          </cell>
          <cell r="E744">
            <v>19.701574264202602</v>
          </cell>
        </row>
        <row r="745">
          <cell r="A745">
            <v>64909</v>
          </cell>
          <cell r="B745" t="str">
            <v>GORDON</v>
          </cell>
          <cell r="C745" t="str">
            <v>BORUCH</v>
          </cell>
          <cell r="D745">
            <v>34679</v>
          </cell>
          <cell r="E745">
            <v>19.72621492128679</v>
          </cell>
        </row>
        <row r="746">
          <cell r="A746">
            <v>31948</v>
          </cell>
          <cell r="B746" t="str">
            <v>MYERS</v>
          </cell>
          <cell r="C746" t="str">
            <v>ITAMAR</v>
          </cell>
          <cell r="D746">
            <v>34663</v>
          </cell>
          <cell r="E746">
            <v>19.770020533880903</v>
          </cell>
        </row>
        <row r="747">
          <cell r="A747">
            <v>17289</v>
          </cell>
          <cell r="B747" t="str">
            <v>MEYER</v>
          </cell>
          <cell r="C747" t="str">
            <v>ARIELLA</v>
          </cell>
          <cell r="D747">
            <v>34663</v>
          </cell>
          <cell r="E747">
            <v>19.770020533880903</v>
          </cell>
        </row>
        <row r="748">
          <cell r="A748">
            <v>149061</v>
          </cell>
          <cell r="B748" t="str">
            <v>ABELESZ</v>
          </cell>
          <cell r="C748" t="str">
            <v>LEAH</v>
          </cell>
          <cell r="D748">
            <v>34661</v>
          </cell>
          <cell r="E748">
            <v>19.775496235455169</v>
          </cell>
        </row>
        <row r="749">
          <cell r="A749">
            <v>17367</v>
          </cell>
          <cell r="B749" t="str">
            <v>SUPASIANG-GRIEVES</v>
          </cell>
          <cell r="C749" t="str">
            <v>HARRY</v>
          </cell>
          <cell r="D749">
            <v>34642</v>
          </cell>
          <cell r="E749">
            <v>19.827515400410679</v>
          </cell>
        </row>
        <row r="750">
          <cell r="A750">
            <v>28907</v>
          </cell>
          <cell r="B750" t="str">
            <v>LE DAIN</v>
          </cell>
          <cell r="C750" t="str">
            <v>JAMES</v>
          </cell>
          <cell r="D750">
            <v>34618</v>
          </cell>
          <cell r="E750">
            <v>19.893223819301848</v>
          </cell>
        </row>
        <row r="751">
          <cell r="A751">
            <v>34767</v>
          </cell>
          <cell r="B751" t="str">
            <v>SHAH</v>
          </cell>
          <cell r="C751" t="str">
            <v>NIRAV</v>
          </cell>
          <cell r="D751">
            <v>34615</v>
          </cell>
          <cell r="E751">
            <v>19.901437371663246</v>
          </cell>
        </row>
        <row r="752">
          <cell r="A752">
            <v>27368</v>
          </cell>
          <cell r="B752" t="str">
            <v>SPAUL</v>
          </cell>
          <cell r="C752" t="str">
            <v>CALLUM</v>
          </cell>
          <cell r="D752">
            <v>34601</v>
          </cell>
          <cell r="E752">
            <v>19.939767282683093</v>
          </cell>
        </row>
        <row r="753">
          <cell r="A753">
            <v>32273</v>
          </cell>
          <cell r="B753" t="str">
            <v>SIEFF</v>
          </cell>
          <cell r="C753" t="str">
            <v>JONATHAN</v>
          </cell>
          <cell r="D753">
            <v>34593</v>
          </cell>
          <cell r="E753">
            <v>19.961670088980149</v>
          </cell>
        </row>
        <row r="754">
          <cell r="A754">
            <v>21384</v>
          </cell>
          <cell r="B754" t="str">
            <v>KAO</v>
          </cell>
          <cell r="C754" t="str">
            <v>REECE</v>
          </cell>
          <cell r="D754">
            <v>34593</v>
          </cell>
          <cell r="E754">
            <v>19.961670088980149</v>
          </cell>
        </row>
        <row r="755">
          <cell r="A755">
            <v>17527</v>
          </cell>
          <cell r="B755" t="str">
            <v>SALIM-JAFFER</v>
          </cell>
          <cell r="C755" t="str">
            <v>ZAHRA</v>
          </cell>
          <cell r="D755">
            <v>34592</v>
          </cell>
          <cell r="E755">
            <v>19.964407939767284</v>
          </cell>
        </row>
        <row r="756">
          <cell r="A756">
            <v>15876</v>
          </cell>
          <cell r="B756" t="str">
            <v>PUGSLEY</v>
          </cell>
          <cell r="C756" t="str">
            <v>SCOTT</v>
          </cell>
          <cell r="D756">
            <v>34586</v>
          </cell>
          <cell r="E756">
            <v>19.980835044490075</v>
          </cell>
        </row>
        <row r="757">
          <cell r="A757">
            <v>155655</v>
          </cell>
          <cell r="B757" t="str">
            <v>TANG-MARTIN</v>
          </cell>
          <cell r="C757" t="str">
            <v>CARLOS</v>
          </cell>
          <cell r="D757">
            <v>34579</v>
          </cell>
          <cell r="E757">
            <v>20</v>
          </cell>
        </row>
        <row r="758">
          <cell r="A758">
            <v>19300</v>
          </cell>
          <cell r="B758" t="str">
            <v>HARRIMAN</v>
          </cell>
          <cell r="C758" t="str">
            <v>TERRY</v>
          </cell>
          <cell r="D758">
            <v>34564</v>
          </cell>
          <cell r="E758">
            <v>20.041067761806982</v>
          </cell>
        </row>
        <row r="759">
          <cell r="A759">
            <v>65066</v>
          </cell>
          <cell r="B759" t="str">
            <v>SIRETT</v>
          </cell>
          <cell r="C759" t="str">
            <v>JOHN</v>
          </cell>
          <cell r="D759">
            <v>34561</v>
          </cell>
          <cell r="E759">
            <v>20.049281314168379</v>
          </cell>
        </row>
        <row r="760">
          <cell r="A760">
            <v>17178</v>
          </cell>
          <cell r="B760" t="str">
            <v>EMAMI-SARAVI</v>
          </cell>
          <cell r="C760" t="str">
            <v>LEILA</v>
          </cell>
          <cell r="D760">
            <v>34559</v>
          </cell>
          <cell r="E760">
            <v>20.054757015742641</v>
          </cell>
        </row>
        <row r="761">
          <cell r="A761">
            <v>64996</v>
          </cell>
          <cell r="B761" t="str">
            <v>MUSKER</v>
          </cell>
          <cell r="C761" t="str">
            <v>BEN</v>
          </cell>
          <cell r="D761">
            <v>34546</v>
          </cell>
          <cell r="E761">
            <v>20.090349075975361</v>
          </cell>
        </row>
        <row r="762">
          <cell r="A762">
            <v>65343</v>
          </cell>
          <cell r="B762" t="str">
            <v>MICHAEL</v>
          </cell>
          <cell r="C762" t="str">
            <v>GREGORY PANTELLIS</v>
          </cell>
          <cell r="D762">
            <v>34542</v>
          </cell>
          <cell r="E762">
            <v>20.101300479123889</v>
          </cell>
        </row>
        <row r="763">
          <cell r="A763">
            <v>19894</v>
          </cell>
          <cell r="B763" t="str">
            <v>WHITE</v>
          </cell>
          <cell r="C763" t="str">
            <v>ELEANOR ANN</v>
          </cell>
          <cell r="D763">
            <v>34529</v>
          </cell>
          <cell r="E763">
            <v>20.136892539356605</v>
          </cell>
        </row>
        <row r="764">
          <cell r="A764">
            <v>29382</v>
          </cell>
          <cell r="B764" t="str">
            <v>BRENNAN</v>
          </cell>
          <cell r="C764" t="str">
            <v>CONOR</v>
          </cell>
          <cell r="D764">
            <v>34516</v>
          </cell>
          <cell r="E764">
            <v>20.172484599589321</v>
          </cell>
        </row>
        <row r="765">
          <cell r="A765">
            <v>8010</v>
          </cell>
          <cell r="B765" t="str">
            <v>DOBSON</v>
          </cell>
          <cell r="C765" t="str">
            <v>DENNIS</v>
          </cell>
          <cell r="D765">
            <v>34508</v>
          </cell>
          <cell r="E765">
            <v>20.194387405886378</v>
          </cell>
        </row>
        <row r="766">
          <cell r="A766">
            <v>34705</v>
          </cell>
          <cell r="B766" t="str">
            <v>PATEL</v>
          </cell>
          <cell r="C766" t="str">
            <v>MEERA</v>
          </cell>
          <cell r="D766">
            <v>34501</v>
          </cell>
          <cell r="E766">
            <v>20.213552361396303</v>
          </cell>
        </row>
        <row r="767">
          <cell r="A767">
            <v>66213</v>
          </cell>
          <cell r="B767" t="str">
            <v>HARRIS</v>
          </cell>
          <cell r="C767" t="str">
            <v>EDWARD</v>
          </cell>
          <cell r="D767">
            <v>34491</v>
          </cell>
          <cell r="E767">
            <v>20.240930869267626</v>
          </cell>
        </row>
        <row r="768">
          <cell r="A768">
            <v>65161</v>
          </cell>
          <cell r="B768" t="str">
            <v>GUNDLE</v>
          </cell>
          <cell r="C768" t="str">
            <v>ZACH</v>
          </cell>
          <cell r="D768">
            <v>34481</v>
          </cell>
          <cell r="E768">
            <v>20.268309377138944</v>
          </cell>
        </row>
        <row r="769">
          <cell r="A769">
            <v>30678</v>
          </cell>
          <cell r="B769" t="str">
            <v>FREEMAN</v>
          </cell>
          <cell r="C769" t="str">
            <v>YISROEL</v>
          </cell>
          <cell r="D769">
            <v>34469</v>
          </cell>
          <cell r="E769">
            <v>20.301163586584533</v>
          </cell>
        </row>
        <row r="770">
          <cell r="A770">
            <v>65274</v>
          </cell>
          <cell r="B770" t="str">
            <v>SAUL</v>
          </cell>
          <cell r="C770" t="str">
            <v>JORDAN</v>
          </cell>
          <cell r="D770">
            <v>34453</v>
          </cell>
          <cell r="E770">
            <v>20.344969199178646</v>
          </cell>
        </row>
        <row r="771">
          <cell r="A771">
            <v>38232</v>
          </cell>
          <cell r="B771" t="str">
            <v>ODUMODU</v>
          </cell>
          <cell r="C771" t="str">
            <v>ANTHONY</v>
          </cell>
          <cell r="D771">
            <v>34447</v>
          </cell>
          <cell r="E771">
            <v>20.361396303901437</v>
          </cell>
        </row>
        <row r="772">
          <cell r="A772">
            <v>17047</v>
          </cell>
          <cell r="B772" t="str">
            <v>THOMSON</v>
          </cell>
          <cell r="C772" t="str">
            <v>LEO</v>
          </cell>
          <cell r="D772">
            <v>34442</v>
          </cell>
          <cell r="E772">
            <v>20.3750855578371</v>
          </cell>
        </row>
        <row r="773">
          <cell r="A773">
            <v>4568</v>
          </cell>
          <cell r="B773" t="str">
            <v>GILL</v>
          </cell>
          <cell r="C773" t="str">
            <v>TIMOTHY</v>
          </cell>
          <cell r="D773">
            <v>34413</v>
          </cell>
          <cell r="E773">
            <v>20.454483230663929</v>
          </cell>
        </row>
        <row r="774">
          <cell r="A774">
            <v>65091</v>
          </cell>
          <cell r="B774" t="str">
            <v>KATZ</v>
          </cell>
          <cell r="C774" t="str">
            <v>SAMUEL</v>
          </cell>
          <cell r="D774">
            <v>34413</v>
          </cell>
          <cell r="E774">
            <v>20.454483230663929</v>
          </cell>
        </row>
        <row r="775">
          <cell r="A775">
            <v>65283</v>
          </cell>
          <cell r="B775" t="str">
            <v>HICKEY</v>
          </cell>
          <cell r="C775" t="str">
            <v>SIOBHAN</v>
          </cell>
          <cell r="D775">
            <v>34410</v>
          </cell>
          <cell r="E775">
            <v>20.462696783025326</v>
          </cell>
        </row>
        <row r="776">
          <cell r="A776">
            <v>17679</v>
          </cell>
          <cell r="B776" t="str">
            <v>O'LEARY</v>
          </cell>
          <cell r="C776" t="str">
            <v>KATHLEEEN</v>
          </cell>
          <cell r="D776">
            <v>34408</v>
          </cell>
          <cell r="E776">
            <v>20.468172484599588</v>
          </cell>
        </row>
        <row r="777">
          <cell r="A777">
            <v>8427</v>
          </cell>
          <cell r="B777" t="str">
            <v>WAKEFIELD</v>
          </cell>
          <cell r="C777" t="str">
            <v>JOHN</v>
          </cell>
          <cell r="D777">
            <v>34402</v>
          </cell>
          <cell r="E777">
            <v>20.484599589322382</v>
          </cell>
        </row>
        <row r="778">
          <cell r="A778">
            <v>195800</v>
          </cell>
          <cell r="B778" t="str">
            <v>BAILEY</v>
          </cell>
          <cell r="C778" t="str">
            <v>SHAQUILLE</v>
          </cell>
          <cell r="D778">
            <v>34397</v>
          </cell>
          <cell r="E778">
            <v>20.498288843258042</v>
          </cell>
        </row>
        <row r="779">
          <cell r="A779">
            <v>28104</v>
          </cell>
          <cell r="B779" t="str">
            <v>LOXLEY-BLOUNT</v>
          </cell>
          <cell r="C779" t="str">
            <v>HELEN</v>
          </cell>
          <cell r="D779">
            <v>34396</v>
          </cell>
          <cell r="E779">
            <v>20.501026694045173</v>
          </cell>
        </row>
        <row r="780">
          <cell r="A780">
            <v>26606</v>
          </cell>
          <cell r="B780" t="str">
            <v>DAVIDSON</v>
          </cell>
          <cell r="C780" t="str">
            <v>ESTHER</v>
          </cell>
          <cell r="D780">
            <v>34394</v>
          </cell>
          <cell r="E780">
            <v>20.506502395619439</v>
          </cell>
        </row>
        <row r="781">
          <cell r="A781">
            <v>40306</v>
          </cell>
          <cell r="B781" t="str">
            <v>BROWN</v>
          </cell>
          <cell r="C781" t="str">
            <v>LOUISE</v>
          </cell>
          <cell r="D781">
            <v>34387</v>
          </cell>
          <cell r="E781">
            <v>20.525667351129364</v>
          </cell>
        </row>
        <row r="782">
          <cell r="A782">
            <v>26787</v>
          </cell>
          <cell r="B782" t="str">
            <v>ORZEL</v>
          </cell>
          <cell r="C782" t="str">
            <v>MIRI</v>
          </cell>
          <cell r="D782">
            <v>34356</v>
          </cell>
          <cell r="E782">
            <v>20.610540725530459</v>
          </cell>
        </row>
        <row r="783">
          <cell r="A783">
            <v>197493</v>
          </cell>
          <cell r="B783" t="str">
            <v>BROWN</v>
          </cell>
          <cell r="C783" t="str">
            <v>JAMAL</v>
          </cell>
          <cell r="D783">
            <v>34342</v>
          </cell>
          <cell r="E783">
            <v>20.648870636550306</v>
          </cell>
        </row>
        <row r="784">
          <cell r="A784">
            <v>26528</v>
          </cell>
          <cell r="B784" t="str">
            <v>WEISBART</v>
          </cell>
          <cell r="C784" t="str">
            <v>ARON</v>
          </cell>
          <cell r="D784">
            <v>34339</v>
          </cell>
          <cell r="E784">
            <v>20.657084188911703</v>
          </cell>
        </row>
        <row r="785">
          <cell r="A785">
            <v>65339</v>
          </cell>
          <cell r="B785" t="str">
            <v>ABDIKANI</v>
          </cell>
          <cell r="C785" t="str">
            <v>MOHAMMED</v>
          </cell>
          <cell r="D785">
            <v>34337</v>
          </cell>
          <cell r="E785">
            <v>20.662559890485969</v>
          </cell>
        </row>
        <row r="786">
          <cell r="A786">
            <v>22336</v>
          </cell>
          <cell r="B786" t="str">
            <v>WELLE</v>
          </cell>
          <cell r="C786" t="str">
            <v>ZAHRA</v>
          </cell>
          <cell r="D786">
            <v>34320</v>
          </cell>
          <cell r="E786">
            <v>20.709103353867214</v>
          </cell>
        </row>
        <row r="787">
          <cell r="A787">
            <v>16500</v>
          </cell>
          <cell r="B787" t="str">
            <v>TROBER</v>
          </cell>
          <cell r="C787" t="str">
            <v>JOSHUA</v>
          </cell>
          <cell r="D787">
            <v>34314</v>
          </cell>
          <cell r="E787">
            <v>20.725530458590008</v>
          </cell>
        </row>
        <row r="788">
          <cell r="A788">
            <v>65350</v>
          </cell>
          <cell r="B788" t="str">
            <v>CHODOSH</v>
          </cell>
          <cell r="C788" t="str">
            <v>JAKE JOSEPH LEE</v>
          </cell>
          <cell r="D788">
            <v>34312</v>
          </cell>
          <cell r="E788">
            <v>20.73100616016427</v>
          </cell>
        </row>
        <row r="789">
          <cell r="A789">
            <v>66031</v>
          </cell>
          <cell r="B789" t="str">
            <v>LAIGEE-BANIASAD</v>
          </cell>
          <cell r="C789" t="str">
            <v>ASHNI</v>
          </cell>
          <cell r="D789">
            <v>34310</v>
          </cell>
          <cell r="E789">
            <v>20.736481861738536</v>
          </cell>
        </row>
        <row r="790">
          <cell r="A790">
            <v>65287</v>
          </cell>
          <cell r="B790" t="str">
            <v>THOMAS</v>
          </cell>
          <cell r="C790" t="str">
            <v>OSCAR</v>
          </cell>
          <cell r="D790">
            <v>34299</v>
          </cell>
          <cell r="E790">
            <v>20.76659822039699</v>
          </cell>
        </row>
        <row r="791">
          <cell r="A791">
            <v>195563</v>
          </cell>
          <cell r="B791" t="str">
            <v>MAPETJA</v>
          </cell>
          <cell r="C791" t="str">
            <v>LIAKO</v>
          </cell>
          <cell r="D791">
            <v>34289</v>
          </cell>
          <cell r="E791">
            <v>20.793976728268309</v>
          </cell>
        </row>
        <row r="792">
          <cell r="A792">
            <v>39634</v>
          </cell>
          <cell r="B792" t="str">
            <v>SIMMONDS-ROSTEN</v>
          </cell>
          <cell r="C792" t="str">
            <v>YOSEF</v>
          </cell>
          <cell r="D792">
            <v>34242</v>
          </cell>
          <cell r="E792">
            <v>20.922655715263517</v>
          </cell>
        </row>
        <row r="793">
          <cell r="A793">
            <v>64892</v>
          </cell>
          <cell r="B793" t="str">
            <v>LEWIS</v>
          </cell>
          <cell r="C793" t="str">
            <v>TAMARA</v>
          </cell>
          <cell r="D793">
            <v>34241</v>
          </cell>
          <cell r="E793">
            <v>20.925393566050651</v>
          </cell>
        </row>
        <row r="794">
          <cell r="A794">
            <v>21106</v>
          </cell>
          <cell r="B794" t="str">
            <v>HELE</v>
          </cell>
          <cell r="C794" t="str">
            <v>PACE YIN-ZI</v>
          </cell>
          <cell r="D794">
            <v>34214</v>
          </cell>
          <cell r="E794">
            <v>20.999315537303218</v>
          </cell>
        </row>
        <row r="795">
          <cell r="A795">
            <v>17483</v>
          </cell>
          <cell r="B795" t="str">
            <v>LUISI</v>
          </cell>
          <cell r="C795" t="str">
            <v>GIANLUCA</v>
          </cell>
          <cell r="D795">
            <v>34209</v>
          </cell>
          <cell r="E795">
            <v>21.013004791238878</v>
          </cell>
        </row>
        <row r="796">
          <cell r="A796">
            <v>65285</v>
          </cell>
          <cell r="B796" t="str">
            <v>KUSZER</v>
          </cell>
          <cell r="C796" t="str">
            <v>LIEBLE</v>
          </cell>
          <cell r="D796">
            <v>34196</v>
          </cell>
          <cell r="E796">
            <v>21.048596851471594</v>
          </cell>
        </row>
        <row r="797">
          <cell r="A797">
            <v>4545</v>
          </cell>
          <cell r="B797" t="str">
            <v>KERR</v>
          </cell>
          <cell r="C797" t="str">
            <v>BOBBY</v>
          </cell>
          <cell r="D797">
            <v>34185</v>
          </cell>
          <cell r="E797">
            <v>21.078713210130047</v>
          </cell>
        </row>
        <row r="798">
          <cell r="A798">
            <v>65140</v>
          </cell>
          <cell r="B798" t="str">
            <v>FELDMAN</v>
          </cell>
          <cell r="C798" t="str">
            <v>GOLDA</v>
          </cell>
          <cell r="D798">
            <v>34179</v>
          </cell>
          <cell r="E798">
            <v>21.095140314852841</v>
          </cell>
        </row>
        <row r="799">
          <cell r="A799">
            <v>65102</v>
          </cell>
          <cell r="B799" t="str">
            <v>Hillary-Lesquerre</v>
          </cell>
          <cell r="C799" t="str">
            <v>QUENTIN</v>
          </cell>
          <cell r="D799">
            <v>34152</v>
          </cell>
          <cell r="E799">
            <v>21.169062286105408</v>
          </cell>
        </row>
        <row r="800">
          <cell r="A800">
            <v>52101</v>
          </cell>
          <cell r="B800" t="str">
            <v>KNIGHT</v>
          </cell>
          <cell r="C800" t="str">
            <v>RUTH ELLEN</v>
          </cell>
          <cell r="D800">
            <v>34138</v>
          </cell>
          <cell r="E800">
            <v>21.207392197125255</v>
          </cell>
        </row>
        <row r="801">
          <cell r="A801">
            <v>65062</v>
          </cell>
          <cell r="B801" t="str">
            <v>LOCK</v>
          </cell>
          <cell r="C801" t="str">
            <v>FREDDIE</v>
          </cell>
          <cell r="D801">
            <v>34106</v>
          </cell>
          <cell r="E801">
            <v>21.295003422313485</v>
          </cell>
        </row>
        <row r="802">
          <cell r="A802">
            <v>17222</v>
          </cell>
          <cell r="B802" t="str">
            <v>HOLLINGBERY</v>
          </cell>
          <cell r="C802" t="str">
            <v>CONAN</v>
          </cell>
          <cell r="D802">
            <v>34105</v>
          </cell>
          <cell r="E802">
            <v>21.297741273100616</v>
          </cell>
        </row>
        <row r="803">
          <cell r="A803">
            <v>145525</v>
          </cell>
          <cell r="B803" t="str">
            <v>LANGOWSKA</v>
          </cell>
          <cell r="C803" t="str">
            <v>KAROLINA</v>
          </cell>
          <cell r="D803">
            <v>34105</v>
          </cell>
          <cell r="E803">
            <v>21.297741273100616</v>
          </cell>
        </row>
        <row r="804">
          <cell r="A804">
            <v>170618</v>
          </cell>
          <cell r="B804" t="str">
            <v>PARKER</v>
          </cell>
          <cell r="C804" t="str">
            <v>TAMSIN</v>
          </cell>
          <cell r="D804">
            <v>34087</v>
          </cell>
          <cell r="E804">
            <v>21.347022587268995</v>
          </cell>
        </row>
        <row r="805">
          <cell r="A805">
            <v>65248</v>
          </cell>
          <cell r="B805" t="str">
            <v>BRONSON</v>
          </cell>
          <cell r="C805" t="str">
            <v>BRADLEY</v>
          </cell>
          <cell r="D805">
            <v>34084</v>
          </cell>
          <cell r="E805">
            <v>21.355236139630389</v>
          </cell>
        </row>
        <row r="806">
          <cell r="A806">
            <v>21362</v>
          </cell>
          <cell r="B806" t="str">
            <v>FRANCIS</v>
          </cell>
          <cell r="C806" t="str">
            <v>SAM</v>
          </cell>
          <cell r="D806">
            <v>34074</v>
          </cell>
          <cell r="E806">
            <v>21.382614647501711</v>
          </cell>
        </row>
        <row r="807">
          <cell r="A807">
            <v>72333</v>
          </cell>
          <cell r="B807" t="str">
            <v>MBETOLO</v>
          </cell>
          <cell r="C807" t="str">
            <v>HILDA</v>
          </cell>
          <cell r="D807">
            <v>34068</v>
          </cell>
          <cell r="E807">
            <v>21.399041752224505</v>
          </cell>
        </row>
        <row r="808">
          <cell r="A808">
            <v>36050</v>
          </cell>
          <cell r="B808" t="str">
            <v>KRAVETZ</v>
          </cell>
          <cell r="C808" t="str">
            <v>DANIEL</v>
          </cell>
          <cell r="D808">
            <v>34055</v>
          </cell>
          <cell r="E808">
            <v>21.434633812457221</v>
          </cell>
        </row>
        <row r="809">
          <cell r="A809">
            <v>64986</v>
          </cell>
          <cell r="B809" t="str">
            <v>HARRIS</v>
          </cell>
          <cell r="C809" t="str">
            <v>STEPHANIE</v>
          </cell>
          <cell r="D809">
            <v>34038</v>
          </cell>
          <cell r="E809">
            <v>21.481177275838466</v>
          </cell>
        </row>
        <row r="810">
          <cell r="A810">
            <v>65150</v>
          </cell>
          <cell r="B810" t="str">
            <v>WEBSTER</v>
          </cell>
          <cell r="C810" t="str">
            <v>OLIVER</v>
          </cell>
          <cell r="D810">
            <v>34038</v>
          </cell>
          <cell r="E810">
            <v>21.481177275838466</v>
          </cell>
        </row>
        <row r="811">
          <cell r="A811">
            <v>65198</v>
          </cell>
          <cell r="B811" t="str">
            <v>KLEINMAN</v>
          </cell>
          <cell r="C811" t="str">
            <v>JOSHUA TOBY</v>
          </cell>
          <cell r="D811">
            <v>34030</v>
          </cell>
          <cell r="E811">
            <v>21.503080082135522</v>
          </cell>
        </row>
        <row r="812">
          <cell r="A812">
            <v>66174</v>
          </cell>
          <cell r="B812" t="str">
            <v>O'DONNELL</v>
          </cell>
          <cell r="C812" t="str">
            <v>CHRISTOPHER</v>
          </cell>
          <cell r="D812">
            <v>33958</v>
          </cell>
          <cell r="E812">
            <v>21.700205338809035</v>
          </cell>
        </row>
        <row r="813">
          <cell r="A813">
            <v>65289</v>
          </cell>
          <cell r="B813" t="str">
            <v>HAZIZA</v>
          </cell>
          <cell r="C813" t="str">
            <v>AMIR</v>
          </cell>
          <cell r="D813">
            <v>33945</v>
          </cell>
          <cell r="E813">
            <v>21.735797399041751</v>
          </cell>
        </row>
        <row r="814">
          <cell r="A814">
            <v>146149</v>
          </cell>
          <cell r="B814" t="str">
            <v>BLOOM</v>
          </cell>
          <cell r="C814" t="str">
            <v>ASHLEY</v>
          </cell>
          <cell r="D814">
            <v>33911</v>
          </cell>
          <cell r="E814">
            <v>21.828884325804243</v>
          </cell>
        </row>
        <row r="815">
          <cell r="A815">
            <v>189782</v>
          </cell>
          <cell r="B815" t="str">
            <v>COHEN</v>
          </cell>
          <cell r="C815" t="str">
            <v>MAI</v>
          </cell>
          <cell r="D815">
            <v>33903</v>
          </cell>
          <cell r="E815">
            <v>21.850787132101299</v>
          </cell>
        </row>
        <row r="816">
          <cell r="A816">
            <v>65298</v>
          </cell>
          <cell r="B816" t="str">
            <v>AHMED</v>
          </cell>
          <cell r="C816" t="str">
            <v>TASLIM</v>
          </cell>
          <cell r="D816">
            <v>33901</v>
          </cell>
          <cell r="E816">
            <v>21.856262833675565</v>
          </cell>
        </row>
        <row r="817">
          <cell r="A817">
            <v>66204</v>
          </cell>
          <cell r="B817" t="str">
            <v>GARDINER</v>
          </cell>
          <cell r="C817" t="str">
            <v>STUART</v>
          </cell>
          <cell r="D817">
            <v>33894</v>
          </cell>
          <cell r="E817">
            <v>21.87542778918549</v>
          </cell>
        </row>
        <row r="818">
          <cell r="A818">
            <v>19610</v>
          </cell>
          <cell r="B818" t="str">
            <v>QUAZI</v>
          </cell>
          <cell r="C818" t="str">
            <v>HAARON</v>
          </cell>
          <cell r="D818">
            <v>33892</v>
          </cell>
          <cell r="E818">
            <v>21.880903490759753</v>
          </cell>
        </row>
        <row r="819">
          <cell r="A819">
            <v>52437</v>
          </cell>
          <cell r="B819" t="str">
            <v>SOLOMONS</v>
          </cell>
          <cell r="C819" t="str">
            <v>LOUIS ISRAEL</v>
          </cell>
          <cell r="D819">
            <v>33889</v>
          </cell>
          <cell r="E819">
            <v>21.88911704312115</v>
          </cell>
        </row>
        <row r="820">
          <cell r="A820">
            <v>23180</v>
          </cell>
          <cell r="B820" t="str">
            <v>LEMER</v>
          </cell>
          <cell r="C820" t="str">
            <v>DANIEL</v>
          </cell>
          <cell r="D820">
            <v>33883</v>
          </cell>
          <cell r="E820">
            <v>21.905544147843944</v>
          </cell>
        </row>
        <row r="821">
          <cell r="A821">
            <v>17329</v>
          </cell>
          <cell r="B821" t="str">
            <v>RANTELL</v>
          </cell>
          <cell r="C821" t="str">
            <v>GREGORY</v>
          </cell>
          <cell r="D821">
            <v>33880</v>
          </cell>
          <cell r="E821">
            <v>21.913757700205338</v>
          </cell>
        </row>
        <row r="822">
          <cell r="A822">
            <v>65240</v>
          </cell>
          <cell r="B822" t="str">
            <v>GROSZMAN</v>
          </cell>
          <cell r="C822" t="str">
            <v>MICHELLE</v>
          </cell>
          <cell r="D822">
            <v>33874</v>
          </cell>
          <cell r="E822">
            <v>21.930184804928132</v>
          </cell>
        </row>
        <row r="823">
          <cell r="A823">
            <v>172555</v>
          </cell>
          <cell r="B823" t="str">
            <v>MUTANGILAYI</v>
          </cell>
          <cell r="C823" t="str">
            <v>MARRIE-JEANNE</v>
          </cell>
          <cell r="D823">
            <v>33831</v>
          </cell>
          <cell r="E823">
            <v>22.047912388774812</v>
          </cell>
        </row>
        <row r="824">
          <cell r="A824">
            <v>64989</v>
          </cell>
          <cell r="B824" t="str">
            <v>VARIAN</v>
          </cell>
          <cell r="C824" t="str">
            <v>TIMOTHY</v>
          </cell>
          <cell r="D824">
            <v>33829</v>
          </cell>
          <cell r="E824">
            <v>22.053388090349078</v>
          </cell>
        </row>
        <row r="825">
          <cell r="A825">
            <v>18126</v>
          </cell>
          <cell r="B825" t="str">
            <v>DANN</v>
          </cell>
          <cell r="C825" t="str">
            <v>ALEXANDER</v>
          </cell>
          <cell r="D825">
            <v>33820</v>
          </cell>
          <cell r="E825">
            <v>22.078028747433265</v>
          </cell>
        </row>
        <row r="826">
          <cell r="A826">
            <v>53046</v>
          </cell>
          <cell r="B826" t="str">
            <v>MORRIS</v>
          </cell>
          <cell r="C826" t="str">
            <v>SHANI</v>
          </cell>
          <cell r="D826">
            <v>33765</v>
          </cell>
          <cell r="E826">
            <v>22.22861054072553</v>
          </cell>
        </row>
        <row r="827">
          <cell r="A827">
            <v>51131</v>
          </cell>
          <cell r="B827" t="str">
            <v>SHAIHK</v>
          </cell>
          <cell r="C827" t="str">
            <v>IMRAN</v>
          </cell>
          <cell r="D827">
            <v>33751</v>
          </cell>
          <cell r="E827">
            <v>22.266940451745381</v>
          </cell>
        </row>
        <row r="828">
          <cell r="A828">
            <v>65332</v>
          </cell>
          <cell r="B828" t="str">
            <v>FITZGERALD</v>
          </cell>
          <cell r="C828" t="str">
            <v>RHIANNA</v>
          </cell>
          <cell r="D828">
            <v>33750</v>
          </cell>
          <cell r="E828">
            <v>22.269678302532512</v>
          </cell>
        </row>
        <row r="829">
          <cell r="A829">
            <v>51120</v>
          </cell>
          <cell r="B829" t="str">
            <v>PEART</v>
          </cell>
          <cell r="C829" t="str">
            <v>SASAN</v>
          </cell>
          <cell r="D829">
            <v>33714</v>
          </cell>
          <cell r="E829">
            <v>22.368240930869266</v>
          </cell>
        </row>
        <row r="830">
          <cell r="A830">
            <v>52100</v>
          </cell>
          <cell r="B830" t="str">
            <v>KING</v>
          </cell>
          <cell r="C830" t="str">
            <v>ADAM</v>
          </cell>
          <cell r="D830">
            <v>33694</v>
          </cell>
          <cell r="E830">
            <v>22.422997946611911</v>
          </cell>
        </row>
        <row r="831">
          <cell r="A831">
            <v>52083</v>
          </cell>
          <cell r="B831" t="str">
            <v>BURGESS</v>
          </cell>
          <cell r="C831" t="str">
            <v>IEUAN</v>
          </cell>
          <cell r="D831">
            <v>33693</v>
          </cell>
          <cell r="E831">
            <v>22.425735797399042</v>
          </cell>
        </row>
        <row r="832">
          <cell r="A832">
            <v>64942</v>
          </cell>
          <cell r="B832" t="str">
            <v>FARREN</v>
          </cell>
          <cell r="C832" t="str">
            <v>WILLIAM</v>
          </cell>
          <cell r="D832">
            <v>33688</v>
          </cell>
          <cell r="E832">
            <v>22.439425051334702</v>
          </cell>
        </row>
        <row r="833">
          <cell r="A833">
            <v>64921</v>
          </cell>
          <cell r="B833" t="str">
            <v>PERVOE</v>
          </cell>
          <cell r="C833" t="str">
            <v>JAMES</v>
          </cell>
          <cell r="D833">
            <v>33644</v>
          </cell>
          <cell r="E833">
            <v>22.559890485968516</v>
          </cell>
        </row>
        <row r="834">
          <cell r="A834">
            <v>65216</v>
          </cell>
          <cell r="B834" t="str">
            <v>CORKER</v>
          </cell>
          <cell r="C834" t="str">
            <v>KATHERINE</v>
          </cell>
          <cell r="D834">
            <v>33618</v>
          </cell>
          <cell r="E834">
            <v>22.631074606433948</v>
          </cell>
        </row>
        <row r="835">
          <cell r="A835">
            <v>65011</v>
          </cell>
          <cell r="B835" t="str">
            <v>HAMID</v>
          </cell>
          <cell r="C835" t="str">
            <v>ZARA</v>
          </cell>
          <cell r="D835">
            <v>33611</v>
          </cell>
          <cell r="E835">
            <v>22.650239561943874</v>
          </cell>
        </row>
        <row r="836">
          <cell r="A836">
            <v>64919</v>
          </cell>
          <cell r="B836" t="str">
            <v>WELLER</v>
          </cell>
          <cell r="C836" t="str">
            <v>JAMES</v>
          </cell>
          <cell r="D836">
            <v>33604</v>
          </cell>
          <cell r="E836">
            <v>22.669404517453799</v>
          </cell>
        </row>
        <row r="837">
          <cell r="A837">
            <v>65246</v>
          </cell>
          <cell r="B837" t="str">
            <v>RATNAM</v>
          </cell>
          <cell r="C837" t="str">
            <v>SAYON</v>
          </cell>
          <cell r="D837">
            <v>33587</v>
          </cell>
          <cell r="E837">
            <v>22.715947980835043</v>
          </cell>
        </row>
        <row r="838">
          <cell r="A838">
            <v>66178</v>
          </cell>
          <cell r="B838" t="str">
            <v>DONOVAN</v>
          </cell>
          <cell r="C838" t="str">
            <v>JAMES</v>
          </cell>
          <cell r="D838">
            <v>33571</v>
          </cell>
          <cell r="E838">
            <v>22.759753593429156</v>
          </cell>
        </row>
        <row r="839">
          <cell r="A839">
            <v>64859</v>
          </cell>
          <cell r="B839" t="str">
            <v>HAYMAN</v>
          </cell>
          <cell r="C839" t="str">
            <v>HEATHERLEIGH</v>
          </cell>
          <cell r="D839">
            <v>33565</v>
          </cell>
          <cell r="E839">
            <v>22.776180698151951</v>
          </cell>
        </row>
        <row r="840">
          <cell r="A840">
            <v>64933</v>
          </cell>
          <cell r="B840" t="str">
            <v>BRAY</v>
          </cell>
          <cell r="C840" t="str">
            <v>ETHAN</v>
          </cell>
          <cell r="D840">
            <v>33542</v>
          </cell>
          <cell r="E840">
            <v>22.839151266255989</v>
          </cell>
        </row>
        <row r="841">
          <cell r="A841">
            <v>65116</v>
          </cell>
          <cell r="B841" t="str">
            <v>SMER</v>
          </cell>
          <cell r="C841" t="str">
            <v>NICHOLAS</v>
          </cell>
          <cell r="D841">
            <v>33526</v>
          </cell>
          <cell r="E841">
            <v>22.882956878850102</v>
          </cell>
        </row>
        <row r="842">
          <cell r="A842">
            <v>134341</v>
          </cell>
          <cell r="B842" t="str">
            <v>EVANS-JEAN-BAPTISTE</v>
          </cell>
          <cell r="C842" t="str">
            <v>LUKE</v>
          </cell>
          <cell r="D842">
            <v>33504</v>
          </cell>
          <cell r="E842">
            <v>22.943189596167009</v>
          </cell>
        </row>
        <row r="843">
          <cell r="A843">
            <v>64935</v>
          </cell>
          <cell r="B843" t="str">
            <v>HOLLINGBERY</v>
          </cell>
          <cell r="C843" t="str">
            <v>RUFUS</v>
          </cell>
          <cell r="D843">
            <v>33504</v>
          </cell>
          <cell r="E843">
            <v>22.943189596167009</v>
          </cell>
        </row>
        <row r="844">
          <cell r="A844">
            <v>65331</v>
          </cell>
          <cell r="B844" t="str">
            <v>DE LANCE</v>
          </cell>
          <cell r="C844" t="str">
            <v>JARETH</v>
          </cell>
          <cell r="D844">
            <v>32849</v>
          </cell>
          <cell r="E844">
            <v>24.736481861738536</v>
          </cell>
        </row>
        <row r="845">
          <cell r="A845">
            <v>213993</v>
          </cell>
          <cell r="B845" t="str">
            <v>Kahaner</v>
          </cell>
          <cell r="C845" t="str">
            <v>Benjamin</v>
          </cell>
          <cell r="D845">
            <v>39488</v>
          </cell>
          <cell r="E845">
            <v>6.5598904859685145</v>
          </cell>
        </row>
        <row r="846">
          <cell r="A846">
            <v>72769</v>
          </cell>
          <cell r="B846" t="str">
            <v>KING</v>
          </cell>
          <cell r="C846" t="str">
            <v>Louie</v>
          </cell>
          <cell r="D846">
            <v>34879</v>
          </cell>
          <cell r="E846">
            <v>19.178644763860369</v>
          </cell>
        </row>
        <row r="847">
          <cell r="A847">
            <v>38610</v>
          </cell>
          <cell r="B847" t="str">
            <v>Holder</v>
          </cell>
          <cell r="C847" t="str">
            <v>Asher</v>
          </cell>
          <cell r="D847">
            <v>35961</v>
          </cell>
          <cell r="E847">
            <v>16.216290212183434</v>
          </cell>
        </row>
        <row r="848">
          <cell r="A848">
            <v>73690</v>
          </cell>
          <cell r="B848" t="str">
            <v>Gardner</v>
          </cell>
          <cell r="C848" t="str">
            <v>Joel</v>
          </cell>
          <cell r="D848">
            <v>37315</v>
          </cell>
          <cell r="E848">
            <v>12.509240246406572</v>
          </cell>
        </row>
        <row r="849">
          <cell r="A849">
            <v>74831</v>
          </cell>
          <cell r="B849" t="str">
            <v>Rosenfeld</v>
          </cell>
          <cell r="C849" t="str">
            <v>Gavriel</v>
          </cell>
          <cell r="D849">
            <v>37257</v>
          </cell>
          <cell r="E849">
            <v>12.668035592060233</v>
          </cell>
        </row>
        <row r="850">
          <cell r="A850">
            <v>151993</v>
          </cell>
          <cell r="B850" t="str">
            <v>Kay</v>
          </cell>
          <cell r="C850" t="str">
            <v>Saskia</v>
          </cell>
          <cell r="D850">
            <v>38443</v>
          </cell>
          <cell r="E850">
            <v>9.4209445585215601</v>
          </cell>
        </row>
        <row r="851">
          <cell r="A851">
            <v>172590</v>
          </cell>
          <cell r="B851" t="str">
            <v>Lowe</v>
          </cell>
          <cell r="C851" t="str">
            <v>Leon</v>
          </cell>
          <cell r="D851">
            <v>35965</v>
          </cell>
          <cell r="E851">
            <v>16.205338809034906</v>
          </cell>
        </row>
        <row r="852">
          <cell r="A852">
            <v>243763</v>
          </cell>
          <cell r="B852" t="str">
            <v>Blaker</v>
          </cell>
          <cell r="C852" t="str">
            <v>Simcha</v>
          </cell>
          <cell r="D852">
            <v>39368</v>
          </cell>
          <cell r="E852">
            <v>6.8884325804243671</v>
          </cell>
        </row>
        <row r="853">
          <cell r="A853">
            <v>285586</v>
          </cell>
          <cell r="B853" t="str">
            <v>Mohammed</v>
          </cell>
          <cell r="C853" t="str">
            <v>Sahil</v>
          </cell>
          <cell r="D853">
            <v>38434</v>
          </cell>
          <cell r="E853">
            <v>9.4455852156057496</v>
          </cell>
        </row>
        <row r="854">
          <cell r="A854">
            <v>290486</v>
          </cell>
          <cell r="B854" t="str">
            <v>Al-Gobory</v>
          </cell>
          <cell r="C854" t="str">
            <v>Laith</v>
          </cell>
          <cell r="D854">
            <v>38638</v>
          </cell>
          <cell r="E854">
            <v>8.8870636550308006</v>
          </cell>
        </row>
        <row r="855">
          <cell r="A855">
            <v>316271</v>
          </cell>
          <cell r="B855" t="str">
            <v>Jones</v>
          </cell>
          <cell r="C855" t="str">
            <v>Nadine</v>
          </cell>
          <cell r="D855">
            <v>38689</v>
          </cell>
          <cell r="E855">
            <v>8.7474332648870643</v>
          </cell>
        </row>
        <row r="856">
          <cell r="A856">
            <v>21105</v>
          </cell>
          <cell r="B856" t="str">
            <v>Hele</v>
          </cell>
          <cell r="C856" t="str">
            <v>Lauren</v>
          </cell>
          <cell r="D856">
            <v>35373</v>
          </cell>
          <cell r="E856">
            <v>17.826146475017111</v>
          </cell>
        </row>
        <row r="857">
          <cell r="A857">
            <v>310317</v>
          </cell>
          <cell r="B857" t="str">
            <v>Ismaili-Idrissi</v>
          </cell>
          <cell r="C857" t="str">
            <v>Amin</v>
          </cell>
          <cell r="D857">
            <v>38995</v>
          </cell>
          <cell r="E857">
            <v>7.9096509240246409</v>
          </cell>
        </row>
        <row r="858">
          <cell r="A858">
            <v>316271</v>
          </cell>
          <cell r="B858" t="str">
            <v>Jones</v>
          </cell>
          <cell r="C858" t="str">
            <v>Nadine</v>
          </cell>
          <cell r="D858">
            <v>38689</v>
          </cell>
          <cell r="E858">
            <v>8.7474332648870643</v>
          </cell>
        </row>
        <row r="859">
          <cell r="A859">
            <v>271210</v>
          </cell>
          <cell r="B859" t="str">
            <v>Matiny-Boroumand</v>
          </cell>
          <cell r="C859" t="str">
            <v>Pouya</v>
          </cell>
          <cell r="D859">
            <v>39440</v>
          </cell>
          <cell r="E859">
            <v>6.6913073237508556</v>
          </cell>
        </row>
        <row r="860">
          <cell r="A860">
            <v>285586</v>
          </cell>
          <cell r="B860" t="str">
            <v>Mohammed</v>
          </cell>
          <cell r="C860" t="str">
            <v>Sahil</v>
          </cell>
          <cell r="D860">
            <v>38434</v>
          </cell>
          <cell r="E860">
            <v>9.4455852156057496</v>
          </cell>
        </row>
        <row r="861">
          <cell r="A861">
            <v>245484</v>
          </cell>
          <cell r="B861" t="str">
            <v>Redland</v>
          </cell>
          <cell r="C861" t="str">
            <v>Zachary</v>
          </cell>
          <cell r="D861">
            <v>39335</v>
          </cell>
          <cell r="E861">
            <v>6.9787816563997263</v>
          </cell>
        </row>
        <row r="862">
          <cell r="A862">
            <v>65319</v>
          </cell>
          <cell r="B862" t="str">
            <v>Singh</v>
          </cell>
          <cell r="C862" t="str">
            <v>Anurita</v>
          </cell>
          <cell r="D862">
            <v>37321</v>
          </cell>
          <cell r="E862">
            <v>12.492813141683778</v>
          </cell>
        </row>
        <row r="863">
          <cell r="A863">
            <v>269429</v>
          </cell>
          <cell r="B863" t="str">
            <v>Summers</v>
          </cell>
          <cell r="C863" t="str">
            <v>Dean</v>
          </cell>
          <cell r="D863">
            <v>36805</v>
          </cell>
          <cell r="E863">
            <v>13.905544147843942</v>
          </cell>
        </row>
        <row r="864">
          <cell r="A864">
            <v>202579</v>
          </cell>
          <cell r="B864" t="str">
            <v>Tulip-Parkin</v>
          </cell>
          <cell r="C864" t="str">
            <v>Sydney</v>
          </cell>
          <cell r="D864">
            <v>36736</v>
          </cell>
          <cell r="E864">
            <v>14.094455852156058</v>
          </cell>
        </row>
        <row r="865">
          <cell r="A865">
            <v>299503</v>
          </cell>
          <cell r="B865" t="str">
            <v>Cutler</v>
          </cell>
          <cell r="C865" t="str">
            <v>Ruel</v>
          </cell>
          <cell r="D865">
            <v>36527</v>
          </cell>
          <cell r="E865">
            <v>14.666666666666666</v>
          </cell>
        </row>
        <row r="866">
          <cell r="A866">
            <v>202307</v>
          </cell>
          <cell r="B866" t="str">
            <v>De Leon</v>
          </cell>
          <cell r="C866" t="str">
            <v>Jason</v>
          </cell>
          <cell r="D866">
            <v>36624</v>
          </cell>
          <cell r="E866">
            <v>14.401095140314853</v>
          </cell>
        </row>
        <row r="867">
          <cell r="A867">
            <v>36319</v>
          </cell>
          <cell r="B867" t="str">
            <v>Adamson</v>
          </cell>
          <cell r="C867" t="str">
            <v>Jake</v>
          </cell>
          <cell r="D867">
            <v>36652</v>
          </cell>
          <cell r="E867">
            <v>14.324435318275153</v>
          </cell>
        </row>
        <row r="868">
          <cell r="A868">
            <v>64088</v>
          </cell>
          <cell r="B868" t="str">
            <v>Adjai</v>
          </cell>
          <cell r="C868" t="str">
            <v>Nathan</v>
          </cell>
          <cell r="D868">
            <v>36408</v>
          </cell>
          <cell r="E868">
            <v>14.992470910335387</v>
          </cell>
        </row>
        <row r="869">
          <cell r="A869">
            <v>296632</v>
          </cell>
          <cell r="B869" t="str">
            <v>Badiudeen</v>
          </cell>
          <cell r="C869" t="str">
            <v>Madheeha</v>
          </cell>
          <cell r="D869">
            <v>40577</v>
          </cell>
          <cell r="E869">
            <v>3.5783709787816562</v>
          </cell>
        </row>
        <row r="870">
          <cell r="A870">
            <v>299839</v>
          </cell>
          <cell r="B870" t="str">
            <v>Rubinoff</v>
          </cell>
          <cell r="C870" t="str">
            <v>Evie</v>
          </cell>
          <cell r="D870">
            <v>40462</v>
          </cell>
          <cell r="E870">
            <v>3.893223819301848</v>
          </cell>
        </row>
        <row r="871">
          <cell r="A871">
            <v>243636</v>
          </cell>
          <cell r="B871" t="str">
            <v>Abubakar</v>
          </cell>
          <cell r="C871" t="str">
            <v>Fatma</v>
          </cell>
          <cell r="D871">
            <v>40060</v>
          </cell>
          <cell r="E871">
            <v>4.9938398357289531</v>
          </cell>
        </row>
        <row r="872">
          <cell r="A872">
            <v>299137</v>
          </cell>
          <cell r="B872" t="str">
            <v>Dabica</v>
          </cell>
          <cell r="C872" t="str">
            <v>Ioan</v>
          </cell>
          <cell r="D872">
            <v>40197</v>
          </cell>
          <cell r="E872">
            <v>4.6187542778918553</v>
          </cell>
        </row>
        <row r="873">
          <cell r="A873">
            <v>108346</v>
          </cell>
          <cell r="B873" t="str">
            <v>Easton</v>
          </cell>
          <cell r="C873" t="str">
            <v>Noah</v>
          </cell>
          <cell r="D873">
            <v>37637</v>
          </cell>
          <cell r="E873">
            <v>11.627652292950033</v>
          </cell>
        </row>
        <row r="874">
          <cell r="A874">
            <v>128447</v>
          </cell>
          <cell r="B874" t="str">
            <v>Prasad-Sapkota</v>
          </cell>
          <cell r="C874" t="str">
            <v>Dave</v>
          </cell>
          <cell r="D874">
            <v>37978</v>
          </cell>
          <cell r="E874">
            <v>10.694045174537989</v>
          </cell>
        </row>
        <row r="875">
          <cell r="A875">
            <v>246521</v>
          </cell>
          <cell r="B875" t="str">
            <v>Quintin</v>
          </cell>
          <cell r="C875" t="str">
            <v>Jack</v>
          </cell>
          <cell r="D875">
            <v>39643</v>
          </cell>
          <cell r="E875">
            <v>6.1355236139630387</v>
          </cell>
        </row>
        <row r="876">
          <cell r="A876">
            <v>297299</v>
          </cell>
          <cell r="B876" t="str">
            <v>Payne</v>
          </cell>
          <cell r="C876" t="str">
            <v>Aidon</v>
          </cell>
          <cell r="D876">
            <v>40348</v>
          </cell>
          <cell r="E876">
            <v>4.2053388090349078</v>
          </cell>
        </row>
        <row r="877">
          <cell r="A877">
            <v>300223</v>
          </cell>
          <cell r="B877" t="str">
            <v>Szafran</v>
          </cell>
          <cell r="C877" t="str">
            <v>Max</v>
          </cell>
          <cell r="D877">
            <v>40093</v>
          </cell>
          <cell r="E877">
            <v>4.9034907597535931</v>
          </cell>
        </row>
        <row r="878">
          <cell r="A878">
            <v>299290</v>
          </cell>
          <cell r="B878" t="str">
            <v>Rahimzad</v>
          </cell>
          <cell r="C878" t="str">
            <v>Benjamin</v>
          </cell>
          <cell r="D878">
            <v>40065</v>
          </cell>
          <cell r="E878">
            <v>4.9801505817932918</v>
          </cell>
        </row>
        <row r="879">
          <cell r="A879">
            <v>182741</v>
          </cell>
          <cell r="B879" t="str">
            <v>Habibzadeh</v>
          </cell>
          <cell r="C879" t="str">
            <v>Khorshid</v>
          </cell>
          <cell r="D879">
            <v>40093</v>
          </cell>
          <cell r="E879">
            <v>4.9034907597535931</v>
          </cell>
        </row>
        <row r="880">
          <cell r="A880">
            <v>275026</v>
          </cell>
          <cell r="B880" t="str">
            <v>Wallace</v>
          </cell>
          <cell r="C880" t="str">
            <v>Bobby</v>
          </cell>
          <cell r="D880">
            <v>40468</v>
          </cell>
          <cell r="E880">
            <v>3.8767967145790556</v>
          </cell>
        </row>
        <row r="881">
          <cell r="A881">
            <v>41630</v>
          </cell>
          <cell r="B881" t="str">
            <v>Meshioye</v>
          </cell>
          <cell r="C881" t="str">
            <v>Oluwarimike</v>
          </cell>
          <cell r="D881">
            <v>36877</v>
          </cell>
          <cell r="E881">
            <v>13.708418891170432</v>
          </cell>
        </row>
        <row r="882">
          <cell r="A882">
            <v>300480</v>
          </cell>
          <cell r="B882" t="str">
            <v>Munasinghe</v>
          </cell>
          <cell r="C882" t="str">
            <v>Arran</v>
          </cell>
          <cell r="D882">
            <v>40178</v>
          </cell>
          <cell r="E882">
            <v>4.6707734428473646</v>
          </cell>
        </row>
        <row r="883">
          <cell r="A883">
            <v>155836</v>
          </cell>
          <cell r="B883" t="str">
            <v>Latter</v>
          </cell>
          <cell r="C883" t="str">
            <v>Guy</v>
          </cell>
          <cell r="D883">
            <v>38539</v>
          </cell>
          <cell r="E883">
            <v>9.158110882956878</v>
          </cell>
        </row>
        <row r="884">
          <cell r="A884">
            <v>65826</v>
          </cell>
          <cell r="B884" t="str">
            <v>Barnes</v>
          </cell>
          <cell r="C884" t="str">
            <v>JORDAN</v>
          </cell>
          <cell r="D884">
            <v>37369</v>
          </cell>
          <cell r="E884">
            <v>12.361396303901437</v>
          </cell>
        </row>
        <row r="885">
          <cell r="A885">
            <v>38646</v>
          </cell>
          <cell r="B885" t="str">
            <v>Lovat</v>
          </cell>
          <cell r="C885" t="str">
            <v>Adina</v>
          </cell>
          <cell r="D885">
            <v>35179</v>
          </cell>
          <cell r="E885">
            <v>18.357289527720738</v>
          </cell>
        </row>
        <row r="886">
          <cell r="A886">
            <v>24935</v>
          </cell>
          <cell r="B886" t="str">
            <v>Clark</v>
          </cell>
          <cell r="C886" t="str">
            <v>Finlay</v>
          </cell>
          <cell r="D886">
            <v>35132</v>
          </cell>
          <cell r="E886">
            <v>18.48596851471595</v>
          </cell>
        </row>
        <row r="887">
          <cell r="A887">
            <v>30525</v>
          </cell>
          <cell r="B887" t="str">
            <v>Presser</v>
          </cell>
          <cell r="C887" t="str">
            <v>Rachel</v>
          </cell>
          <cell r="D887">
            <v>35935</v>
          </cell>
          <cell r="E887">
            <v>16.28747433264887</v>
          </cell>
        </row>
        <row r="888">
          <cell r="A888">
            <v>309001</v>
          </cell>
          <cell r="B888" t="str">
            <v>Korlotyan</v>
          </cell>
          <cell r="C888" t="str">
            <v>Adrian</v>
          </cell>
          <cell r="D888">
            <v>40097</v>
          </cell>
          <cell r="E888">
            <v>4.8925393566050648</v>
          </cell>
        </row>
        <row r="889">
          <cell r="A889">
            <v>295044</v>
          </cell>
          <cell r="B889" t="str">
            <v>Landsman</v>
          </cell>
          <cell r="C889" t="str">
            <v>Adriana</v>
          </cell>
          <cell r="D889">
            <v>40412</v>
          </cell>
          <cell r="E889">
            <v>4.0301163586584527</v>
          </cell>
        </row>
        <row r="890">
          <cell r="A890">
            <v>305909</v>
          </cell>
          <cell r="B890" t="str">
            <v>Hussein</v>
          </cell>
          <cell r="C890" t="str">
            <v>Mohammed</v>
          </cell>
          <cell r="D890">
            <v>40600</v>
          </cell>
          <cell r="E890">
            <v>3.5154004106776182</v>
          </cell>
        </row>
        <row r="891">
          <cell r="A891">
            <v>199879</v>
          </cell>
          <cell r="B891" t="str">
            <v>Austynas</v>
          </cell>
          <cell r="C891" t="str">
            <v>Mantas</v>
          </cell>
          <cell r="D891">
            <v>36331</v>
          </cell>
          <cell r="E891">
            <v>15.203285420944558</v>
          </cell>
        </row>
        <row r="892">
          <cell r="A892">
            <v>304594</v>
          </cell>
          <cell r="B892" t="str">
            <v>Thomas</v>
          </cell>
          <cell r="C892" t="str">
            <v>Karnae</v>
          </cell>
          <cell r="D892">
            <v>38626</v>
          </cell>
          <cell r="E892">
            <v>8.9199178644763855</v>
          </cell>
        </row>
        <row r="893">
          <cell r="A893">
            <v>276707</v>
          </cell>
          <cell r="B893" t="str">
            <v>Gulinski</v>
          </cell>
          <cell r="C893" t="str">
            <v>Filip</v>
          </cell>
          <cell r="D893">
            <v>39800</v>
          </cell>
          <cell r="E893">
            <v>5.7056810403832987</v>
          </cell>
        </row>
        <row r="894">
          <cell r="A894">
            <v>304636</v>
          </cell>
          <cell r="B894" t="str">
            <v>Anthony</v>
          </cell>
          <cell r="C894" t="str">
            <v>Mojereanuoluwa</v>
          </cell>
          <cell r="D894">
            <v>40108</v>
          </cell>
          <cell r="E894">
            <v>4.862422997946612</v>
          </cell>
        </row>
        <row r="895">
          <cell r="A895">
            <v>304590</v>
          </cell>
          <cell r="B895" t="str">
            <v>Papadopoulos</v>
          </cell>
          <cell r="C895" t="str">
            <v>Leo</v>
          </cell>
          <cell r="D895">
            <v>40227</v>
          </cell>
          <cell r="E895">
            <v>4.5366187542778915</v>
          </cell>
        </row>
        <row r="896">
          <cell r="A896">
            <v>277717</v>
          </cell>
          <cell r="B896" t="str">
            <v>Tysman</v>
          </cell>
          <cell r="C896" t="str">
            <v>Rafael</v>
          </cell>
          <cell r="D896">
            <v>40034</v>
          </cell>
          <cell r="E896">
            <v>5.0650239561943877</v>
          </cell>
        </row>
        <row r="897">
          <cell r="A897">
            <v>285649</v>
          </cell>
          <cell r="B897" t="str">
            <v>Vitalis</v>
          </cell>
          <cell r="C897" t="str">
            <v>Philip</v>
          </cell>
          <cell r="D897">
            <v>40275</v>
          </cell>
          <cell r="E897">
            <v>4.4052019164955514</v>
          </cell>
        </row>
        <row r="898">
          <cell r="A898">
            <v>74913</v>
          </cell>
          <cell r="B898" t="str">
            <v>Durban</v>
          </cell>
          <cell r="C898" t="str">
            <v>Jack</v>
          </cell>
          <cell r="D898">
            <v>37423</v>
          </cell>
          <cell r="E898">
            <v>12.213552361396303</v>
          </cell>
        </row>
        <row r="899">
          <cell r="A899">
            <v>11111</v>
          </cell>
          <cell r="B899" t="str">
            <v>STAR</v>
          </cell>
          <cell r="C899" t="str">
            <v>STAR</v>
          </cell>
          <cell r="D899"/>
          <cell r="E899">
            <v>114.67214236824093</v>
          </cell>
        </row>
      </sheetData>
      <sheetData sheetId="15">
        <row r="2">
          <cell r="A2" t="str">
            <v>345 Pre-School Thetherdown</v>
          </cell>
        </row>
      </sheetData>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cover page"/>
      <sheetName val="pop"/>
      <sheetName val="births"/>
      <sheetName val="births for term breakdown"/>
      <sheetName val="pop (2)"/>
      <sheetName val="term breakdown - ages 3, 4 &amp; 5"/>
      <sheetName val="Chart Birth Projection"/>
      <sheetName val="Chart Birth projection %"/>
      <sheetName val="Comparison-Pop Trends (E&amp;W)"/>
      <sheetName val="Comparison-Pop Trends (E)"/>
      <sheetName val="Chart 1 to 15"/>
      <sheetName val="Chart birth term breakdown (%)"/>
      <sheetName val="Chart1 term breakdown (Num)"/>
      <sheetName val="cover_page"/>
      <sheetName val="births_for_term_breakdown"/>
      <sheetName val="pop_(2)"/>
      <sheetName val="term_breakdown_-_ages_3,_4_&amp;_5"/>
      <sheetName val="Chart_Birth_Projection"/>
      <sheetName val="Chart_Birth_projection_%"/>
      <sheetName val="Comparison-Pop_Trends_(E&amp;W)"/>
      <sheetName val="Comparison-Pop_Trends_(E)"/>
      <sheetName val="Chart_1_to_15"/>
      <sheetName val="Chart_birth_term_breakdown_(%)"/>
      <sheetName val="Chart1_term_breakdown_(Num)"/>
      <sheetName val="cover_page1"/>
      <sheetName val="births_for_term_breakdown1"/>
      <sheetName val="pop_(2)1"/>
      <sheetName val="term_breakdown_-_ages_3,_4_&amp;_51"/>
      <sheetName val="Chart_Birth_Projection1"/>
      <sheetName val="Chart_Birth_projection_%1"/>
      <sheetName val="Comparison-Pop_Trends_(E&amp;W)1"/>
      <sheetName val="Comparison-Pop_Trends_(E)1"/>
      <sheetName val="Chart_1_to_151"/>
      <sheetName val="Chart_birth_term_breakdown_(%)1"/>
      <sheetName val="Chart1_term_breakdown_(Num)1"/>
      <sheetName val="cover_page2"/>
      <sheetName val="births_for_term_breakdown2"/>
      <sheetName val="pop_(2)2"/>
      <sheetName val="term_breakdown_-_ages_3,_4_&amp;_52"/>
      <sheetName val="Chart_Birth_Projection2"/>
      <sheetName val="Chart_Birth_projection_%2"/>
      <sheetName val="Comparison-Pop_Trends_(E&amp;W)2"/>
      <sheetName val="Comparison-Pop_Trends_(E)2"/>
      <sheetName val="Chart_1_to_152"/>
      <sheetName val="Chart_birth_term_breakdown_(%)2"/>
      <sheetName val="Chart1_term_breakdown_(Num)2"/>
    </sheetNames>
    <sheetDataSet>
      <sheetData sheetId="0" refreshError="1">
        <row r="3">
          <cell r="H3" t="str">
            <v>England</v>
          </cell>
        </row>
        <row r="5">
          <cell r="H5" t="str">
            <v>DME75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 with notes"/>
      <sheetName val="Pivot"/>
      <sheetName val="CCs"/>
      <sheetName val="CCs_with_notes"/>
    </sheetNames>
    <sheetDataSet>
      <sheetData sheetId="0"/>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usted Pivot table"/>
      <sheetName val="Pivot table"/>
      <sheetName val="Sheet1 (2)"/>
      <sheetName val="SAP Download"/>
      <sheetName val="Split Funded CC's"/>
      <sheetName val="Rec of LP Schools Bud figs"/>
      <sheetName val="Line 1.2.1"/>
      <sheetName val="Line 1.2.2"/>
      <sheetName val="Line 1.2.3"/>
      <sheetName val="Line 1.2.4"/>
      <sheetName val="Line 1.2.6"/>
      <sheetName val="Line 1.3.3"/>
      <sheetName val="Ser.Rechgs by CC"/>
      <sheetName val="Service Rechgs tagged"/>
      <sheetName val="Ser.Rechgs by GL"/>
      <sheetName val="Service Rechgs Download"/>
      <sheetName val="Recoupment Analysis"/>
      <sheetName val="SchoolsBudget"/>
      <sheetName val="SEN "/>
      <sheetName val="Outstanding Adj-virements"/>
      <sheetName val="Adjusted_Pivot_table"/>
      <sheetName val="Pivot_table"/>
      <sheetName val="Sheet1_(2)"/>
      <sheetName val="SAP_Download"/>
      <sheetName val="Split_Funded_CC's"/>
      <sheetName val="Rec_of_LP_Schools_Bud_figs"/>
      <sheetName val="Line_1_2_1"/>
      <sheetName val="Line_1_2_2"/>
      <sheetName val="Line_1_2_3"/>
      <sheetName val="Line_1_2_4"/>
      <sheetName val="Line_1_2_6"/>
      <sheetName val="Line_1_3_3"/>
      <sheetName val="Ser_Rechgs_by_CC"/>
      <sheetName val="Service_Rechgs_tagged"/>
      <sheetName val="Ser_Rechgs_by_GL"/>
      <sheetName val="Service_Rechgs_Download"/>
      <sheetName val="Recoupment_Analysis"/>
      <sheetName val="SEN_"/>
      <sheetName val="Outstanding_Adj-vir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 Pupil Numbers"/>
      <sheetName val="Analysis"/>
      <sheetName val="tables"/>
      <sheetName val="ACA"/>
      <sheetName val="ACA Comparison"/>
      <sheetName val="LA_Pupil_Numbers"/>
      <sheetName val="ACA_Comparison"/>
    </sheetNames>
    <sheetDataSet>
      <sheetData sheetId="0"/>
      <sheetData sheetId="1"/>
      <sheetData sheetId="2">
        <row r="2">
          <cell r="J2">
            <v>201</v>
          </cell>
          <cell r="K2">
            <v>1.2623610869345974</v>
          </cell>
        </row>
        <row r="3">
          <cell r="J3">
            <v>202</v>
          </cell>
          <cell r="K3">
            <v>1.1849346751721002</v>
          </cell>
        </row>
        <row r="4">
          <cell r="J4">
            <v>203</v>
          </cell>
          <cell r="K4">
            <v>1.1849346751721002</v>
          </cell>
        </row>
        <row r="5">
          <cell r="J5">
            <v>204</v>
          </cell>
          <cell r="K5">
            <v>1.1849346751721002</v>
          </cell>
        </row>
        <row r="6">
          <cell r="J6">
            <v>205</v>
          </cell>
          <cell r="K6">
            <v>1.1849346751721002</v>
          </cell>
        </row>
        <row r="7">
          <cell r="J7">
            <v>206</v>
          </cell>
          <cell r="K7">
            <v>1.1849346751721002</v>
          </cell>
        </row>
        <row r="8">
          <cell r="J8">
            <v>207</v>
          </cell>
          <cell r="K8">
            <v>1.1849346751721002</v>
          </cell>
        </row>
        <row r="9">
          <cell r="J9">
            <v>208</v>
          </cell>
          <cell r="K9">
            <v>1.1849346751721002</v>
          </cell>
        </row>
        <row r="10">
          <cell r="J10">
            <v>209</v>
          </cell>
          <cell r="K10">
            <v>1.1849346751721002</v>
          </cell>
        </row>
        <row r="11">
          <cell r="J11">
            <v>210</v>
          </cell>
          <cell r="K11">
            <v>1.1849346751721002</v>
          </cell>
        </row>
        <row r="12">
          <cell r="J12">
            <v>211</v>
          </cell>
          <cell r="K12">
            <v>1.1849346751721002</v>
          </cell>
        </row>
        <row r="13">
          <cell r="J13">
            <v>212</v>
          </cell>
          <cell r="K13">
            <v>1.1849346751721002</v>
          </cell>
        </row>
        <row r="14">
          <cell r="J14">
            <v>213</v>
          </cell>
          <cell r="K14">
            <v>1.1849346751721002</v>
          </cell>
        </row>
        <row r="15">
          <cell r="J15">
            <v>301</v>
          </cell>
          <cell r="K15">
            <v>1.1297090495405613</v>
          </cell>
        </row>
        <row r="16">
          <cell r="J16">
            <v>302</v>
          </cell>
          <cell r="K16">
            <v>1.0998061995962876</v>
          </cell>
        </row>
        <row r="17">
          <cell r="J17">
            <v>303</v>
          </cell>
          <cell r="K17">
            <v>1.0831376686934553</v>
          </cell>
        </row>
        <row r="18">
          <cell r="J18">
            <v>304</v>
          </cell>
          <cell r="K18">
            <v>1.1463775804433936</v>
          </cell>
        </row>
        <row r="19">
          <cell r="J19">
            <v>305</v>
          </cell>
          <cell r="K19">
            <v>1.0831376686934553</v>
          </cell>
        </row>
        <row r="20">
          <cell r="J20">
            <v>306</v>
          </cell>
          <cell r="K20">
            <v>1.0831376686934553</v>
          </cell>
        </row>
        <row r="21">
          <cell r="J21">
            <v>307</v>
          </cell>
          <cell r="K21">
            <v>1.1463775804433936</v>
          </cell>
        </row>
        <row r="22">
          <cell r="J22">
            <v>308</v>
          </cell>
          <cell r="K22">
            <v>1.0831376686934553</v>
          </cell>
        </row>
        <row r="23">
          <cell r="J23">
            <v>309</v>
          </cell>
          <cell r="K23">
            <v>1.1297090495405613</v>
          </cell>
        </row>
        <row r="24">
          <cell r="J24">
            <v>310</v>
          </cell>
          <cell r="K24">
            <v>1.0998061995962876</v>
          </cell>
        </row>
        <row r="25">
          <cell r="J25">
            <v>311</v>
          </cell>
          <cell r="K25">
            <v>1.0831376686934553</v>
          </cell>
        </row>
        <row r="26">
          <cell r="J26">
            <v>312</v>
          </cell>
          <cell r="K26">
            <v>1.0998061995962876</v>
          </cell>
        </row>
        <row r="27">
          <cell r="J27">
            <v>313</v>
          </cell>
          <cell r="K27">
            <v>1.0998061995962876</v>
          </cell>
        </row>
        <row r="28">
          <cell r="J28">
            <v>314</v>
          </cell>
          <cell r="K28">
            <v>1.0998061995962876</v>
          </cell>
        </row>
        <row r="29">
          <cell r="J29">
            <v>315</v>
          </cell>
          <cell r="K29">
            <v>1.1463775804433936</v>
          </cell>
        </row>
        <row r="30">
          <cell r="J30">
            <v>316</v>
          </cell>
          <cell r="K30">
            <v>1.1297090495405613</v>
          </cell>
        </row>
        <row r="31">
          <cell r="J31">
            <v>317</v>
          </cell>
          <cell r="K31">
            <v>1.0831376686934553</v>
          </cell>
        </row>
        <row r="32">
          <cell r="J32">
            <v>318</v>
          </cell>
          <cell r="K32">
            <v>1.0998061995962876</v>
          </cell>
        </row>
        <row r="33">
          <cell r="J33">
            <v>319</v>
          </cell>
          <cell r="K33">
            <v>1.0998061995962876</v>
          </cell>
        </row>
        <row r="34">
          <cell r="J34">
            <v>320</v>
          </cell>
          <cell r="K34">
            <v>1.0831376686934553</v>
          </cell>
        </row>
        <row r="35">
          <cell r="J35">
            <v>330</v>
          </cell>
          <cell r="K35">
            <v>1.003451469130177</v>
          </cell>
        </row>
        <row r="36">
          <cell r="J36">
            <v>331</v>
          </cell>
          <cell r="K36">
            <v>1.003451469130177</v>
          </cell>
        </row>
        <row r="37">
          <cell r="J37">
            <v>332</v>
          </cell>
          <cell r="K37">
            <v>1.003451469130177</v>
          </cell>
        </row>
        <row r="38">
          <cell r="J38">
            <v>333</v>
          </cell>
          <cell r="K38">
            <v>1.003451469130177</v>
          </cell>
        </row>
        <row r="39">
          <cell r="J39">
            <v>334</v>
          </cell>
          <cell r="K39">
            <v>1.003451469130177</v>
          </cell>
        </row>
        <row r="40">
          <cell r="J40">
            <v>335</v>
          </cell>
          <cell r="K40">
            <v>1.003451469130177</v>
          </cell>
        </row>
        <row r="41">
          <cell r="J41">
            <v>336</v>
          </cell>
          <cell r="K41">
            <v>1.003451469130177</v>
          </cell>
        </row>
        <row r="42">
          <cell r="J42">
            <v>340</v>
          </cell>
          <cell r="K42">
            <v>1.0011447491179912</v>
          </cell>
        </row>
        <row r="43">
          <cell r="J43">
            <v>341</v>
          </cell>
          <cell r="K43">
            <v>1.0011447491179912</v>
          </cell>
        </row>
        <row r="44">
          <cell r="J44">
            <v>342</v>
          </cell>
          <cell r="K44">
            <v>1.0011447491179912</v>
          </cell>
        </row>
        <row r="45">
          <cell r="J45">
            <v>343</v>
          </cell>
          <cell r="K45">
            <v>1.0011447491179912</v>
          </cell>
        </row>
        <row r="46">
          <cell r="J46">
            <v>344</v>
          </cell>
          <cell r="K46">
            <v>1.0011447491179912</v>
          </cell>
        </row>
        <row r="47">
          <cell r="J47">
            <v>350</v>
          </cell>
          <cell r="K47">
            <v>1.0055767552613917</v>
          </cell>
        </row>
        <row r="48">
          <cell r="J48">
            <v>351</v>
          </cell>
          <cell r="K48">
            <v>1.0055767552613917</v>
          </cell>
        </row>
        <row r="49">
          <cell r="J49">
            <v>352</v>
          </cell>
          <cell r="K49">
            <v>1.0055767552613917</v>
          </cell>
        </row>
        <row r="50">
          <cell r="J50">
            <v>353</v>
          </cell>
          <cell r="K50">
            <v>1.0055767552613917</v>
          </cell>
        </row>
        <row r="51">
          <cell r="J51">
            <v>354</v>
          </cell>
          <cell r="K51">
            <v>1.0055767552613917</v>
          </cell>
        </row>
        <row r="52">
          <cell r="J52">
            <v>355</v>
          </cell>
          <cell r="K52">
            <v>1.0055767552613917</v>
          </cell>
        </row>
        <row r="53">
          <cell r="J53">
            <v>356</v>
          </cell>
          <cell r="K53">
            <v>1.0055767552613917</v>
          </cell>
        </row>
        <row r="54">
          <cell r="J54">
            <v>357</v>
          </cell>
          <cell r="K54">
            <v>1.0055767552613917</v>
          </cell>
        </row>
        <row r="55">
          <cell r="J55">
            <v>358</v>
          </cell>
          <cell r="K55">
            <v>1.0055767552613917</v>
          </cell>
        </row>
        <row r="56">
          <cell r="J56">
            <v>359</v>
          </cell>
          <cell r="K56">
            <v>1.0055767552613917</v>
          </cell>
        </row>
        <row r="57">
          <cell r="J57">
            <v>370</v>
          </cell>
          <cell r="K57">
            <v>1</v>
          </cell>
        </row>
        <row r="58">
          <cell r="J58">
            <v>371</v>
          </cell>
          <cell r="K58">
            <v>1</v>
          </cell>
        </row>
        <row r="59">
          <cell r="J59">
            <v>372</v>
          </cell>
          <cell r="K59">
            <v>1</v>
          </cell>
        </row>
        <row r="60">
          <cell r="J60">
            <v>373</v>
          </cell>
          <cell r="K60">
            <v>1</v>
          </cell>
        </row>
        <row r="61">
          <cell r="J61">
            <v>380</v>
          </cell>
          <cell r="K61">
            <v>1.0001650980158474</v>
          </cell>
        </row>
        <row r="62">
          <cell r="J62">
            <v>381</v>
          </cell>
          <cell r="K62">
            <v>1.0001650980158474</v>
          </cell>
        </row>
        <row r="63">
          <cell r="J63">
            <v>382</v>
          </cell>
          <cell r="K63">
            <v>1.0001650980158474</v>
          </cell>
        </row>
        <row r="64">
          <cell r="J64">
            <v>383</v>
          </cell>
          <cell r="K64">
            <v>1.0001650980158474</v>
          </cell>
        </row>
        <row r="65">
          <cell r="J65">
            <v>384</v>
          </cell>
          <cell r="K65">
            <v>1.0001650980158474</v>
          </cell>
        </row>
        <row r="66">
          <cell r="J66">
            <v>390</v>
          </cell>
          <cell r="K66">
            <v>1</v>
          </cell>
        </row>
        <row r="67">
          <cell r="J67">
            <v>391</v>
          </cell>
          <cell r="K67">
            <v>1</v>
          </cell>
        </row>
        <row r="68">
          <cell r="J68">
            <v>392</v>
          </cell>
          <cell r="K68">
            <v>1</v>
          </cell>
        </row>
        <row r="69">
          <cell r="J69">
            <v>393</v>
          </cell>
          <cell r="K69">
            <v>1</v>
          </cell>
        </row>
        <row r="70">
          <cell r="J70">
            <v>394</v>
          </cell>
          <cell r="K70">
            <v>1</v>
          </cell>
        </row>
        <row r="71">
          <cell r="J71">
            <v>800</v>
          </cell>
          <cell r="K71">
            <v>1.0149320816582614</v>
          </cell>
        </row>
        <row r="72">
          <cell r="J72">
            <v>801</v>
          </cell>
          <cell r="K72">
            <v>1.0149320816582614</v>
          </cell>
        </row>
        <row r="73">
          <cell r="J73">
            <v>802</v>
          </cell>
          <cell r="K73">
            <v>1.0149320816582614</v>
          </cell>
        </row>
        <row r="74">
          <cell r="J74">
            <v>803</v>
          </cell>
          <cell r="K74">
            <v>1.0149320816582614</v>
          </cell>
        </row>
        <row r="75">
          <cell r="J75">
            <v>805</v>
          </cell>
          <cell r="K75">
            <v>1</v>
          </cell>
        </row>
        <row r="76">
          <cell r="J76">
            <v>806</v>
          </cell>
          <cell r="K76">
            <v>1</v>
          </cell>
        </row>
        <row r="77">
          <cell r="J77">
            <v>807</v>
          </cell>
          <cell r="K77">
            <v>1</v>
          </cell>
        </row>
        <row r="78">
          <cell r="J78">
            <v>808</v>
          </cell>
          <cell r="K78">
            <v>1</v>
          </cell>
        </row>
        <row r="79">
          <cell r="J79">
            <v>810</v>
          </cell>
          <cell r="K79">
            <v>1</v>
          </cell>
        </row>
        <row r="80">
          <cell r="J80">
            <v>811</v>
          </cell>
          <cell r="K80">
            <v>1</v>
          </cell>
        </row>
        <row r="81">
          <cell r="J81">
            <v>812</v>
          </cell>
          <cell r="K81">
            <v>1</v>
          </cell>
        </row>
        <row r="82">
          <cell r="J82">
            <v>813</v>
          </cell>
          <cell r="K82">
            <v>1</v>
          </cell>
        </row>
        <row r="83">
          <cell r="J83">
            <v>815</v>
          </cell>
          <cell r="K83">
            <v>1</v>
          </cell>
        </row>
        <row r="84">
          <cell r="J84">
            <v>816</v>
          </cell>
          <cell r="K84">
            <v>1</v>
          </cell>
        </row>
        <row r="85">
          <cell r="J85">
            <v>821</v>
          </cell>
          <cell r="K85">
            <v>1.0160157557120151</v>
          </cell>
        </row>
        <row r="86">
          <cell r="J86">
            <v>822</v>
          </cell>
          <cell r="K86">
            <v>1.0160157557120151</v>
          </cell>
        </row>
        <row r="87">
          <cell r="J87">
            <v>823</v>
          </cell>
          <cell r="K87">
            <v>1.0160157557120151</v>
          </cell>
        </row>
        <row r="88">
          <cell r="J88">
            <v>825</v>
          </cell>
          <cell r="K88">
            <v>1.0348976856730419</v>
          </cell>
        </row>
        <row r="89">
          <cell r="J89">
            <v>826</v>
          </cell>
          <cell r="K89">
            <v>1.0293000445269778</v>
          </cell>
        </row>
        <row r="90">
          <cell r="J90">
            <v>830</v>
          </cell>
          <cell r="K90">
            <v>1</v>
          </cell>
        </row>
        <row r="91">
          <cell r="J91">
            <v>831</v>
          </cell>
          <cell r="K91">
            <v>1</v>
          </cell>
        </row>
        <row r="92">
          <cell r="J92">
            <v>835</v>
          </cell>
          <cell r="K92">
            <v>1</v>
          </cell>
        </row>
        <row r="93">
          <cell r="J93">
            <v>836</v>
          </cell>
          <cell r="K93">
            <v>1</v>
          </cell>
        </row>
        <row r="94">
          <cell r="J94">
            <v>837</v>
          </cell>
          <cell r="K94">
            <v>1</v>
          </cell>
        </row>
        <row r="95">
          <cell r="J95">
            <v>840</v>
          </cell>
          <cell r="K95">
            <v>1</v>
          </cell>
        </row>
        <row r="96">
          <cell r="J96">
            <v>841</v>
          </cell>
          <cell r="K96">
            <v>1</v>
          </cell>
        </row>
        <row r="97">
          <cell r="J97">
            <v>845</v>
          </cell>
          <cell r="K97">
            <v>1.0017284959376629</v>
          </cell>
        </row>
        <row r="98">
          <cell r="J98">
            <v>846</v>
          </cell>
          <cell r="K98">
            <v>1.0017284959376629</v>
          </cell>
        </row>
        <row r="99">
          <cell r="J99">
            <v>850</v>
          </cell>
          <cell r="K99">
            <v>1.014490836265451</v>
          </cell>
        </row>
        <row r="100">
          <cell r="J100">
            <v>851</v>
          </cell>
          <cell r="K100">
            <v>1.014490836265451</v>
          </cell>
        </row>
        <row r="101">
          <cell r="J101">
            <v>852</v>
          </cell>
          <cell r="K101">
            <v>1.014490836265451</v>
          </cell>
        </row>
        <row r="102">
          <cell r="J102">
            <v>855</v>
          </cell>
          <cell r="K102">
            <v>1</v>
          </cell>
        </row>
        <row r="103">
          <cell r="J103">
            <v>856</v>
          </cell>
          <cell r="K103">
            <v>1</v>
          </cell>
        </row>
        <row r="104">
          <cell r="J104">
            <v>857</v>
          </cell>
          <cell r="K104">
            <v>1</v>
          </cell>
        </row>
        <row r="105">
          <cell r="J105">
            <v>860</v>
          </cell>
          <cell r="K105">
            <v>1</v>
          </cell>
        </row>
        <row r="106">
          <cell r="J106">
            <v>861</v>
          </cell>
          <cell r="K106">
            <v>1</v>
          </cell>
        </row>
        <row r="107">
          <cell r="J107">
            <v>865</v>
          </cell>
          <cell r="K107">
            <v>1.0073267651634539</v>
          </cell>
        </row>
        <row r="108">
          <cell r="J108">
            <v>866</v>
          </cell>
          <cell r="K108">
            <v>1.0073267651634539</v>
          </cell>
        </row>
        <row r="109">
          <cell r="J109">
            <v>867</v>
          </cell>
          <cell r="K109">
            <v>1.0576177632035826</v>
          </cell>
        </row>
        <row r="110">
          <cell r="J110">
            <v>868</v>
          </cell>
          <cell r="K110">
            <v>1.0576177632035826</v>
          </cell>
        </row>
        <row r="111">
          <cell r="J111">
            <v>869</v>
          </cell>
          <cell r="K111">
            <v>1.0354935687103402</v>
          </cell>
        </row>
        <row r="112">
          <cell r="J112">
            <v>870</v>
          </cell>
          <cell r="K112">
            <v>1.0354935687103402</v>
          </cell>
        </row>
        <row r="113">
          <cell r="J113">
            <v>871</v>
          </cell>
          <cell r="K113">
            <v>1.0576177632035826</v>
          </cell>
        </row>
        <row r="114">
          <cell r="J114">
            <v>872</v>
          </cell>
          <cell r="K114">
            <v>1.0354935687103402</v>
          </cell>
        </row>
        <row r="115">
          <cell r="J115">
            <v>873</v>
          </cell>
          <cell r="K115">
            <v>1.0131157158754904</v>
          </cell>
        </row>
        <row r="116">
          <cell r="J116">
            <v>874</v>
          </cell>
          <cell r="K116">
            <v>1.0131157158754904</v>
          </cell>
        </row>
        <row r="117">
          <cell r="J117">
            <v>876</v>
          </cell>
          <cell r="K117">
            <v>1.0037064826216322</v>
          </cell>
        </row>
        <row r="118">
          <cell r="J118">
            <v>877</v>
          </cell>
          <cell r="K118">
            <v>1.0037064826216322</v>
          </cell>
        </row>
        <row r="119">
          <cell r="J119">
            <v>878</v>
          </cell>
          <cell r="K119">
            <v>1</v>
          </cell>
        </row>
        <row r="120">
          <cell r="J120">
            <v>879</v>
          </cell>
          <cell r="K120">
            <v>1</v>
          </cell>
        </row>
        <row r="121">
          <cell r="J121">
            <v>880</v>
          </cell>
          <cell r="K121">
            <v>1</v>
          </cell>
        </row>
        <row r="122">
          <cell r="J122">
            <v>881</v>
          </cell>
          <cell r="K122">
            <v>1.0151595720089308</v>
          </cell>
        </row>
        <row r="123">
          <cell r="J123">
            <v>882</v>
          </cell>
          <cell r="K123">
            <v>1.0036174653946481</v>
          </cell>
        </row>
        <row r="124">
          <cell r="J124">
            <v>883</v>
          </cell>
          <cell r="K124">
            <v>1.037788670711258</v>
          </cell>
        </row>
        <row r="125">
          <cell r="J125">
            <v>884</v>
          </cell>
          <cell r="K125">
            <v>1</v>
          </cell>
        </row>
        <row r="126">
          <cell r="J126">
            <v>885</v>
          </cell>
          <cell r="K126">
            <v>1</v>
          </cell>
        </row>
        <row r="127">
          <cell r="J127">
            <v>886</v>
          </cell>
          <cell r="K127">
            <v>1.0058722477775675</v>
          </cell>
        </row>
        <row r="128">
          <cell r="J128">
            <v>887</v>
          </cell>
          <cell r="K128">
            <v>1.0007213301430509</v>
          </cell>
        </row>
        <row r="129">
          <cell r="J129">
            <v>888</v>
          </cell>
          <cell r="K129">
            <v>1</v>
          </cell>
        </row>
        <row r="130">
          <cell r="J130">
            <v>889</v>
          </cell>
          <cell r="K130">
            <v>1</v>
          </cell>
        </row>
        <row r="131">
          <cell r="J131">
            <v>890</v>
          </cell>
          <cell r="K131">
            <v>1</v>
          </cell>
        </row>
        <row r="132">
          <cell r="J132">
            <v>891</v>
          </cell>
          <cell r="K132">
            <v>1.0028255205564489</v>
          </cell>
        </row>
        <row r="133">
          <cell r="J133">
            <v>892</v>
          </cell>
          <cell r="K133">
            <v>1.0028255205564489</v>
          </cell>
        </row>
        <row r="134">
          <cell r="J134">
            <v>893</v>
          </cell>
          <cell r="K134">
            <v>1</v>
          </cell>
        </row>
        <row r="135">
          <cell r="J135">
            <v>894</v>
          </cell>
          <cell r="K135">
            <v>1</v>
          </cell>
        </row>
        <row r="136">
          <cell r="J136">
            <v>895</v>
          </cell>
          <cell r="K136">
            <v>1.0037064826216322</v>
          </cell>
        </row>
        <row r="137">
          <cell r="J137">
            <v>896</v>
          </cell>
          <cell r="K137">
            <v>1.0037064826216322</v>
          </cell>
        </row>
        <row r="138">
          <cell r="J138">
            <v>908</v>
          </cell>
          <cell r="K138">
            <v>1</v>
          </cell>
        </row>
        <row r="139">
          <cell r="J139">
            <v>909</v>
          </cell>
          <cell r="K139">
            <v>1</v>
          </cell>
        </row>
        <row r="140">
          <cell r="J140">
            <v>916</v>
          </cell>
          <cell r="K140">
            <v>1.0064345035302777</v>
          </cell>
        </row>
        <row r="141">
          <cell r="J141">
            <v>919</v>
          </cell>
          <cell r="K141">
            <v>1.04138994908529</v>
          </cell>
        </row>
        <row r="142">
          <cell r="J142">
            <v>921</v>
          </cell>
          <cell r="K142">
            <v>1.014490836265451</v>
          </cell>
        </row>
        <row r="143">
          <cell r="J143">
            <v>925</v>
          </cell>
          <cell r="K143">
            <v>1</v>
          </cell>
        </row>
        <row r="144">
          <cell r="J144">
            <v>926</v>
          </cell>
          <cell r="K144">
            <v>1</v>
          </cell>
        </row>
        <row r="145">
          <cell r="J145">
            <v>928</v>
          </cell>
          <cell r="K145">
            <v>1.0033558429585079</v>
          </cell>
        </row>
        <row r="146">
          <cell r="J146">
            <v>929</v>
          </cell>
          <cell r="K146">
            <v>1</v>
          </cell>
        </row>
        <row r="147">
          <cell r="J147">
            <v>931</v>
          </cell>
          <cell r="K147">
            <v>1.0226738435214191</v>
          </cell>
        </row>
        <row r="148">
          <cell r="J148">
            <v>933</v>
          </cell>
          <cell r="K148">
            <v>1</v>
          </cell>
        </row>
        <row r="149">
          <cell r="J149">
            <v>935</v>
          </cell>
          <cell r="K149">
            <v>1.0000244159203306</v>
          </cell>
        </row>
        <row r="150">
          <cell r="J150">
            <v>936</v>
          </cell>
          <cell r="K150">
            <v>1.0576177632035826</v>
          </cell>
        </row>
        <row r="151">
          <cell r="J151">
            <v>937</v>
          </cell>
          <cell r="K151">
            <v>1.0071585420946638</v>
          </cell>
        </row>
        <row r="152">
          <cell r="J152">
            <v>938</v>
          </cell>
          <cell r="K152">
            <v>1.0091093430436222</v>
          </cell>
        </row>
      </sheetData>
      <sheetData sheetId="3"/>
      <sheetData sheetId="4"/>
      <sheetData sheetId="5"/>
      <sheetData sheetId="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ORGS1011 (2)"/>
      <sheetName val="Report"/>
      <sheetName val="News"/>
      <sheetName val="transaction data 0910"/>
      <sheetName val="All Schools"/>
      <sheetName val="Pupils"/>
      <sheetName val="AEN Report"/>
      <sheetName val="Special"/>
      <sheetName val="Resource Provision"/>
      <sheetName val="sftrans1011"/>
      <sheetName val="mfg"/>
      <sheetName val="MFGreport"/>
      <sheetName val="ProvAlloc1011"/>
      <sheetName val="EMAG"/>
      <sheetName val="pivot"/>
      <sheetName val="sf trans 0910"/>
      <sheetName val="REORGS1011"/>
      <sheetName val="transaction data 1011"/>
      <sheetName val="rates"/>
      <sheetName val="data"/>
      <sheetName val="rpsen"/>
      <sheetName val="specialsen"/>
      <sheetName val="AEN"/>
      <sheetName val="Primary aen"/>
      <sheetName val="Census Jan 09"/>
      <sheetName val="Pupils 2010"/>
      <sheetName val="Pupil data"/>
      <sheetName val="SFOalloc0910"/>
      <sheetName val="REORGS1011_(2)"/>
      <sheetName val="transaction_data_0910"/>
      <sheetName val="All_Schools"/>
      <sheetName val="AEN_Report"/>
      <sheetName val="Resource_Provision"/>
      <sheetName val="sf_trans_0910"/>
      <sheetName val="transaction_data_1011"/>
      <sheetName val="Primary_aen"/>
      <sheetName val="Census_Jan_09"/>
      <sheetName val="Pupils_2010"/>
      <sheetName val="Pupil_data"/>
    </sheetNames>
    <sheetDataSet>
      <sheetData sheetId="0" refreshError="1"/>
      <sheetData sheetId="1" refreshError="1">
        <row r="8">
          <cell r="L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Control"/>
      <sheetName val="info"/>
      <sheetName val="UserInterface"/>
      <sheetName val="ForLAs_exceptPartFringe"/>
      <sheetName val="ForLAs_PartFringe"/>
      <sheetName val="LA_Calcs"/>
      <sheetName val="SchoolCalcs"/>
      <sheetName val="FactorContributions"/>
      <sheetName val="Chart_FactorContributions"/>
      <sheetName val="CondocData"/>
      <sheetName val="Chart_IndividualLAs"/>
      <sheetName val="SQLview_noNRAs"/>
      <sheetName val="UnitValues"/>
      <sheetName val="ACA_District"/>
      <sheetName val="DSG_14-15"/>
      <sheetName val="PupilProjections"/>
      <sheetName val="Lists"/>
      <sheetName val="MFL DualRun 2014-15 Y14M07D08"/>
      <sheetName val="MFL_DualRun_2014-15_Y14M07D08"/>
    </sheetNames>
    <sheetDataSet>
      <sheetData sheetId="0"/>
      <sheetData sheetId="1"/>
      <sheetData sheetId="2">
        <row r="6">
          <cell r="C6">
            <v>0.90849999999999997</v>
          </cell>
        </row>
      </sheetData>
      <sheetData sheetId="3"/>
      <sheetData sheetId="4"/>
      <sheetData sheetId="5"/>
      <sheetData sheetId="6"/>
      <sheetData sheetId="7"/>
      <sheetData sheetId="8"/>
      <sheetData sheetId="9"/>
      <sheetData sheetId="10"/>
      <sheetData sheetId="11"/>
      <sheetData sheetId="12">
        <row r="26">
          <cell r="E26">
            <v>1129.6542482635309</v>
          </cell>
        </row>
      </sheetData>
      <sheetData sheetId="13"/>
      <sheetData sheetId="14"/>
      <sheetData sheetId="15"/>
      <sheetData sheetId="16"/>
      <sheetData sheetId="17" refreshError="1"/>
      <sheetData sheetId="1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1"/>
      <sheetName val="Qtab output"/>
      <sheetName val="Qtab_output"/>
    </sheetNames>
    <sheetDataSet>
      <sheetData sheetId="0" refreshError="1"/>
      <sheetData sheetId="1" refreshError="1">
        <row r="5">
          <cell r="B5">
            <v>30</v>
          </cell>
        </row>
        <row r="8">
          <cell r="B8">
            <v>0</v>
          </cell>
        </row>
        <row r="9">
          <cell r="B9">
            <v>19</v>
          </cell>
        </row>
        <row r="10">
          <cell r="B10">
            <v>11</v>
          </cell>
        </row>
        <row r="12">
          <cell r="B12">
            <v>24</v>
          </cell>
        </row>
        <row r="13">
          <cell r="B13">
            <v>1</v>
          </cell>
        </row>
        <row r="14">
          <cell r="B14">
            <v>1</v>
          </cell>
        </row>
        <row r="17">
          <cell r="B17">
            <v>25</v>
          </cell>
        </row>
        <row r="18">
          <cell r="B18">
            <v>0</v>
          </cell>
        </row>
        <row r="19">
          <cell r="B19">
            <v>4</v>
          </cell>
        </row>
        <row r="20">
          <cell r="B20">
            <v>13</v>
          </cell>
        </row>
        <row r="21">
          <cell r="B21">
            <v>9</v>
          </cell>
        </row>
        <row r="23">
          <cell r="B23">
            <v>0</v>
          </cell>
        </row>
        <row r="24">
          <cell r="B24">
            <v>16</v>
          </cell>
        </row>
        <row r="25">
          <cell r="B25">
            <v>36</v>
          </cell>
        </row>
        <row r="27">
          <cell r="B27">
            <v>2</v>
          </cell>
        </row>
        <row r="28">
          <cell r="B28">
            <v>17</v>
          </cell>
        </row>
        <row r="30">
          <cell r="B30">
            <v>3</v>
          </cell>
        </row>
        <row r="31">
          <cell r="B31">
            <v>35</v>
          </cell>
        </row>
        <row r="32">
          <cell r="B32">
            <v>15</v>
          </cell>
        </row>
        <row r="33">
          <cell r="B33">
            <v>0</v>
          </cell>
        </row>
        <row r="34">
          <cell r="B34">
            <v>0</v>
          </cell>
        </row>
        <row r="35">
          <cell r="B35">
            <v>7</v>
          </cell>
        </row>
        <row r="36">
          <cell r="B36">
            <v>12</v>
          </cell>
        </row>
        <row r="39">
          <cell r="B39">
            <v>26</v>
          </cell>
        </row>
        <row r="41">
          <cell r="B41">
            <v>66</v>
          </cell>
        </row>
        <row r="42">
          <cell r="B42">
            <v>0</v>
          </cell>
        </row>
        <row r="43">
          <cell r="B43">
            <v>10</v>
          </cell>
        </row>
        <row r="44">
          <cell r="B44">
            <v>21</v>
          </cell>
        </row>
        <row r="47">
          <cell r="B47">
            <v>23</v>
          </cell>
        </row>
        <row r="48">
          <cell r="B48">
            <v>7</v>
          </cell>
        </row>
        <row r="49">
          <cell r="B49">
            <v>60</v>
          </cell>
        </row>
        <row r="53">
          <cell r="B53">
            <v>3</v>
          </cell>
        </row>
        <row r="54">
          <cell r="B54">
            <v>33</v>
          </cell>
        </row>
        <row r="57">
          <cell r="B57">
            <v>23</v>
          </cell>
        </row>
        <row r="59">
          <cell r="B59">
            <v>0</v>
          </cell>
        </row>
        <row r="61">
          <cell r="B61">
            <v>15</v>
          </cell>
        </row>
        <row r="62">
          <cell r="B62">
            <v>0</v>
          </cell>
        </row>
        <row r="63">
          <cell r="B63">
            <v>104</v>
          </cell>
        </row>
        <row r="65">
          <cell r="B65">
            <v>4</v>
          </cell>
        </row>
        <row r="66">
          <cell r="B66">
            <v>5</v>
          </cell>
        </row>
        <row r="67">
          <cell r="B67">
            <v>24</v>
          </cell>
        </row>
        <row r="69">
          <cell r="B69">
            <v>13</v>
          </cell>
        </row>
        <row r="70">
          <cell r="B70">
            <v>22</v>
          </cell>
        </row>
        <row r="71">
          <cell r="B71">
            <v>32</v>
          </cell>
        </row>
        <row r="72">
          <cell r="B72">
            <v>20</v>
          </cell>
        </row>
        <row r="73">
          <cell r="B73">
            <v>1</v>
          </cell>
        </row>
        <row r="74">
          <cell r="B74">
            <v>2</v>
          </cell>
        </row>
        <row r="77">
          <cell r="B77">
            <v>4</v>
          </cell>
        </row>
        <row r="79">
          <cell r="B79">
            <v>27</v>
          </cell>
        </row>
        <row r="80">
          <cell r="B80">
            <v>0</v>
          </cell>
        </row>
        <row r="81">
          <cell r="B81">
            <v>10</v>
          </cell>
        </row>
        <row r="82">
          <cell r="B82">
            <v>1</v>
          </cell>
        </row>
        <row r="83">
          <cell r="B83">
            <v>0</v>
          </cell>
        </row>
        <row r="84">
          <cell r="B84">
            <v>0</v>
          </cell>
        </row>
        <row r="85">
          <cell r="B85">
            <v>10</v>
          </cell>
        </row>
        <row r="86">
          <cell r="B86">
            <v>0</v>
          </cell>
        </row>
        <row r="90">
          <cell r="B90">
            <v>2</v>
          </cell>
        </row>
        <row r="91">
          <cell r="B91">
            <v>0</v>
          </cell>
        </row>
        <row r="92">
          <cell r="B92">
            <v>1</v>
          </cell>
        </row>
        <row r="93">
          <cell r="B93">
            <v>8</v>
          </cell>
        </row>
        <row r="94">
          <cell r="B94">
            <v>4</v>
          </cell>
        </row>
        <row r="95">
          <cell r="B95">
            <v>14</v>
          </cell>
        </row>
        <row r="96">
          <cell r="B96">
            <v>3</v>
          </cell>
        </row>
        <row r="97">
          <cell r="B97">
            <v>12</v>
          </cell>
        </row>
        <row r="98">
          <cell r="B98">
            <v>5</v>
          </cell>
        </row>
        <row r="100">
          <cell r="B100">
            <v>2</v>
          </cell>
        </row>
        <row r="101">
          <cell r="B101">
            <v>11</v>
          </cell>
        </row>
        <row r="102">
          <cell r="B102">
            <v>6</v>
          </cell>
        </row>
        <row r="103">
          <cell r="B103">
            <v>19</v>
          </cell>
        </row>
        <row r="104">
          <cell r="B104">
            <v>7</v>
          </cell>
        </row>
        <row r="105">
          <cell r="B105">
            <v>25</v>
          </cell>
        </row>
        <row r="106">
          <cell r="B106">
            <v>12</v>
          </cell>
        </row>
        <row r="107">
          <cell r="B107">
            <v>15</v>
          </cell>
        </row>
        <row r="110">
          <cell r="B110">
            <v>18</v>
          </cell>
        </row>
        <row r="112">
          <cell r="B112">
            <v>0</v>
          </cell>
        </row>
        <row r="113">
          <cell r="B113">
            <v>16</v>
          </cell>
        </row>
        <row r="115">
          <cell r="B115">
            <v>22</v>
          </cell>
        </row>
        <row r="116">
          <cell r="B116">
            <v>4</v>
          </cell>
        </row>
        <row r="118">
          <cell r="B118">
            <v>23</v>
          </cell>
        </row>
        <row r="120">
          <cell r="B120">
            <v>12</v>
          </cell>
        </row>
        <row r="121">
          <cell r="B121">
            <v>4</v>
          </cell>
        </row>
        <row r="122">
          <cell r="B122">
            <v>6</v>
          </cell>
        </row>
      </sheetData>
      <sheetData sheetId="2">
        <row r="5">
          <cell r="B5">
            <v>30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cover_page1"/>
      <sheetName val="pop"/>
      <sheetName val="births"/>
      <sheetName val="births_for_term_breakdown"/>
      <sheetName val="pop_(2)"/>
      <sheetName val="term_breakdown_-_ages_3,_4_&amp;_5"/>
      <sheetName val="Chart_Birth_Projection"/>
      <sheetName val="Chart_Birth_projection_%"/>
      <sheetName val="Comparison-Pop_Trends_(E&amp;W)"/>
      <sheetName val="Comparison-Pop_Trends_(E)"/>
      <sheetName val="Chart_1_to_15"/>
      <sheetName val="Chart_birth_term_breakdown_(%)"/>
      <sheetName val="Chart1_term_breakdown_(Num)"/>
      <sheetName val="cover_page"/>
      <sheetName val="cover page"/>
      <sheetName val="births for term breakdown"/>
      <sheetName val="pop (2)"/>
      <sheetName val="term breakdown - ages 3, 4 &amp; 5"/>
      <sheetName val="Chart Birth Projection"/>
      <sheetName val="Chart Birth projection %"/>
      <sheetName val="Comparison-Pop Trends (E&amp;W)"/>
      <sheetName val="Comparison-Pop Trends (E)"/>
      <sheetName val="Chart 1 to 15"/>
      <sheetName val="Chart birth term breakdown (%)"/>
      <sheetName val="Chart1 term breakdown (Num)"/>
      <sheetName val="cover_page3"/>
      <sheetName val="births_for_term_breakdown2"/>
      <sheetName val="pop_(2)2"/>
      <sheetName val="term_breakdown_-_ages_3,_4_&amp;_52"/>
      <sheetName val="Chart_Birth_Projection2"/>
      <sheetName val="Chart_Birth_projection_%2"/>
      <sheetName val="Comparison-Pop_Trends_(E&amp;W)2"/>
      <sheetName val="Comparison-Pop_Trends_(E)2"/>
      <sheetName val="Chart_1_to_152"/>
      <sheetName val="Chart_birth_term_breakdown_(%)2"/>
      <sheetName val="Chart1_term_breakdown_(Num)2"/>
      <sheetName val="cover_page2"/>
      <sheetName val="births_for_term_breakdown1"/>
      <sheetName val="pop_(2)1"/>
      <sheetName val="term_breakdown_-_ages_3,_4_&amp;_51"/>
      <sheetName val="Chart_Birth_Projection1"/>
      <sheetName val="Chart_Birth_projection_%1"/>
      <sheetName val="Comparison-Pop_Trends_(E&amp;W)1"/>
      <sheetName val="Comparison-Pop_Trends_(E)1"/>
      <sheetName val="Chart_1_to_151"/>
      <sheetName val="Chart_birth_term_breakdown_(%)1"/>
      <sheetName val="Chart1_term_breakdown_(Num)1"/>
    </sheetNames>
    <sheetDataSet>
      <sheetData sheetId="0" refreshError="1">
        <row r="5">
          <cell r="H5" t="str">
            <v>DME75</v>
          </cell>
        </row>
      </sheetData>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14-15 submitted baselines"/>
      <sheetName val="14-15 submitted HN places"/>
      <sheetName val="Inputs &amp; Adjustments"/>
      <sheetName val="Local Factors"/>
      <sheetName val="Adjusted Factors"/>
      <sheetName val="14-15 final baselines"/>
      <sheetName val="Commentary"/>
      <sheetName val="Proforma"/>
      <sheetName val="De Delegation"/>
      <sheetName val="New ISB"/>
      <sheetName val="School level SB"/>
      <sheetName val="Recoupment"/>
      <sheetName val="Validation sheet"/>
      <sheetName val="Front_Sheet"/>
      <sheetName val="Schools_Block_Data"/>
      <sheetName val="14-15_submitted_baselines"/>
      <sheetName val="14-15_submitted_HN_places"/>
      <sheetName val="Inputs_&amp;_Adjustments"/>
      <sheetName val="Local_Factors"/>
      <sheetName val="Adjusted_Factors"/>
      <sheetName val="14-15_final_baselines"/>
      <sheetName val="De_Delegation"/>
      <sheetName val="New_ISB"/>
      <sheetName val="School_level_SB"/>
      <sheetName val="Validation_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F6" t="str">
            <v>Primary</v>
          </cell>
        </row>
      </sheetData>
      <sheetData sheetId="8" refreshError="1"/>
      <sheetData sheetId="9" refreshError="1"/>
      <sheetData sheetId="10">
        <row r="15">
          <cell r="D15" t="str">
            <v>FSM6 % Primary</v>
          </cell>
        </row>
      </sheetData>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ow r="6">
          <cell r="F6" t="str">
            <v>Primary</v>
          </cell>
        </row>
      </sheetData>
      <sheetData sheetId="23"/>
      <sheetData sheetId="24"/>
      <sheetData sheetId="25"/>
      <sheetData sheetId="26"/>
      <sheetData sheetId="2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
      <sheetName val="Home"/>
      <sheetName val="1617Proj"/>
      <sheetName val="2015-16 Summary"/>
      <sheetName val="2015-16 DSG allocations"/>
      <sheetName val="2015-16 HN places &amp; deductions"/>
      <sheetName val="2015-16 NRA cash transfer"/>
      <sheetName val="2015-16 additions"/>
      <sheetName val="LA Type"/>
      <sheetName val="2014-15 HN block baseline"/>
      <sheetName val="2015-16 HN block "/>
      <sheetName val="Residency to location"/>
      <sheetName val="Information_"/>
      <sheetName val="2015-16_Summary"/>
      <sheetName val="2015-16_DSG_allocations"/>
      <sheetName val="2015-16_HN_places_&amp;_deductions"/>
      <sheetName val="2015-16_NRA_cash_transfer"/>
      <sheetName val="2015-16_additions"/>
      <sheetName val="LA_Type"/>
      <sheetName val="2014-15_HN_block_baseline"/>
      <sheetName val="2015-16_HN_block_"/>
      <sheetName val="Residency_to_location"/>
    </sheetNames>
    <sheetDataSet>
      <sheetData sheetId="0"/>
      <sheetData sheetId="1">
        <row r="5">
          <cell r="F5" t="e">
            <v>#N/A</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17-18 funding floor baselines"/>
      <sheetName val="18-19 submitted baselines"/>
      <sheetName val="18-19 HN places"/>
      <sheetName val="Proposed Free Schools"/>
      <sheetName val="Inputs &amp; Adjustments"/>
      <sheetName val="Local Factors"/>
      <sheetName val="Adjusted Factors"/>
      <sheetName val="17-18 FF final baselines"/>
      <sheetName val="18-19 final baselines"/>
      <sheetName val="Commentary"/>
      <sheetName val="Proforma"/>
      <sheetName val="ProformaAggregation"/>
      <sheetName val="De Delegation"/>
      <sheetName val="Education Functions"/>
      <sheetName val="New ISB"/>
      <sheetName val="School level SB"/>
      <sheetName val="Recoupment"/>
      <sheetName val="Validatio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3">
          <cell r="D13">
            <v>3500</v>
          </cell>
        </row>
        <row r="72">
          <cell r="H72" t="str">
            <v>No</v>
          </cell>
          <cell r="L72"/>
        </row>
      </sheetData>
      <sheetData sheetId="14"/>
      <sheetData sheetId="15"/>
      <sheetData sheetId="16"/>
      <sheetData sheetId="17">
        <row r="5">
          <cell r="BJ5">
            <v>0</v>
          </cell>
        </row>
      </sheetData>
      <sheetData sheetId="18"/>
      <sheetData sheetId="19"/>
      <sheetData sheetId="2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6Students"/>
      <sheetName val="Oct14Census"/>
      <sheetName val="EOY1314"/>
      <sheetName val="NewISB"/>
      <sheetName val="NotSEN"/>
      <sheetName val="Statementsrevised"/>
      <sheetName val="HNList"/>
      <sheetName val="Statements"/>
      <sheetName val="HNtop-ups"/>
      <sheetName val="HNTopUps"/>
      <sheetName val="HNPlaces"/>
      <sheetName val="UIFSM"/>
      <sheetName val="DfERecoupNov14"/>
      <sheetName val="NEWS"/>
      <sheetName val="Home"/>
      <sheetName val="SchoolReport"/>
      <sheetName val="Post16"/>
      <sheetName val="Post16 Original"/>
      <sheetName val="P16FinYear"/>
      <sheetName val="EarlyYears"/>
      <sheetName val="MFG"/>
      <sheetName val="Pupils"/>
      <sheetName val="HNLinesDec"/>
      <sheetName val="StmtTopUps"/>
      <sheetName val="OtherTopups"/>
      <sheetName val="StmtTopUpsOrig"/>
      <sheetName val="HighNeeds"/>
      <sheetName val="HighNeeds Orig"/>
      <sheetName val="Infant FSM"/>
      <sheetName val="NotionalSEN"/>
      <sheetName val="Payments"/>
      <sheetName val="EarlyYearstrans"/>
      <sheetName val="EYFlexDep"/>
      <sheetName val="Early Years Data"/>
      <sheetName val="AutoDEC"/>
      <sheetName val="Instalments"/>
      <sheetName val="Comparisons"/>
      <sheetName val="AllSchools"/>
      <sheetName val="BarnetReport"/>
      <sheetName val="Opt B C D Apr-Jul 2014-15"/>
      <sheetName val="NNDR 13-14"/>
      <sheetName val="Medical"/>
      <sheetName val="Osidge"/>
      <sheetName val="DFC @ 12.06.14"/>
      <sheetName val="NNDR @ 12.06.14"/>
      <sheetName val="Post-16 Allocation 2014-15"/>
      <sheetName val="Barnet PPLAC"/>
      <sheetName val="AllHNTopups"/>
      <sheetName val="ADDPayments"/>
      <sheetName val="STMT13-14"/>
      <sheetName val="HNLines"/>
      <sheetName val="Final DFC"/>
      <sheetName val="InYearChanges"/>
      <sheetName val="ADDGRANT adj 28.10.14"/>
      <sheetName val="EY AUTA cross check"/>
      <sheetName val="DecHNadj"/>
      <sheetName val="DecHN"/>
      <sheetName val="Sheet9"/>
      <sheetName val="TRANS"/>
      <sheetName val="Rates"/>
      <sheetName val="Schools"/>
      <sheetName val="Autopayments"/>
      <sheetName val="Data"/>
      <sheetName val="CostCentres"/>
      <sheetName val="Colour Key, Tab Status &amp; Errors"/>
      <sheetName val="TRANSPivotadhoc"/>
      <sheetName val="RunSummary"/>
      <sheetName val="BUDMON"/>
      <sheetName val="Month4"/>
      <sheetName val="Month3"/>
      <sheetName val="SchACCMonthly"/>
      <sheetName val="SchAccRun"/>
      <sheetName val="Procedure"/>
      <sheetName val="Original BarnetReport "/>
      <sheetName val="Expansions"/>
      <sheetName val="EY SUMAADJ"/>
      <sheetName val="OtherTopups Original"/>
      <sheetName val="SchAccJul"/>
      <sheetName val="OptBCDbyCC"/>
      <sheetName val="OptionsBCD"/>
      <sheetName val="ChangeLog"/>
      <sheetName val="Journals"/>
      <sheetName val="MHCHS"/>
      <sheetName val="AutoSEP"/>
      <sheetName val="EASEN"/>
      <sheetName val="EYAutBal"/>
      <sheetName val="Medical2"/>
      <sheetName val="PPLAC"/>
      <sheetName val="AcadNNDRDec"/>
      <sheetName val="SALSAFE"/>
      <sheetName val="Sheet1"/>
      <sheetName val="Post16_Original"/>
      <sheetName val="HighNeeds_Orig"/>
      <sheetName val="Infant_FSM"/>
      <sheetName val="Early_Years_Data"/>
      <sheetName val="Opt_B_C_D_Apr-Jul_2014-15"/>
      <sheetName val="NNDR_13-14"/>
      <sheetName val="DFC_@_12_06_14"/>
      <sheetName val="NNDR_@_12_06_14"/>
      <sheetName val="Post-16_Allocation_2014-15"/>
      <sheetName val="Barnet_PPLAC"/>
      <sheetName val="Final_DFC"/>
      <sheetName val="ADDGRANT_adj_28_10_14"/>
      <sheetName val="EY_AUTA_cross_check"/>
      <sheetName val="Colour_Key,_Tab_Status_&amp;_Errors"/>
      <sheetName val="Original_BarnetReport_"/>
      <sheetName val="EY_SUMAADJ"/>
      <sheetName val="OtherTopups_Orig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D9" t="str">
            <v>BARNET SCHOOL FUNDING - APR 2014 - MAR 2015 - Revised December 2014</v>
          </cell>
        </row>
        <row r="11">
          <cell r="H11">
            <v>41991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row r="15">
          <cell r="A15">
            <v>0</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row r="15">
          <cell r="A15">
            <v>0</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summary"/>
      <sheetName val="Budget Summary"/>
      <sheetName val="Commitment Summary"/>
      <sheetName val="Private &amp; Ind Residential"/>
      <sheetName val="Private &amp; Ind Schools"/>
      <sheetName val="Recoupment OLA Schools"/>
      <sheetName val="Academies"/>
      <sheetName val="Children's Centres"/>
      <sheetName val="Therapies"/>
      <sheetName val="Invest to Save"/>
      <sheetName val="Block Purchase"/>
      <sheetName val="Holidays &amp; Term Dates"/>
      <sheetName val="Client Data"/>
      <sheetName val="Provider Listing"/>
      <sheetName val="Vendor List"/>
      <sheetName val="Coding"/>
      <sheetName val="Notes"/>
      <sheetName val="Help"/>
      <sheetName val="Checks"/>
      <sheetName val="CC_summary"/>
      <sheetName val="Budget_Summary"/>
      <sheetName val="Commitment_Summary"/>
      <sheetName val="Private_&amp;_Ind_Residential"/>
      <sheetName val="Private_&amp;_Ind_Schools"/>
      <sheetName val="Recoupment_OLA_Schools"/>
      <sheetName val="Children's_Centres"/>
      <sheetName val="Invest_to_Save"/>
      <sheetName val="Block_Purchase"/>
      <sheetName val="Holidays_&amp;_Term_Dates"/>
      <sheetName val="Client_Data"/>
      <sheetName val="Provider_Listing"/>
      <sheetName val="Vendor_List"/>
    </sheetNames>
    <sheetDataSet>
      <sheetData sheetId="0"/>
      <sheetData sheetId="1"/>
      <sheetData sheetId="2"/>
      <sheetData sheetId="3"/>
      <sheetData sheetId="4"/>
      <sheetData sheetId="5"/>
      <sheetData sheetId="6"/>
      <sheetData sheetId="7"/>
      <sheetData sheetId="8"/>
      <sheetData sheetId="9"/>
      <sheetData sheetId="10"/>
      <sheetData sheetId="11">
        <row r="2">
          <cell r="M2">
            <v>41000</v>
          </cell>
          <cell r="O2">
            <v>41364</v>
          </cell>
        </row>
        <row r="3">
          <cell r="B3">
            <v>41001</v>
          </cell>
        </row>
        <row r="4">
          <cell r="B4">
            <v>41002</v>
          </cell>
        </row>
        <row r="5">
          <cell r="B5">
            <v>41003</v>
          </cell>
        </row>
        <row r="6">
          <cell r="B6">
            <v>41004</v>
          </cell>
        </row>
        <row r="7">
          <cell r="B7">
            <v>41005</v>
          </cell>
        </row>
        <row r="8">
          <cell r="B8">
            <v>41008</v>
          </cell>
        </row>
        <row r="9">
          <cell r="B9">
            <v>41009</v>
          </cell>
        </row>
        <row r="10">
          <cell r="B10">
            <v>41010</v>
          </cell>
        </row>
        <row r="11">
          <cell r="B11">
            <v>41011</v>
          </cell>
        </row>
        <row r="12">
          <cell r="B12">
            <v>41012</v>
          </cell>
        </row>
        <row r="13">
          <cell r="B13">
            <v>41036</v>
          </cell>
        </row>
        <row r="14">
          <cell r="B14">
            <v>41064</v>
          </cell>
        </row>
        <row r="15">
          <cell r="B15">
            <v>41065</v>
          </cell>
        </row>
        <row r="16">
          <cell r="B16">
            <v>41066</v>
          </cell>
        </row>
        <row r="17">
          <cell r="B17">
            <v>41067</v>
          </cell>
        </row>
        <row r="18">
          <cell r="B18">
            <v>41068</v>
          </cell>
        </row>
        <row r="19">
          <cell r="B19">
            <v>41114</v>
          </cell>
        </row>
        <row r="20">
          <cell r="B20">
            <v>41115</v>
          </cell>
        </row>
        <row r="21">
          <cell r="B21">
            <v>41116</v>
          </cell>
        </row>
        <row r="22">
          <cell r="B22">
            <v>41117</v>
          </cell>
        </row>
        <row r="23">
          <cell r="B23">
            <v>41120</v>
          </cell>
        </row>
        <row r="24">
          <cell r="B24">
            <v>41121</v>
          </cell>
        </row>
        <row r="25">
          <cell r="B25">
            <v>41122</v>
          </cell>
        </row>
        <row r="26">
          <cell r="B26">
            <v>41123</v>
          </cell>
        </row>
        <row r="27">
          <cell r="B27">
            <v>41124</v>
          </cell>
        </row>
        <row r="28">
          <cell r="B28">
            <v>41127</v>
          </cell>
        </row>
        <row r="29">
          <cell r="B29">
            <v>41128</v>
          </cell>
        </row>
        <row r="30">
          <cell r="B30">
            <v>41129</v>
          </cell>
        </row>
        <row r="31">
          <cell r="B31">
            <v>41130</v>
          </cell>
        </row>
        <row r="32">
          <cell r="B32">
            <v>41131</v>
          </cell>
        </row>
        <row r="33">
          <cell r="B33">
            <v>41134</v>
          </cell>
        </row>
        <row r="34">
          <cell r="B34">
            <v>41135</v>
          </cell>
        </row>
        <row r="35">
          <cell r="B35">
            <v>41136</v>
          </cell>
        </row>
        <row r="36">
          <cell r="B36">
            <v>41137</v>
          </cell>
        </row>
        <row r="37">
          <cell r="B37">
            <v>41138</v>
          </cell>
        </row>
        <row r="38">
          <cell r="B38">
            <v>41141</v>
          </cell>
        </row>
        <row r="39">
          <cell r="B39">
            <v>41142</v>
          </cell>
        </row>
        <row r="40">
          <cell r="B40">
            <v>41143</v>
          </cell>
        </row>
        <row r="41">
          <cell r="B41">
            <v>41144</v>
          </cell>
        </row>
        <row r="42">
          <cell r="B42">
            <v>41145</v>
          </cell>
        </row>
        <row r="43">
          <cell r="B43">
            <v>41148</v>
          </cell>
        </row>
        <row r="44">
          <cell r="B44">
            <v>41149</v>
          </cell>
        </row>
        <row r="45">
          <cell r="B45">
            <v>41150</v>
          </cell>
        </row>
        <row r="46">
          <cell r="B46">
            <v>41151</v>
          </cell>
        </row>
        <row r="47">
          <cell r="B47">
            <v>41152</v>
          </cell>
        </row>
        <row r="48">
          <cell r="B48">
            <v>41155</v>
          </cell>
        </row>
        <row r="49">
          <cell r="B49">
            <v>41211</v>
          </cell>
        </row>
        <row r="50">
          <cell r="B50">
            <v>41212</v>
          </cell>
        </row>
        <row r="51">
          <cell r="B51">
            <v>41213</v>
          </cell>
        </row>
        <row r="52">
          <cell r="B52">
            <v>41214</v>
          </cell>
        </row>
        <row r="53">
          <cell r="B53">
            <v>41215</v>
          </cell>
        </row>
        <row r="54">
          <cell r="B54">
            <v>41267</v>
          </cell>
        </row>
        <row r="55">
          <cell r="B55">
            <v>41268</v>
          </cell>
        </row>
        <row r="56">
          <cell r="B56">
            <v>41269</v>
          </cell>
        </row>
        <row r="57">
          <cell r="B57">
            <v>41270</v>
          </cell>
        </row>
        <row r="58">
          <cell r="B58">
            <v>41271</v>
          </cell>
        </row>
        <row r="59">
          <cell r="B59">
            <v>41274</v>
          </cell>
        </row>
        <row r="60">
          <cell r="B60">
            <v>41275</v>
          </cell>
        </row>
        <row r="61">
          <cell r="B61">
            <v>41276</v>
          </cell>
        </row>
        <row r="62">
          <cell r="B62">
            <v>41277</v>
          </cell>
        </row>
        <row r="63">
          <cell r="B63">
            <v>41278</v>
          </cell>
        </row>
        <row r="64">
          <cell r="B64">
            <v>41323</v>
          </cell>
        </row>
        <row r="65">
          <cell r="B65">
            <v>41324</v>
          </cell>
        </row>
        <row r="66">
          <cell r="B66">
            <v>41325</v>
          </cell>
        </row>
        <row r="67">
          <cell r="B67">
            <v>41326</v>
          </cell>
        </row>
        <row r="68">
          <cell r="B68">
            <v>41327</v>
          </cell>
        </row>
        <row r="69">
          <cell r="B69">
            <v>41362</v>
          </cell>
        </row>
        <row r="70">
          <cell r="B70">
            <v>41365</v>
          </cell>
        </row>
        <row r="71">
          <cell r="B71">
            <v>41366</v>
          </cell>
        </row>
        <row r="72">
          <cell r="B72">
            <v>41367</v>
          </cell>
        </row>
        <row r="73">
          <cell r="B73">
            <v>41368</v>
          </cell>
        </row>
        <row r="74">
          <cell r="B74">
            <v>41369</v>
          </cell>
        </row>
        <row r="75">
          <cell r="B75">
            <v>41372</v>
          </cell>
        </row>
        <row r="76">
          <cell r="B76">
            <v>41373</v>
          </cell>
        </row>
        <row r="77">
          <cell r="B77">
            <v>41374</v>
          </cell>
        </row>
        <row r="78">
          <cell r="B78">
            <v>41375</v>
          </cell>
        </row>
        <row r="79">
          <cell r="B79">
            <v>41376</v>
          </cell>
        </row>
        <row r="80">
          <cell r="B80">
            <v>41400</v>
          </cell>
        </row>
        <row r="81">
          <cell r="B81">
            <v>41421</v>
          </cell>
        </row>
        <row r="82">
          <cell r="B82">
            <v>41422</v>
          </cell>
        </row>
        <row r="83">
          <cell r="B83">
            <v>41423</v>
          </cell>
        </row>
        <row r="84">
          <cell r="B84">
            <v>41424</v>
          </cell>
        </row>
        <row r="85">
          <cell r="B85">
            <v>41425</v>
          </cell>
        </row>
        <row r="86">
          <cell r="B86">
            <v>41480</v>
          </cell>
        </row>
        <row r="87">
          <cell r="B87">
            <v>41481</v>
          </cell>
        </row>
        <row r="88">
          <cell r="B88">
            <v>41484</v>
          </cell>
        </row>
        <row r="89">
          <cell r="B89">
            <v>41485</v>
          </cell>
        </row>
        <row r="90">
          <cell r="B90">
            <v>41486</v>
          </cell>
        </row>
        <row r="91">
          <cell r="B91">
            <v>41487</v>
          </cell>
        </row>
        <row r="92">
          <cell r="B92">
            <v>41488</v>
          </cell>
        </row>
        <row r="93">
          <cell r="B93">
            <v>41491</v>
          </cell>
        </row>
        <row r="94">
          <cell r="B94">
            <v>41492</v>
          </cell>
        </row>
        <row r="95">
          <cell r="B95">
            <v>41493</v>
          </cell>
        </row>
        <row r="96">
          <cell r="B96">
            <v>41494</v>
          </cell>
        </row>
        <row r="97">
          <cell r="B97">
            <v>41495</v>
          </cell>
        </row>
        <row r="98">
          <cell r="B98">
            <v>41498</v>
          </cell>
        </row>
        <row r="99">
          <cell r="B99">
            <v>41499</v>
          </cell>
        </row>
        <row r="100">
          <cell r="B100">
            <v>41500</v>
          </cell>
        </row>
        <row r="101">
          <cell r="B101">
            <v>41501</v>
          </cell>
        </row>
        <row r="102">
          <cell r="B102">
            <v>41502</v>
          </cell>
        </row>
        <row r="103">
          <cell r="B103">
            <v>41505</v>
          </cell>
        </row>
        <row r="104">
          <cell r="B104">
            <v>41506</v>
          </cell>
        </row>
        <row r="105">
          <cell r="B105">
            <v>41507</v>
          </cell>
        </row>
        <row r="106">
          <cell r="B106">
            <v>41508</v>
          </cell>
        </row>
        <row r="107">
          <cell r="B107">
            <v>41509</v>
          </cell>
        </row>
        <row r="108">
          <cell r="B108">
            <v>41512</v>
          </cell>
        </row>
        <row r="109">
          <cell r="B109">
            <v>41513</v>
          </cell>
        </row>
        <row r="110">
          <cell r="B110">
            <v>41514</v>
          </cell>
        </row>
        <row r="111">
          <cell r="B111">
            <v>41515</v>
          </cell>
        </row>
        <row r="112">
          <cell r="B112">
            <v>41516</v>
          </cell>
        </row>
      </sheetData>
      <sheetData sheetId="12"/>
      <sheetData sheetId="13"/>
      <sheetData sheetId="14"/>
      <sheetData sheetId="15">
        <row r="4">
          <cell r="A4">
            <v>10194</v>
          </cell>
          <cell r="B4" t="str">
            <v>Therapy</v>
          </cell>
        </row>
        <row r="5">
          <cell r="A5">
            <v>10196</v>
          </cell>
          <cell r="B5" t="str">
            <v>Academies - SEN</v>
          </cell>
        </row>
        <row r="6">
          <cell r="A6">
            <v>10198</v>
          </cell>
          <cell r="B6" t="str">
            <v>Private &amp; Ind. Pre-school Mainstream</v>
          </cell>
        </row>
        <row r="7">
          <cell r="A7">
            <v>10199</v>
          </cell>
          <cell r="B7" t="str">
            <v>LB Barnet Children's Centres</v>
          </cell>
        </row>
        <row r="8">
          <cell r="A8">
            <v>10201</v>
          </cell>
          <cell r="B8" t="str">
            <v>Discovery Bay &amp; Northgate (incl recoupment income)</v>
          </cell>
        </row>
        <row r="9">
          <cell r="A9">
            <v>10202</v>
          </cell>
          <cell r="B9" t="str">
            <v>Private &amp; Ind. Day Mainstream</v>
          </cell>
        </row>
        <row r="10">
          <cell r="A10">
            <v>10204</v>
          </cell>
          <cell r="B10" t="str">
            <v>Private &amp; Ind. Day Special School</v>
          </cell>
        </row>
        <row r="11">
          <cell r="A11">
            <v>10206</v>
          </cell>
          <cell r="B11" t="str">
            <v>Private &amp; Ind. Residential Special School</v>
          </cell>
        </row>
        <row r="12">
          <cell r="A12">
            <v>10211</v>
          </cell>
          <cell r="B12" t="str">
            <v>Specialist Packages - Autistic Intervention (incl Home Tuition)</v>
          </cell>
        </row>
        <row r="13">
          <cell r="A13">
            <v>10290</v>
          </cell>
          <cell r="B13" t="str">
            <v>Recoupment OLA Primary Schools</v>
          </cell>
        </row>
        <row r="14">
          <cell r="A14">
            <v>10291</v>
          </cell>
          <cell r="B14" t="str">
            <v>Recoupment OLA Secondary Schools</v>
          </cell>
        </row>
        <row r="15">
          <cell r="A15">
            <v>10292</v>
          </cell>
          <cell r="B15" t="str">
            <v>Recoupment OLA Special Schools &amp; RPs</v>
          </cell>
        </row>
        <row r="16">
          <cell r="A16">
            <v>10201</v>
          </cell>
          <cell r="B16" t="str">
            <v xml:space="preserve">Discovery Bay &amp; Northgate </v>
          </cell>
        </row>
        <row r="17">
          <cell r="A17">
            <v>11295</v>
          </cell>
          <cell r="B17" t="str">
            <v>Therapies (NON - DSG)</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row r="2">
          <cell r="M2">
            <v>41000</v>
          </cell>
        </row>
      </sheetData>
      <sheetData sheetId="29"/>
      <sheetData sheetId="30"/>
      <sheetData sheetId="3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upilDataChecking_302"/>
      <sheetName val="PlaceDataChecking_302 (12-13)"/>
      <sheetName val="HopsitalSchoolData_302"/>
      <sheetName val="PlaceDataChecking_302 (13-14)"/>
      <sheetName val="CodeSet"/>
      <sheetName val="PlaceDataChecking_302_(12-13)"/>
      <sheetName val="PlaceDataChecking_302_(13-14)"/>
    </sheetNames>
    <sheetDataSet>
      <sheetData sheetId="0"/>
      <sheetData sheetId="1"/>
      <sheetData sheetId="2"/>
      <sheetData sheetId="3"/>
      <sheetData sheetId="4"/>
      <sheetData sheetId="5">
        <row r="1">
          <cell r="A1" t="str">
            <v>N</v>
          </cell>
          <cell r="C1" t="str">
            <v>Nursery</v>
          </cell>
        </row>
        <row r="2">
          <cell r="A2" t="str">
            <v>Y</v>
          </cell>
          <cell r="C2" t="str">
            <v>Primary</v>
          </cell>
        </row>
        <row r="3">
          <cell r="C3" t="str">
            <v>Secondary</v>
          </cell>
        </row>
        <row r="4">
          <cell r="A4" t="str">
            <v>N</v>
          </cell>
          <cell r="C4" t="str">
            <v>Recoupment Academy</v>
          </cell>
        </row>
        <row r="5">
          <cell r="A5" t="str">
            <v>Y</v>
          </cell>
          <cell r="C5" t="str">
            <v>Non Recoupment Academy</v>
          </cell>
        </row>
        <row r="6">
          <cell r="A6" t="str">
            <v>n/a</v>
          </cell>
          <cell r="C6" t="str">
            <v>PRU</v>
          </cell>
        </row>
        <row r="7">
          <cell r="C7" t="str">
            <v>AP Academy</v>
          </cell>
        </row>
        <row r="8">
          <cell r="C8" t="str">
            <v>Other Maintained AP</v>
          </cell>
        </row>
        <row r="9">
          <cell r="C9" t="str">
            <v>Maintained Special</v>
          </cell>
        </row>
        <row r="10">
          <cell r="C10" t="str">
            <v>Special Academy</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BCOLS"/>
      <sheetName val="TRANSCOLS"/>
      <sheetName val="EY Summer trans"/>
      <sheetName val="EY Summer data"/>
      <sheetName val="EYData"/>
      <sheetName val="PP Summer"/>
      <sheetName val="PP Updates"/>
      <sheetName val="UIFSM Update"/>
      <sheetName val="UIFSM Summer"/>
      <sheetName val="SEN Summer Term"/>
      <sheetName val="NNDRAdj"/>
      <sheetName val="Structure"/>
      <sheetName val="JOUPivot"/>
      <sheetName val="JouSchedule"/>
      <sheetName val="Notes"/>
      <sheetName val="Federations"/>
      <sheetName val="SheetList"/>
      <sheetName val="FinalDFC"/>
      <sheetName val="TRANS2.3"/>
      <sheetName val="TRANSPY"/>
      <sheetName val="Rates"/>
      <sheetName val="Paydates"/>
      <sheetName val="HNplaces1920"/>
      <sheetName val="TopUpData"/>
      <sheetName val="Schools"/>
      <sheetName val="PayLookup"/>
      <sheetName val="PAYDATA"/>
      <sheetName val="GROWTHDATA"/>
      <sheetName val="MONAdvice"/>
      <sheetName val="MONPivot"/>
      <sheetName val="MonInvoices"/>
      <sheetName val="ADVPivot"/>
      <sheetName val="ADVSchedule"/>
      <sheetName val="MONCredits"/>
      <sheetName val="MONPivotClaim"/>
      <sheetName val="MonRec"/>
      <sheetName val="S251Analysis"/>
      <sheetName val="CCAnalysis"/>
      <sheetName val="S251Budget"/>
      <sheetName val="Costcentres"/>
      <sheetName val="Pupillist"/>
      <sheetName val="RunAnalysis"/>
      <sheetName val="TRANS3.1"/>
      <sheetName val="TRANS"/>
      <sheetName val="News"/>
      <sheetName val="TRANS1.1"/>
      <sheetName val="FinalTPG"/>
      <sheetName val="NoteA"/>
      <sheetName val="Choose"/>
      <sheetName val="TRANS1.0"/>
      <sheetName val="CFRcomp"/>
      <sheetName val="Comp"/>
      <sheetName val="PayMethods"/>
      <sheetName val="Home"/>
      <sheetName val="Payments"/>
      <sheetName val="Bank Funding"/>
      <sheetName val="CFR"/>
      <sheetName val="BudgetShare"/>
      <sheetName val="MFG"/>
      <sheetName val="Post16Adj"/>
      <sheetName val="SixthForm"/>
      <sheetName val="EarlyYears"/>
      <sheetName val="APTProForma"/>
      <sheetName val="Dedelegation"/>
      <sheetName val="EFunctions"/>
      <sheetName val="Adjusted Factors"/>
      <sheetName val="NEWISB"/>
      <sheetName val="HighNeeds"/>
      <sheetName val="TopUps"/>
      <sheetName val="HNRates"/>
      <sheetName val="Grants"/>
      <sheetName val="PupilPremium"/>
      <sheetName val="Pupils"/>
      <sheetName val="Growth"/>
      <sheetName val="Compare"/>
      <sheetName val="Oct17Census"/>
      <sheetName val="Oct18Census"/>
      <sheetName val="HeadRep"/>
      <sheetName val="HeadData"/>
      <sheetName val="TPG 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14">
          <cell r="A14" t="str">
            <v>Autumn Adjusted</v>
          </cell>
          <cell r="B14" t="str">
            <v>Version 4.1</v>
          </cell>
          <cell r="C14">
            <v>43740</v>
          </cell>
          <cell r="D14" t="str">
            <v>2018/19</v>
          </cell>
          <cell r="E14" t="str">
            <v>2019/20</v>
          </cell>
          <cell r="F14" t="str">
            <v>Mar 19</v>
          </cell>
        </row>
        <row r="16">
          <cell r="C16">
            <v>3022016</v>
          </cell>
          <cell r="D16" t="str">
            <v>No</v>
          </cell>
          <cell r="E16" t="str">
            <v>Yes</v>
          </cell>
          <cell r="F16">
            <v>0</v>
          </cell>
          <cell r="J16" t="str">
            <v>Courtland School</v>
          </cell>
        </row>
        <row r="18">
          <cell r="L18">
            <v>3022016</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sheetName val="Adjust0506"/>
      <sheetName val="Conting0506"/>
      <sheetName val="FinalAdjRep"/>
      <sheetName val="St M &amp; St J Sheet"/>
      <sheetName val="St Marys High"/>
      <sheetName val="Compare"/>
      <sheetName val="ISB Report"/>
      <sheetName val="Specials"/>
      <sheetName val="Overview"/>
      <sheetName val="alloc"/>
      <sheetName val="mfg"/>
      <sheetName val="rates"/>
      <sheetName val="data"/>
      <sheetName val="aen"/>
      <sheetName val="sen"/>
      <sheetName val="Mobility"/>
      <sheetName val="Resourced Schools"/>
      <sheetName val="Budget"/>
      <sheetName val="Summary"/>
      <sheetName val="Prim Rep"/>
      <sheetName val="Sec Rep"/>
      <sheetName val="Nurseries"/>
      <sheetName val="Primary YGs"/>
      <sheetName val="Secondary YGs"/>
      <sheetName val="Primary YGs Prot"/>
      <sheetName val="EMAG Comparison"/>
      <sheetName val="Profile"/>
      <sheetName val="TeresaGoodall"/>
      <sheetName val="Reorgs"/>
      <sheetName val="Reorg Details"/>
      <sheetName val="List of Adj's not used"/>
      <sheetName val="Remain Cont to Dist"/>
      <sheetName val="Excluded Pupils"/>
      <sheetName val="Excl Pupil Rebates"/>
      <sheetName val="Exc Reb Summary"/>
      <sheetName val="Value copy as at 10Feb "/>
      <sheetName val="sCRATCH"/>
      <sheetName val="Dist of SSC (redundant)"/>
      <sheetName val="St_M_&amp;_St_J_Sheet"/>
      <sheetName val="St_Marys_High"/>
      <sheetName val="ISB_Report"/>
      <sheetName val="Resourced_Schools"/>
      <sheetName val="Prim_Rep"/>
      <sheetName val="Sec_Rep"/>
      <sheetName val="Primary_YGs"/>
      <sheetName val="Secondary_YGs"/>
      <sheetName val="Primary_YGs_Prot"/>
      <sheetName val="EMAG_Comparison"/>
      <sheetName val="Reorg_Details"/>
      <sheetName val="List_of_Adj's_not_used"/>
      <sheetName val="Remain_Cont_to_Dist"/>
      <sheetName val="Excluded_Pupils"/>
      <sheetName val="Excl_Pupil_Rebates"/>
      <sheetName val="Exc_Reb_Summary"/>
      <sheetName val="Value_copy_as_at_10Feb_"/>
      <sheetName val="Dist_of_SSC_(redund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Look up a school"/>
      <sheetName val="NFF all schools"/>
      <sheetName val="LA_School_Names"/>
    </sheetNames>
    <sheetDataSet>
      <sheetData sheetId="0"/>
      <sheetData sheetId="1"/>
      <sheetData sheetId="2"/>
      <sheetData sheetId="3">
        <row r="6">
          <cell r="A6" t="str">
            <v>[Please Select]</v>
          </cell>
        </row>
        <row r="7">
          <cell r="A7" t="str">
            <v>Barking and Dagenham</v>
          </cell>
        </row>
        <row r="8">
          <cell r="A8" t="str">
            <v>Barnet</v>
          </cell>
        </row>
        <row r="9">
          <cell r="A9" t="str">
            <v>Barnsley</v>
          </cell>
        </row>
        <row r="10">
          <cell r="A10" t="str">
            <v>Bath and North East Somerset</v>
          </cell>
        </row>
        <row r="11">
          <cell r="A11" t="str">
            <v>Bedford Borough</v>
          </cell>
        </row>
        <row r="12">
          <cell r="A12" t="str">
            <v>Bexley</v>
          </cell>
        </row>
        <row r="13">
          <cell r="A13" t="str">
            <v>Birmingham</v>
          </cell>
        </row>
        <row r="14">
          <cell r="A14" t="str">
            <v>Blackburn with Darwen</v>
          </cell>
        </row>
        <row r="15">
          <cell r="A15" t="str">
            <v>Blackpool</v>
          </cell>
        </row>
        <row r="16">
          <cell r="A16" t="str">
            <v>Bolton</v>
          </cell>
        </row>
        <row r="17">
          <cell r="A17" t="str">
            <v>Bournemouth</v>
          </cell>
        </row>
        <row r="18">
          <cell r="A18" t="str">
            <v>Bracknell Forest</v>
          </cell>
        </row>
        <row r="19">
          <cell r="A19" t="str">
            <v>Bradford</v>
          </cell>
        </row>
        <row r="20">
          <cell r="A20" t="str">
            <v>Brent</v>
          </cell>
        </row>
        <row r="21">
          <cell r="A21" t="str">
            <v>Brighton and Hove</v>
          </cell>
        </row>
        <row r="22">
          <cell r="A22" t="str">
            <v>Bristol, City of</v>
          </cell>
        </row>
        <row r="23">
          <cell r="A23" t="str">
            <v>Bromley</v>
          </cell>
        </row>
        <row r="24">
          <cell r="A24" t="str">
            <v>Buckinghamshire</v>
          </cell>
        </row>
        <row r="25">
          <cell r="A25" t="str">
            <v>Bury</v>
          </cell>
        </row>
        <row r="26">
          <cell r="A26" t="str">
            <v>Calderdale</v>
          </cell>
        </row>
        <row r="27">
          <cell r="A27" t="str">
            <v>Cambridgeshire</v>
          </cell>
        </row>
        <row r="28">
          <cell r="A28" t="str">
            <v>Camden</v>
          </cell>
        </row>
        <row r="29">
          <cell r="A29" t="str">
            <v>Central Bedfordshire</v>
          </cell>
        </row>
        <row r="30">
          <cell r="A30" t="str">
            <v>Cheshire East</v>
          </cell>
        </row>
        <row r="31">
          <cell r="A31" t="str">
            <v>Cheshire West And Chester</v>
          </cell>
        </row>
        <row r="32">
          <cell r="A32" t="str">
            <v>Cornwall</v>
          </cell>
        </row>
        <row r="33">
          <cell r="A33" t="str">
            <v>Coventry</v>
          </cell>
        </row>
        <row r="34">
          <cell r="A34" t="str">
            <v>Croydon</v>
          </cell>
        </row>
        <row r="35">
          <cell r="A35" t="str">
            <v>Cumbria</v>
          </cell>
        </row>
        <row r="36">
          <cell r="A36" t="str">
            <v>Darlington</v>
          </cell>
        </row>
        <row r="37">
          <cell r="A37" t="str">
            <v>Derby</v>
          </cell>
        </row>
        <row r="38">
          <cell r="A38" t="str">
            <v>Derbyshire</v>
          </cell>
        </row>
        <row r="39">
          <cell r="A39" t="str">
            <v>Devon</v>
          </cell>
        </row>
        <row r="40">
          <cell r="A40" t="str">
            <v>Doncaster</v>
          </cell>
        </row>
        <row r="41">
          <cell r="A41" t="str">
            <v>Dorset</v>
          </cell>
        </row>
        <row r="42">
          <cell r="A42" t="str">
            <v>Dudley</v>
          </cell>
        </row>
        <row r="43">
          <cell r="A43" t="str">
            <v>Durham</v>
          </cell>
        </row>
        <row r="44">
          <cell r="A44" t="str">
            <v>Ealing</v>
          </cell>
        </row>
        <row r="45">
          <cell r="A45" t="str">
            <v>East Riding of Yorkshire</v>
          </cell>
        </row>
        <row r="46">
          <cell r="A46" t="str">
            <v>East Sussex</v>
          </cell>
        </row>
        <row r="47">
          <cell r="A47" t="str">
            <v>Enfield</v>
          </cell>
        </row>
        <row r="48">
          <cell r="A48" t="str">
            <v>Essex</v>
          </cell>
        </row>
        <row r="49">
          <cell r="A49" t="str">
            <v>Gateshead</v>
          </cell>
        </row>
        <row r="50">
          <cell r="A50" t="str">
            <v>Gloucestershire</v>
          </cell>
        </row>
        <row r="51">
          <cell r="A51" t="str">
            <v>Greenwich</v>
          </cell>
        </row>
        <row r="52">
          <cell r="A52" t="str">
            <v>Hackney</v>
          </cell>
        </row>
        <row r="53">
          <cell r="A53" t="str">
            <v>Halton</v>
          </cell>
        </row>
        <row r="54">
          <cell r="A54" t="str">
            <v>Hammersmith and Fulham</v>
          </cell>
        </row>
        <row r="55">
          <cell r="A55" t="str">
            <v>Hampshire</v>
          </cell>
        </row>
        <row r="56">
          <cell r="A56" t="str">
            <v>Haringey</v>
          </cell>
        </row>
        <row r="57">
          <cell r="A57" t="str">
            <v>Harrow</v>
          </cell>
        </row>
        <row r="58">
          <cell r="A58" t="str">
            <v>Hartlepool</v>
          </cell>
        </row>
        <row r="59">
          <cell r="A59" t="str">
            <v>Havering</v>
          </cell>
        </row>
        <row r="60">
          <cell r="A60" t="str">
            <v>Herefordshire</v>
          </cell>
        </row>
        <row r="61">
          <cell r="A61" t="str">
            <v>Hertfordshire</v>
          </cell>
        </row>
        <row r="62">
          <cell r="A62" t="str">
            <v>Hillingdon</v>
          </cell>
        </row>
        <row r="63">
          <cell r="A63" t="str">
            <v>Hounslow</v>
          </cell>
        </row>
        <row r="64">
          <cell r="A64" t="str">
            <v>Isle of Wight</v>
          </cell>
        </row>
        <row r="65">
          <cell r="A65" t="str">
            <v>Islington</v>
          </cell>
        </row>
        <row r="66">
          <cell r="A66" t="str">
            <v>Kensington and Chelsea</v>
          </cell>
        </row>
        <row r="67">
          <cell r="A67" t="str">
            <v>Kent</v>
          </cell>
        </row>
        <row r="68">
          <cell r="A68" t="str">
            <v>Kingston upon Hull, City of</v>
          </cell>
        </row>
        <row r="69">
          <cell r="A69" t="str">
            <v>Kingston upon Thames</v>
          </cell>
        </row>
        <row r="70">
          <cell r="A70" t="str">
            <v>Kirklees</v>
          </cell>
        </row>
        <row r="71">
          <cell r="A71" t="str">
            <v>Knowsley</v>
          </cell>
        </row>
        <row r="72">
          <cell r="A72" t="str">
            <v>Lambeth</v>
          </cell>
        </row>
        <row r="73">
          <cell r="A73" t="str">
            <v>Lancashire</v>
          </cell>
        </row>
        <row r="74">
          <cell r="A74" t="str">
            <v>Leeds</v>
          </cell>
        </row>
        <row r="75">
          <cell r="A75" t="str">
            <v>Leicester</v>
          </cell>
        </row>
        <row r="76">
          <cell r="A76" t="str">
            <v>Leicestershire</v>
          </cell>
        </row>
        <row r="77">
          <cell r="A77" t="str">
            <v>Lewisham</v>
          </cell>
        </row>
        <row r="78">
          <cell r="A78" t="str">
            <v>Lincolnshire</v>
          </cell>
        </row>
        <row r="79">
          <cell r="A79" t="str">
            <v>Liverpool</v>
          </cell>
        </row>
        <row r="80">
          <cell r="A80" t="str">
            <v>Luton</v>
          </cell>
        </row>
        <row r="81">
          <cell r="A81" t="str">
            <v>Manchester</v>
          </cell>
        </row>
        <row r="82">
          <cell r="A82" t="str">
            <v>Medway</v>
          </cell>
        </row>
        <row r="83">
          <cell r="A83" t="str">
            <v>Merton</v>
          </cell>
        </row>
        <row r="84">
          <cell r="A84" t="str">
            <v>Middlesbrough</v>
          </cell>
        </row>
        <row r="85">
          <cell r="A85" t="str">
            <v>Milton Keynes</v>
          </cell>
        </row>
        <row r="86">
          <cell r="A86" t="str">
            <v>Newcastle upon Tyne</v>
          </cell>
        </row>
        <row r="87">
          <cell r="A87" t="str">
            <v>Newham</v>
          </cell>
        </row>
        <row r="88">
          <cell r="A88" t="str">
            <v>Norfolk</v>
          </cell>
        </row>
        <row r="89">
          <cell r="A89" t="str">
            <v>North East Lincolnshire</v>
          </cell>
        </row>
        <row r="90">
          <cell r="A90" t="str">
            <v>North Lincolnshire</v>
          </cell>
        </row>
        <row r="91">
          <cell r="A91" t="str">
            <v>North Somerset</v>
          </cell>
        </row>
        <row r="92">
          <cell r="A92" t="str">
            <v>North Tyneside</v>
          </cell>
        </row>
        <row r="93">
          <cell r="A93" t="str">
            <v>North Yorkshire</v>
          </cell>
        </row>
        <row r="94">
          <cell r="A94" t="str">
            <v>Northamptonshire</v>
          </cell>
        </row>
        <row r="95">
          <cell r="A95" t="str">
            <v>Northumberland</v>
          </cell>
        </row>
        <row r="96">
          <cell r="A96" t="str">
            <v>Nottingham</v>
          </cell>
        </row>
        <row r="97">
          <cell r="A97" t="str">
            <v>Nottinghamshire</v>
          </cell>
        </row>
        <row r="98">
          <cell r="A98" t="str">
            <v>Oldham</v>
          </cell>
        </row>
        <row r="99">
          <cell r="A99" t="str">
            <v>Oxfordshire</v>
          </cell>
        </row>
        <row r="100">
          <cell r="A100" t="str">
            <v>Peterborough</v>
          </cell>
        </row>
        <row r="101">
          <cell r="A101" t="str">
            <v>Plymouth</v>
          </cell>
        </row>
        <row r="102">
          <cell r="A102" t="str">
            <v>Poole</v>
          </cell>
        </row>
        <row r="103">
          <cell r="A103" t="str">
            <v>Portsmouth</v>
          </cell>
        </row>
        <row r="104">
          <cell r="A104" t="str">
            <v>Reading</v>
          </cell>
        </row>
        <row r="105">
          <cell r="A105" t="str">
            <v>Redbridge</v>
          </cell>
        </row>
        <row r="106">
          <cell r="A106" t="str">
            <v>Redcar and Cleveland</v>
          </cell>
        </row>
        <row r="107">
          <cell r="A107" t="str">
            <v>Richmond upon Thames</v>
          </cell>
        </row>
        <row r="108">
          <cell r="A108" t="str">
            <v>Rochdale</v>
          </cell>
        </row>
        <row r="109">
          <cell r="A109" t="str">
            <v>Rotherham</v>
          </cell>
        </row>
        <row r="110">
          <cell r="A110" t="str">
            <v>Rutland</v>
          </cell>
        </row>
        <row r="111">
          <cell r="A111" t="str">
            <v>Salford</v>
          </cell>
        </row>
        <row r="112">
          <cell r="A112" t="str">
            <v>Sandwell</v>
          </cell>
        </row>
        <row r="113">
          <cell r="A113" t="str">
            <v>Sefton</v>
          </cell>
        </row>
        <row r="114">
          <cell r="A114" t="str">
            <v>Sheffield</v>
          </cell>
        </row>
        <row r="115">
          <cell r="A115" t="str">
            <v>Shropshire</v>
          </cell>
        </row>
        <row r="116">
          <cell r="A116" t="str">
            <v>Slough</v>
          </cell>
        </row>
        <row r="117">
          <cell r="A117" t="str">
            <v>Solihull</v>
          </cell>
        </row>
        <row r="118">
          <cell r="A118" t="str">
            <v>Somerset</v>
          </cell>
        </row>
        <row r="119">
          <cell r="A119" t="str">
            <v>South Gloucestershire</v>
          </cell>
        </row>
        <row r="120">
          <cell r="A120" t="str">
            <v>South Tyneside</v>
          </cell>
        </row>
        <row r="121">
          <cell r="A121" t="str">
            <v>Southampton</v>
          </cell>
        </row>
        <row r="122">
          <cell r="A122" t="str">
            <v>Southend-on-Sea</v>
          </cell>
        </row>
        <row r="123">
          <cell r="A123" t="str">
            <v>Southwark</v>
          </cell>
        </row>
        <row r="124">
          <cell r="A124" t="str">
            <v>St Helens</v>
          </cell>
        </row>
        <row r="125">
          <cell r="A125" t="str">
            <v>Staffordshire</v>
          </cell>
        </row>
        <row r="126">
          <cell r="A126" t="str">
            <v>Stockport</v>
          </cell>
        </row>
        <row r="127">
          <cell r="A127" t="str">
            <v>Stockton-on-Tees</v>
          </cell>
        </row>
        <row r="128">
          <cell r="A128" t="str">
            <v>Stoke-on-Trent</v>
          </cell>
        </row>
        <row r="129">
          <cell r="A129" t="str">
            <v>Suffolk</v>
          </cell>
        </row>
        <row r="130">
          <cell r="A130" t="str">
            <v>Sunderland</v>
          </cell>
        </row>
        <row r="131">
          <cell r="A131" t="str">
            <v>Surrey</v>
          </cell>
        </row>
        <row r="132">
          <cell r="A132" t="str">
            <v>Sutton</v>
          </cell>
        </row>
        <row r="133">
          <cell r="A133" t="str">
            <v>Swindon</v>
          </cell>
        </row>
        <row r="134">
          <cell r="A134" t="str">
            <v>Tameside</v>
          </cell>
        </row>
        <row r="135">
          <cell r="A135" t="str">
            <v>Telford and Wrekin</v>
          </cell>
        </row>
        <row r="136">
          <cell r="A136" t="str">
            <v>Thurrock</v>
          </cell>
        </row>
        <row r="137">
          <cell r="A137" t="str">
            <v>Torbay</v>
          </cell>
        </row>
        <row r="138">
          <cell r="A138" t="str">
            <v>Tower Hamlets</v>
          </cell>
        </row>
        <row r="139">
          <cell r="A139" t="str">
            <v>Trafford</v>
          </cell>
        </row>
        <row r="140">
          <cell r="A140" t="str">
            <v>Wakefield</v>
          </cell>
        </row>
        <row r="141">
          <cell r="A141" t="str">
            <v>Walsall</v>
          </cell>
        </row>
        <row r="142">
          <cell r="A142" t="str">
            <v>Waltham Forest</v>
          </cell>
        </row>
        <row r="143">
          <cell r="A143" t="str">
            <v>Wandsworth</v>
          </cell>
        </row>
        <row r="144">
          <cell r="A144" t="str">
            <v>Warrington</v>
          </cell>
        </row>
        <row r="145">
          <cell r="A145" t="str">
            <v>Warwickshire</v>
          </cell>
        </row>
        <row r="146">
          <cell r="A146" t="str">
            <v>West Berkshire</v>
          </cell>
        </row>
        <row r="147">
          <cell r="A147" t="str">
            <v>West Sussex</v>
          </cell>
        </row>
        <row r="148">
          <cell r="A148" t="str">
            <v>Westminster</v>
          </cell>
        </row>
        <row r="149">
          <cell r="A149" t="str">
            <v>Wigan</v>
          </cell>
        </row>
        <row r="150">
          <cell r="A150" t="str">
            <v>Wiltshire</v>
          </cell>
        </row>
        <row r="151">
          <cell r="A151" t="str">
            <v>Windsor and Maidenhead</v>
          </cell>
        </row>
        <row r="152">
          <cell r="A152" t="str">
            <v>Wirral</v>
          </cell>
        </row>
        <row r="153">
          <cell r="A153" t="str">
            <v>Wokingham</v>
          </cell>
        </row>
        <row r="154">
          <cell r="A154" t="str">
            <v>Wolverhampton</v>
          </cell>
        </row>
        <row r="155">
          <cell r="A155" t="str">
            <v>Worcestershire</v>
          </cell>
        </row>
        <row r="156">
          <cell r="A156" t="str">
            <v>York</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Lookup tab"/>
      <sheetName val="Table 8"/>
      <sheetName val="Table_1"/>
      <sheetName val="Table_2"/>
      <sheetName val="Table_3"/>
      <sheetName val="Table_4"/>
      <sheetName val="Table_5"/>
      <sheetName val="Table_6"/>
      <sheetName val="Table_7"/>
      <sheetName val="Lookup_tab"/>
      <sheetName val="Table_8"/>
    </sheetNames>
    <sheetDataSet>
      <sheetData sheetId="0">
        <row r="21">
          <cell r="B21">
            <v>38583898.554800384</v>
          </cell>
        </row>
      </sheetData>
      <sheetData sheetId="1"/>
      <sheetData sheetId="2"/>
      <sheetData sheetId="3"/>
      <sheetData sheetId="4">
        <row r="40">
          <cell r="B40">
            <v>3498</v>
          </cell>
        </row>
      </sheetData>
      <sheetData sheetId="5">
        <row r="37">
          <cell r="B37">
            <v>41040.5</v>
          </cell>
        </row>
      </sheetData>
      <sheetData sheetId="6"/>
      <sheetData sheetId="7">
        <row r="2">
          <cell r="A2" t="str">
            <v>Select LA</v>
          </cell>
        </row>
        <row r="3">
          <cell r="A3">
            <v>201</v>
          </cell>
          <cell r="B3" t="str">
            <v>City of London</v>
          </cell>
        </row>
        <row r="4">
          <cell r="A4">
            <v>202</v>
          </cell>
          <cell r="B4" t="str">
            <v>Camden</v>
          </cell>
        </row>
        <row r="5">
          <cell r="A5">
            <v>203</v>
          </cell>
          <cell r="B5" t="str">
            <v>Greenwich</v>
          </cell>
        </row>
        <row r="6">
          <cell r="A6">
            <v>204</v>
          </cell>
          <cell r="B6" t="str">
            <v>Hackney</v>
          </cell>
        </row>
        <row r="7">
          <cell r="A7">
            <v>205</v>
          </cell>
          <cell r="B7" t="str">
            <v>Hammersmith and Fulham</v>
          </cell>
        </row>
        <row r="8">
          <cell r="A8">
            <v>206</v>
          </cell>
          <cell r="B8" t="str">
            <v>Islington</v>
          </cell>
        </row>
        <row r="9">
          <cell r="A9">
            <v>207</v>
          </cell>
          <cell r="B9" t="str">
            <v>Kensington and Chelsea</v>
          </cell>
        </row>
        <row r="10">
          <cell r="A10">
            <v>208</v>
          </cell>
          <cell r="B10" t="str">
            <v>Lambeth</v>
          </cell>
        </row>
        <row r="11">
          <cell r="A11">
            <v>209</v>
          </cell>
          <cell r="B11" t="str">
            <v>Lewisham</v>
          </cell>
        </row>
        <row r="12">
          <cell r="A12">
            <v>210</v>
          </cell>
          <cell r="B12" t="str">
            <v>Southwark</v>
          </cell>
        </row>
        <row r="13">
          <cell r="A13">
            <v>211</v>
          </cell>
          <cell r="B13" t="str">
            <v>Tower Hamlets</v>
          </cell>
        </row>
        <row r="14">
          <cell r="A14">
            <v>212</v>
          </cell>
          <cell r="B14" t="str">
            <v>Wandsworth</v>
          </cell>
        </row>
        <row r="15">
          <cell r="A15">
            <v>213</v>
          </cell>
          <cell r="B15" t="str">
            <v>Westminster</v>
          </cell>
        </row>
        <row r="16">
          <cell r="A16">
            <v>301</v>
          </cell>
          <cell r="B16" t="str">
            <v>Barking and Dagenham</v>
          </cell>
        </row>
        <row r="17">
          <cell r="A17">
            <v>302</v>
          </cell>
          <cell r="B17" t="str">
            <v>Barnet</v>
          </cell>
        </row>
        <row r="18">
          <cell r="A18">
            <v>303</v>
          </cell>
          <cell r="B18" t="str">
            <v>Bexley</v>
          </cell>
        </row>
        <row r="19">
          <cell r="A19">
            <v>304</v>
          </cell>
          <cell r="B19" t="str">
            <v>Brent</v>
          </cell>
        </row>
        <row r="20">
          <cell r="A20">
            <v>305</v>
          </cell>
          <cell r="B20" t="str">
            <v>Bromley</v>
          </cell>
        </row>
        <row r="21">
          <cell r="A21">
            <v>306</v>
          </cell>
          <cell r="B21" t="str">
            <v>Croydon</v>
          </cell>
        </row>
        <row r="22">
          <cell r="A22">
            <v>307</v>
          </cell>
          <cell r="B22" t="str">
            <v>Ealing</v>
          </cell>
        </row>
        <row r="23">
          <cell r="A23">
            <v>308</v>
          </cell>
          <cell r="B23" t="str">
            <v>Enfield</v>
          </cell>
        </row>
        <row r="24">
          <cell r="A24">
            <v>309</v>
          </cell>
          <cell r="B24" t="str">
            <v>Haringey</v>
          </cell>
        </row>
        <row r="25">
          <cell r="A25">
            <v>310</v>
          </cell>
          <cell r="B25" t="str">
            <v>Harrow</v>
          </cell>
        </row>
        <row r="26">
          <cell r="A26">
            <v>311</v>
          </cell>
          <cell r="B26" t="str">
            <v>Havering</v>
          </cell>
        </row>
        <row r="27">
          <cell r="A27">
            <v>312</v>
          </cell>
          <cell r="B27" t="str">
            <v>Hillingdon</v>
          </cell>
        </row>
        <row r="28">
          <cell r="A28">
            <v>313</v>
          </cell>
          <cell r="B28" t="str">
            <v>Hounslow</v>
          </cell>
        </row>
        <row r="29">
          <cell r="A29">
            <v>314</v>
          </cell>
          <cell r="B29" t="str">
            <v>Kingston upon Thames</v>
          </cell>
        </row>
        <row r="30">
          <cell r="A30">
            <v>315</v>
          </cell>
          <cell r="B30" t="str">
            <v>Merton</v>
          </cell>
        </row>
        <row r="31">
          <cell r="A31">
            <v>316</v>
          </cell>
          <cell r="B31" t="str">
            <v>Newham</v>
          </cell>
        </row>
        <row r="32">
          <cell r="A32">
            <v>317</v>
          </cell>
          <cell r="B32" t="str">
            <v>Redbridge</v>
          </cell>
        </row>
        <row r="33">
          <cell r="A33">
            <v>318</v>
          </cell>
          <cell r="B33" t="str">
            <v>Richmond upon Thames</v>
          </cell>
        </row>
        <row r="34">
          <cell r="A34">
            <v>319</v>
          </cell>
          <cell r="B34" t="str">
            <v>Sutton</v>
          </cell>
        </row>
        <row r="35">
          <cell r="A35">
            <v>320</v>
          </cell>
          <cell r="B35" t="str">
            <v>Waltham Forest</v>
          </cell>
        </row>
        <row r="36">
          <cell r="A36">
            <v>330</v>
          </cell>
          <cell r="B36" t="str">
            <v>Birmingham</v>
          </cell>
        </row>
        <row r="37">
          <cell r="A37">
            <v>331</v>
          </cell>
          <cell r="B37" t="str">
            <v>Coventry</v>
          </cell>
        </row>
        <row r="38">
          <cell r="A38">
            <v>332</v>
          </cell>
          <cell r="B38" t="str">
            <v>Dudley</v>
          </cell>
        </row>
        <row r="39">
          <cell r="A39">
            <v>333</v>
          </cell>
          <cell r="B39" t="str">
            <v>Sandwell</v>
          </cell>
        </row>
        <row r="40">
          <cell r="A40">
            <v>334</v>
          </cell>
          <cell r="B40" t="str">
            <v>Solihull</v>
          </cell>
        </row>
        <row r="41">
          <cell r="A41">
            <v>335</v>
          </cell>
          <cell r="B41" t="str">
            <v>Walsall</v>
          </cell>
        </row>
        <row r="42">
          <cell r="A42">
            <v>336</v>
          </cell>
          <cell r="B42" t="str">
            <v>Wolverhampton</v>
          </cell>
        </row>
        <row r="43">
          <cell r="A43">
            <v>340</v>
          </cell>
          <cell r="B43" t="str">
            <v>Knowsley</v>
          </cell>
        </row>
        <row r="44">
          <cell r="A44">
            <v>341</v>
          </cell>
          <cell r="B44" t="str">
            <v>Liverpool</v>
          </cell>
        </row>
        <row r="45">
          <cell r="A45">
            <v>342</v>
          </cell>
          <cell r="B45" t="str">
            <v>St Helens</v>
          </cell>
        </row>
        <row r="46">
          <cell r="A46">
            <v>343</v>
          </cell>
          <cell r="B46" t="str">
            <v>Sefton</v>
          </cell>
        </row>
        <row r="47">
          <cell r="A47">
            <v>344</v>
          </cell>
          <cell r="B47" t="str">
            <v>Wirral</v>
          </cell>
        </row>
        <row r="48">
          <cell r="A48">
            <v>350</v>
          </cell>
          <cell r="B48" t="str">
            <v>Bolton</v>
          </cell>
        </row>
        <row r="49">
          <cell r="A49">
            <v>351</v>
          </cell>
          <cell r="B49" t="str">
            <v>Bury</v>
          </cell>
        </row>
        <row r="50">
          <cell r="A50">
            <v>352</v>
          </cell>
          <cell r="B50" t="str">
            <v>Manchester</v>
          </cell>
        </row>
        <row r="51">
          <cell r="A51">
            <v>353</v>
          </cell>
          <cell r="B51" t="str">
            <v>Oldham</v>
          </cell>
        </row>
        <row r="52">
          <cell r="A52">
            <v>354</v>
          </cell>
          <cell r="B52" t="str">
            <v>Rochdale</v>
          </cell>
        </row>
        <row r="53">
          <cell r="A53">
            <v>355</v>
          </cell>
          <cell r="B53" t="str">
            <v>Salford</v>
          </cell>
        </row>
        <row r="54">
          <cell r="A54">
            <v>356</v>
          </cell>
          <cell r="B54" t="str">
            <v>Stockport</v>
          </cell>
        </row>
        <row r="55">
          <cell r="A55">
            <v>357</v>
          </cell>
          <cell r="B55" t="str">
            <v>Tameside</v>
          </cell>
        </row>
        <row r="56">
          <cell r="A56">
            <v>358</v>
          </cell>
          <cell r="B56" t="str">
            <v>Trafford</v>
          </cell>
        </row>
        <row r="57">
          <cell r="A57">
            <v>359</v>
          </cell>
          <cell r="B57" t="str">
            <v>Wigan</v>
          </cell>
        </row>
        <row r="58">
          <cell r="A58">
            <v>370</v>
          </cell>
          <cell r="B58" t="str">
            <v>Barnsley</v>
          </cell>
        </row>
        <row r="59">
          <cell r="A59">
            <v>371</v>
          </cell>
          <cell r="B59" t="str">
            <v>Doncaster</v>
          </cell>
        </row>
        <row r="60">
          <cell r="A60">
            <v>372</v>
          </cell>
          <cell r="B60" t="str">
            <v>Rotherham</v>
          </cell>
        </row>
        <row r="61">
          <cell r="A61">
            <v>373</v>
          </cell>
          <cell r="B61" t="str">
            <v>Sheffield</v>
          </cell>
        </row>
        <row r="62">
          <cell r="A62">
            <v>380</v>
          </cell>
          <cell r="B62" t="str">
            <v>Bradford</v>
          </cell>
        </row>
        <row r="63">
          <cell r="A63">
            <v>381</v>
          </cell>
          <cell r="B63" t="str">
            <v>Calderdale</v>
          </cell>
        </row>
        <row r="64">
          <cell r="A64">
            <v>382</v>
          </cell>
          <cell r="B64" t="str">
            <v>Kirklees</v>
          </cell>
        </row>
        <row r="65">
          <cell r="A65">
            <v>383</v>
          </cell>
          <cell r="B65" t="str">
            <v>Leeds</v>
          </cell>
        </row>
        <row r="66">
          <cell r="A66">
            <v>384</v>
          </cell>
          <cell r="B66" t="str">
            <v>Wakefield</v>
          </cell>
        </row>
        <row r="67">
          <cell r="A67">
            <v>390</v>
          </cell>
          <cell r="B67" t="str">
            <v>Gateshead</v>
          </cell>
        </row>
        <row r="68">
          <cell r="A68">
            <v>391</v>
          </cell>
          <cell r="B68" t="str">
            <v>Newcastle upon Tyne</v>
          </cell>
        </row>
        <row r="69">
          <cell r="A69">
            <v>392</v>
          </cell>
          <cell r="B69" t="str">
            <v>North Tyneside</v>
          </cell>
        </row>
        <row r="70">
          <cell r="A70">
            <v>393</v>
          </cell>
          <cell r="B70" t="str">
            <v>South Tyneside</v>
          </cell>
        </row>
        <row r="71">
          <cell r="A71">
            <v>394</v>
          </cell>
          <cell r="B71" t="str">
            <v>Sunderland</v>
          </cell>
        </row>
        <row r="72">
          <cell r="A72">
            <v>800</v>
          </cell>
          <cell r="B72" t="str">
            <v>Bath and North East Somerset</v>
          </cell>
        </row>
        <row r="73">
          <cell r="A73">
            <v>801</v>
          </cell>
          <cell r="B73" t="str">
            <v>Bristol City of</v>
          </cell>
        </row>
        <row r="74">
          <cell r="A74">
            <v>802</v>
          </cell>
          <cell r="B74" t="str">
            <v>North Somerset</v>
          </cell>
        </row>
        <row r="75">
          <cell r="A75">
            <v>803</v>
          </cell>
          <cell r="B75" t="str">
            <v>South Gloucestershire</v>
          </cell>
        </row>
        <row r="76">
          <cell r="A76">
            <v>805</v>
          </cell>
          <cell r="B76" t="str">
            <v>Hartlepool</v>
          </cell>
        </row>
        <row r="77">
          <cell r="A77">
            <v>806</v>
          </cell>
          <cell r="B77" t="str">
            <v>Middlesbrough</v>
          </cell>
        </row>
        <row r="78">
          <cell r="A78">
            <v>807</v>
          </cell>
          <cell r="B78" t="str">
            <v>Redcar and Cleveland</v>
          </cell>
        </row>
        <row r="79">
          <cell r="A79">
            <v>808</v>
          </cell>
          <cell r="B79" t="str">
            <v>Stockton-on-Tees</v>
          </cell>
        </row>
        <row r="80">
          <cell r="A80">
            <v>810</v>
          </cell>
          <cell r="B80" t="str">
            <v>Kingston upon Hull City of</v>
          </cell>
        </row>
        <row r="81">
          <cell r="A81">
            <v>811</v>
          </cell>
          <cell r="B81" t="str">
            <v>East Riding of Yorkshire</v>
          </cell>
        </row>
        <row r="82">
          <cell r="A82">
            <v>812</v>
          </cell>
          <cell r="B82" t="str">
            <v>North East Lincolnshire</v>
          </cell>
        </row>
        <row r="83">
          <cell r="A83">
            <v>813</v>
          </cell>
          <cell r="B83" t="str">
            <v>North Lincolnshire</v>
          </cell>
        </row>
        <row r="84">
          <cell r="A84">
            <v>815</v>
          </cell>
          <cell r="B84" t="str">
            <v>North Yorkshire</v>
          </cell>
        </row>
        <row r="85">
          <cell r="A85">
            <v>816</v>
          </cell>
          <cell r="B85" t="str">
            <v>York</v>
          </cell>
        </row>
        <row r="86">
          <cell r="A86">
            <v>821</v>
          </cell>
          <cell r="B86" t="str">
            <v>Luton</v>
          </cell>
        </row>
        <row r="87">
          <cell r="A87">
            <v>822</v>
          </cell>
          <cell r="B87" t="str">
            <v>Bedford Borough</v>
          </cell>
        </row>
        <row r="88">
          <cell r="A88">
            <v>823</v>
          </cell>
          <cell r="B88" t="str">
            <v>Central Bedfordshire</v>
          </cell>
        </row>
        <row r="89">
          <cell r="A89">
            <v>825</v>
          </cell>
          <cell r="B89" t="str">
            <v>Buckinghamshire</v>
          </cell>
        </row>
        <row r="90">
          <cell r="A90">
            <v>826</v>
          </cell>
          <cell r="B90" t="str">
            <v>Milton Keynes</v>
          </cell>
        </row>
        <row r="91">
          <cell r="A91">
            <v>830</v>
          </cell>
          <cell r="B91" t="str">
            <v>Derbyshire</v>
          </cell>
        </row>
        <row r="92">
          <cell r="A92">
            <v>831</v>
          </cell>
          <cell r="B92" t="str">
            <v>Derby</v>
          </cell>
        </row>
        <row r="93">
          <cell r="A93">
            <v>835</v>
          </cell>
          <cell r="B93" t="str">
            <v>Dorset</v>
          </cell>
        </row>
        <row r="94">
          <cell r="A94">
            <v>836</v>
          </cell>
          <cell r="B94" t="str">
            <v>Poole</v>
          </cell>
        </row>
        <row r="95">
          <cell r="A95">
            <v>837</v>
          </cell>
          <cell r="B95" t="str">
            <v>Bournemouth</v>
          </cell>
        </row>
        <row r="96">
          <cell r="A96">
            <v>840</v>
          </cell>
          <cell r="B96" t="str">
            <v>Durham</v>
          </cell>
        </row>
        <row r="97">
          <cell r="A97">
            <v>841</v>
          </cell>
          <cell r="B97" t="str">
            <v>Darlington</v>
          </cell>
        </row>
        <row r="98">
          <cell r="A98">
            <v>845</v>
          </cell>
          <cell r="B98" t="str">
            <v>East Sussex</v>
          </cell>
        </row>
        <row r="99">
          <cell r="A99">
            <v>846</v>
          </cell>
          <cell r="B99" t="str">
            <v>Brighton and Hove</v>
          </cell>
        </row>
        <row r="100">
          <cell r="A100">
            <v>850</v>
          </cell>
          <cell r="B100" t="str">
            <v>Hampshire</v>
          </cell>
        </row>
        <row r="101">
          <cell r="A101">
            <v>851</v>
          </cell>
          <cell r="B101" t="str">
            <v>Portsmouth</v>
          </cell>
        </row>
        <row r="102">
          <cell r="A102">
            <v>852</v>
          </cell>
          <cell r="B102" t="str">
            <v>Southampton</v>
          </cell>
        </row>
        <row r="103">
          <cell r="A103">
            <v>855</v>
          </cell>
          <cell r="B103" t="str">
            <v>Leicestershire</v>
          </cell>
        </row>
        <row r="104">
          <cell r="A104">
            <v>856</v>
          </cell>
          <cell r="B104" t="str">
            <v>Leicester</v>
          </cell>
        </row>
        <row r="105">
          <cell r="A105">
            <v>857</v>
          </cell>
          <cell r="B105" t="str">
            <v>Rutland</v>
          </cell>
        </row>
        <row r="106">
          <cell r="A106">
            <v>860</v>
          </cell>
          <cell r="B106" t="str">
            <v>Staffordshire</v>
          </cell>
        </row>
        <row r="107">
          <cell r="A107">
            <v>861</v>
          </cell>
          <cell r="B107" t="str">
            <v>Stoke-on-Trent</v>
          </cell>
        </row>
        <row r="108">
          <cell r="A108">
            <v>865</v>
          </cell>
          <cell r="B108" t="str">
            <v>Wiltshire</v>
          </cell>
        </row>
        <row r="109">
          <cell r="A109">
            <v>866</v>
          </cell>
          <cell r="B109" t="str">
            <v>Swindon</v>
          </cell>
        </row>
        <row r="110">
          <cell r="A110">
            <v>867</v>
          </cell>
          <cell r="B110" t="str">
            <v>Bracknell Forest</v>
          </cell>
        </row>
        <row r="111">
          <cell r="A111">
            <v>868</v>
          </cell>
          <cell r="B111" t="str">
            <v>Windsor and Maidenhead</v>
          </cell>
        </row>
        <row r="112">
          <cell r="A112">
            <v>869</v>
          </cell>
          <cell r="B112" t="str">
            <v>West Berkshire</v>
          </cell>
        </row>
        <row r="113">
          <cell r="A113">
            <v>870</v>
          </cell>
          <cell r="B113" t="str">
            <v>Reading</v>
          </cell>
        </row>
        <row r="114">
          <cell r="A114">
            <v>871</v>
          </cell>
          <cell r="B114" t="str">
            <v>Slough</v>
          </cell>
        </row>
        <row r="115">
          <cell r="A115">
            <v>872</v>
          </cell>
          <cell r="B115" t="str">
            <v>Wokingham</v>
          </cell>
        </row>
        <row r="116">
          <cell r="A116">
            <v>873</v>
          </cell>
          <cell r="B116" t="str">
            <v>Cambridgeshire</v>
          </cell>
        </row>
        <row r="117">
          <cell r="A117">
            <v>874</v>
          </cell>
          <cell r="B117" t="str">
            <v>Peterborough</v>
          </cell>
        </row>
        <row r="118">
          <cell r="A118">
            <v>876</v>
          </cell>
          <cell r="B118" t="str">
            <v>Halton</v>
          </cell>
        </row>
        <row r="119">
          <cell r="A119">
            <v>877</v>
          </cell>
          <cell r="B119" t="str">
            <v>Warrington</v>
          </cell>
        </row>
        <row r="120">
          <cell r="A120">
            <v>878</v>
          </cell>
          <cell r="B120" t="str">
            <v>Devon</v>
          </cell>
        </row>
        <row r="121">
          <cell r="A121">
            <v>879</v>
          </cell>
          <cell r="B121" t="str">
            <v>Plymouth</v>
          </cell>
        </row>
        <row r="122">
          <cell r="A122">
            <v>880</v>
          </cell>
          <cell r="B122" t="str">
            <v>Torbay</v>
          </cell>
        </row>
        <row r="123">
          <cell r="A123">
            <v>881</v>
          </cell>
          <cell r="B123" t="str">
            <v>Essex</v>
          </cell>
        </row>
        <row r="124">
          <cell r="A124">
            <v>882</v>
          </cell>
          <cell r="B124" t="str">
            <v>Southend-on-Sea</v>
          </cell>
        </row>
        <row r="125">
          <cell r="A125">
            <v>883</v>
          </cell>
          <cell r="B125" t="str">
            <v>Thurrock</v>
          </cell>
        </row>
        <row r="126">
          <cell r="A126">
            <v>884</v>
          </cell>
          <cell r="B126" t="str">
            <v>Herefordshire</v>
          </cell>
        </row>
        <row r="127">
          <cell r="A127">
            <v>885</v>
          </cell>
          <cell r="B127" t="str">
            <v>Worcestershire</v>
          </cell>
        </row>
        <row r="128">
          <cell r="A128">
            <v>886</v>
          </cell>
          <cell r="B128" t="str">
            <v>Kent</v>
          </cell>
        </row>
        <row r="129">
          <cell r="A129">
            <v>887</v>
          </cell>
          <cell r="B129" t="str">
            <v>Medway</v>
          </cell>
        </row>
        <row r="130">
          <cell r="A130">
            <v>888</v>
          </cell>
          <cell r="B130" t="str">
            <v>Lancashire</v>
          </cell>
        </row>
        <row r="131">
          <cell r="A131">
            <v>889</v>
          </cell>
          <cell r="B131" t="str">
            <v>Blackburn with Darwen</v>
          </cell>
        </row>
        <row r="132">
          <cell r="A132">
            <v>890</v>
          </cell>
          <cell r="B132" t="str">
            <v>Blackpool</v>
          </cell>
        </row>
        <row r="133">
          <cell r="A133">
            <v>891</v>
          </cell>
          <cell r="B133" t="str">
            <v>Nottinghamshire</v>
          </cell>
        </row>
        <row r="134">
          <cell r="A134">
            <v>892</v>
          </cell>
          <cell r="B134" t="str">
            <v>Nottingham</v>
          </cell>
        </row>
        <row r="135">
          <cell r="A135">
            <v>893</v>
          </cell>
          <cell r="B135" t="str">
            <v>Shropshire</v>
          </cell>
        </row>
        <row r="136">
          <cell r="A136">
            <v>894</v>
          </cell>
          <cell r="B136" t="str">
            <v>Telford and Wrekin</v>
          </cell>
        </row>
        <row r="137">
          <cell r="A137">
            <v>895</v>
          </cell>
          <cell r="B137" t="str">
            <v>Cheshire East</v>
          </cell>
        </row>
        <row r="138">
          <cell r="A138">
            <v>896</v>
          </cell>
          <cell r="B138" t="str">
            <v>Cheshire West and Chester</v>
          </cell>
        </row>
        <row r="139">
          <cell r="A139">
            <v>908</v>
          </cell>
          <cell r="B139" t="str">
            <v>Cornwall</v>
          </cell>
        </row>
        <row r="140">
          <cell r="A140">
            <v>909</v>
          </cell>
          <cell r="B140" t="str">
            <v>Cumbria</v>
          </cell>
        </row>
        <row r="141">
          <cell r="A141">
            <v>916</v>
          </cell>
          <cell r="B141" t="str">
            <v>Gloucestershire</v>
          </cell>
        </row>
        <row r="142">
          <cell r="A142">
            <v>919</v>
          </cell>
          <cell r="B142" t="str">
            <v>Hertfordshire</v>
          </cell>
        </row>
        <row r="143">
          <cell r="A143">
            <v>921</v>
          </cell>
          <cell r="B143" t="str">
            <v>Isle of Wight</v>
          </cell>
        </row>
        <row r="144">
          <cell r="A144">
            <v>925</v>
          </cell>
          <cell r="B144" t="str">
            <v>Lincolnshire</v>
          </cell>
        </row>
        <row r="145">
          <cell r="A145">
            <v>926</v>
          </cell>
          <cell r="B145" t="str">
            <v>Norfolk</v>
          </cell>
        </row>
        <row r="146">
          <cell r="A146">
            <v>928</v>
          </cell>
          <cell r="B146" t="str">
            <v>Northamptonshire</v>
          </cell>
        </row>
        <row r="147">
          <cell r="A147">
            <v>929</v>
          </cell>
          <cell r="B147" t="str">
            <v>Northumberland</v>
          </cell>
        </row>
        <row r="148">
          <cell r="A148">
            <v>931</v>
          </cell>
          <cell r="B148" t="str">
            <v>Oxfordshire</v>
          </cell>
        </row>
        <row r="149">
          <cell r="A149">
            <v>933</v>
          </cell>
          <cell r="B149" t="str">
            <v>Somerset</v>
          </cell>
        </row>
        <row r="150">
          <cell r="A150">
            <v>935</v>
          </cell>
          <cell r="B150" t="str">
            <v>Suffolk</v>
          </cell>
        </row>
        <row r="151">
          <cell r="A151">
            <v>936</v>
          </cell>
          <cell r="B151" t="str">
            <v>Surrey</v>
          </cell>
        </row>
        <row r="152">
          <cell r="A152">
            <v>937</v>
          </cell>
          <cell r="B152" t="str">
            <v>Warwickshire</v>
          </cell>
        </row>
        <row r="153">
          <cell r="A153">
            <v>938</v>
          </cell>
          <cell r="B153" t="str">
            <v>West Sussex</v>
          </cell>
        </row>
      </sheetData>
      <sheetData sheetId="8"/>
      <sheetData sheetId="9">
        <row r="21">
          <cell r="B21">
            <v>38583898.554800384</v>
          </cell>
        </row>
      </sheetData>
      <sheetData sheetId="10"/>
      <sheetData sheetId="11"/>
      <sheetData sheetId="12"/>
      <sheetData sheetId="13">
        <row r="40">
          <cell r="B40">
            <v>3498</v>
          </cell>
        </row>
      </sheetData>
      <sheetData sheetId="14">
        <row r="37">
          <cell r="B37">
            <v>41040.5</v>
          </cell>
        </row>
      </sheetData>
      <sheetData sheetId="15"/>
      <sheetData sheetId="16">
        <row r="2">
          <cell r="A2" t="str">
            <v>Select LA</v>
          </cell>
        </row>
      </sheetData>
      <sheetData sheetId="1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Control"/>
      <sheetName val="info"/>
      <sheetName val="AdjustScaling"/>
      <sheetName val="UnitValues"/>
      <sheetName val="SchoolCalcs"/>
      <sheetName val="LA_Calcs"/>
      <sheetName val="OutputTable_LAs"/>
      <sheetName val="OutputTable_UnitValues"/>
      <sheetName val="Charts_AllLAs"/>
      <sheetName val="Chart_LAbudgetBreakdown"/>
      <sheetName val="SQLview_sorted"/>
      <sheetName val="ACA_District"/>
      <sheetName val="PupilProjections"/>
      <sheetName val="SBUFs_16-17_baseline"/>
      <sheetName val="Lists"/>
    </sheetNames>
    <sheetDataSet>
      <sheetData sheetId="0"/>
      <sheetData sheetId="1"/>
      <sheetData sheetId="2">
        <row r="6">
          <cell r="C6">
            <v>1</v>
          </cell>
        </row>
      </sheetData>
      <sheetData sheetId="3"/>
      <sheetData sheetId="4"/>
      <sheetData sheetId="5"/>
      <sheetData sheetId="6"/>
      <sheetData sheetId="7"/>
      <sheetData sheetId="8"/>
      <sheetData sheetId="9">
        <row r="2">
          <cell r="B2" t="str">
            <v>Devon</v>
          </cell>
        </row>
      </sheetData>
      <sheetData sheetId="10"/>
      <sheetData sheetId="11"/>
      <sheetData sheetId="12"/>
      <sheetData sheetId="13"/>
      <sheetData sheetId="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ry"/>
      <sheetName val="I) Proforma Jan13 DataSheet"/>
      <sheetName val="Look Up"/>
      <sheetName val="OLD_H) Commentary"/>
      <sheetName val="LALookup"/>
      <sheetName val="STORE_Fields"/>
      <sheetName val="I)_Proforma_Jan13_DataSheet"/>
      <sheetName val="Look_Up"/>
      <sheetName val="OLD_H)_Commentary"/>
    </sheetNames>
    <sheetDataSet>
      <sheetData sheetId="0"/>
      <sheetData sheetId="1"/>
      <sheetData sheetId="2"/>
      <sheetData sheetId="3"/>
      <sheetData sheetId="4">
        <row r="1">
          <cell r="A1">
            <v>929</v>
          </cell>
        </row>
      </sheetData>
      <sheetData sheetId="5"/>
      <sheetData sheetId="6"/>
      <sheetData sheetId="7"/>
      <sheetData sheetId="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sBlockData"/>
      <sheetName val="LALookup"/>
    </sheetNames>
    <sheetDataSet>
      <sheetData sheetId="0"/>
      <sheetData sheetId="1">
        <row r="3">
          <cell r="A3">
            <v>201</v>
          </cell>
          <cell r="B3" t="str">
            <v>City of London</v>
          </cell>
          <cell r="C3" t="str">
            <v>South</v>
          </cell>
          <cell r="D3" t="str">
            <v>North West London &amp; South Central</v>
          </cell>
        </row>
        <row r="4">
          <cell r="A4">
            <v>202</v>
          </cell>
          <cell r="B4" t="str">
            <v>Camden</v>
          </cell>
          <cell r="C4" t="str">
            <v>South</v>
          </cell>
          <cell r="D4" t="str">
            <v>North West London &amp; South Central</v>
          </cell>
        </row>
        <row r="5">
          <cell r="A5">
            <v>203</v>
          </cell>
          <cell r="B5" t="str">
            <v>Greenwich</v>
          </cell>
          <cell r="C5" t="str">
            <v>South</v>
          </cell>
          <cell r="D5" t="str">
            <v>South London &amp; South East</v>
          </cell>
        </row>
        <row r="6">
          <cell r="A6">
            <v>204</v>
          </cell>
          <cell r="B6" t="str">
            <v>Hackney</v>
          </cell>
          <cell r="C6" t="str">
            <v>South</v>
          </cell>
          <cell r="D6" t="str">
            <v>North East London &amp; East of England</v>
          </cell>
        </row>
        <row r="7">
          <cell r="A7">
            <v>205</v>
          </cell>
          <cell r="B7" t="str">
            <v>Hammersmith and Fulham</v>
          </cell>
          <cell r="C7" t="str">
            <v>South</v>
          </cell>
          <cell r="D7" t="str">
            <v>North West London &amp; South Central</v>
          </cell>
        </row>
        <row r="8">
          <cell r="A8">
            <v>206</v>
          </cell>
          <cell r="B8" t="str">
            <v>Islington</v>
          </cell>
          <cell r="C8" t="str">
            <v>South</v>
          </cell>
          <cell r="D8" t="str">
            <v>North West London &amp; South Central</v>
          </cell>
        </row>
        <row r="9">
          <cell r="A9">
            <v>207</v>
          </cell>
          <cell r="B9" t="str">
            <v>Kensington and Chelsea</v>
          </cell>
          <cell r="C9" t="str">
            <v>South</v>
          </cell>
          <cell r="D9" t="str">
            <v>North West London &amp; South Central</v>
          </cell>
        </row>
        <row r="10">
          <cell r="A10">
            <v>208</v>
          </cell>
          <cell r="B10" t="str">
            <v>Lambeth</v>
          </cell>
          <cell r="C10" t="str">
            <v>South</v>
          </cell>
          <cell r="D10" t="str">
            <v>South London &amp; South East</v>
          </cell>
        </row>
        <row r="11">
          <cell r="A11">
            <v>209</v>
          </cell>
          <cell r="B11" t="str">
            <v>Lewisham</v>
          </cell>
          <cell r="C11" t="str">
            <v>South</v>
          </cell>
          <cell r="D11" t="str">
            <v>South London &amp; South East</v>
          </cell>
        </row>
        <row r="12">
          <cell r="A12">
            <v>210</v>
          </cell>
          <cell r="B12" t="str">
            <v>Southwark</v>
          </cell>
          <cell r="C12" t="str">
            <v>South</v>
          </cell>
          <cell r="D12" t="str">
            <v>South London &amp; South East</v>
          </cell>
        </row>
        <row r="13">
          <cell r="A13">
            <v>211</v>
          </cell>
          <cell r="B13" t="str">
            <v>Tower Hamlets</v>
          </cell>
          <cell r="C13" t="str">
            <v>South</v>
          </cell>
          <cell r="D13" t="str">
            <v>North East London &amp; East of England</v>
          </cell>
        </row>
        <row r="14">
          <cell r="A14">
            <v>212</v>
          </cell>
          <cell r="B14" t="str">
            <v>Wandsworth</v>
          </cell>
          <cell r="C14" t="str">
            <v>South</v>
          </cell>
          <cell r="D14" t="str">
            <v>South London &amp; South East</v>
          </cell>
        </row>
        <row r="15">
          <cell r="A15">
            <v>213</v>
          </cell>
          <cell r="B15" t="str">
            <v>Westminster</v>
          </cell>
          <cell r="C15" t="str">
            <v>South</v>
          </cell>
          <cell r="D15" t="str">
            <v>North West London &amp; South Central</v>
          </cell>
        </row>
        <row r="16">
          <cell r="A16">
            <v>301</v>
          </cell>
          <cell r="B16" t="str">
            <v>Barking and Dagenham</v>
          </cell>
          <cell r="C16" t="str">
            <v>South</v>
          </cell>
          <cell r="D16" t="str">
            <v>North East London &amp; East of England</v>
          </cell>
        </row>
        <row r="17">
          <cell r="A17">
            <v>302</v>
          </cell>
          <cell r="B17" t="str">
            <v>Barnet</v>
          </cell>
          <cell r="C17" t="str">
            <v>South</v>
          </cell>
          <cell r="D17" t="str">
            <v>North West London &amp; South Central</v>
          </cell>
        </row>
        <row r="18">
          <cell r="A18">
            <v>303</v>
          </cell>
          <cell r="B18" t="str">
            <v>Bexley</v>
          </cell>
          <cell r="C18" t="str">
            <v>South</v>
          </cell>
          <cell r="D18" t="str">
            <v>South London &amp; South East</v>
          </cell>
        </row>
        <row r="19">
          <cell r="A19">
            <v>304</v>
          </cell>
          <cell r="B19" t="str">
            <v>Brent</v>
          </cell>
          <cell r="C19" t="str">
            <v>South</v>
          </cell>
          <cell r="D19" t="str">
            <v>North West London &amp; South Central</v>
          </cell>
        </row>
        <row r="20">
          <cell r="A20">
            <v>305</v>
          </cell>
          <cell r="B20" t="str">
            <v>Bromley</v>
          </cell>
          <cell r="C20" t="str">
            <v>South</v>
          </cell>
          <cell r="D20" t="str">
            <v>South London &amp; South East</v>
          </cell>
        </row>
        <row r="21">
          <cell r="A21">
            <v>306</v>
          </cell>
          <cell r="B21" t="str">
            <v>Croydon</v>
          </cell>
          <cell r="C21" t="str">
            <v>South</v>
          </cell>
          <cell r="D21" t="str">
            <v>South London &amp; South East</v>
          </cell>
        </row>
        <row r="22">
          <cell r="A22">
            <v>307</v>
          </cell>
          <cell r="B22" t="str">
            <v>Ealing</v>
          </cell>
          <cell r="C22" t="str">
            <v>South</v>
          </cell>
          <cell r="D22" t="str">
            <v>North West London &amp; South Central</v>
          </cell>
        </row>
        <row r="23">
          <cell r="A23">
            <v>308</v>
          </cell>
          <cell r="B23" t="str">
            <v>Enfield</v>
          </cell>
          <cell r="C23" t="str">
            <v>South</v>
          </cell>
          <cell r="D23" t="str">
            <v>North West London &amp; South Central</v>
          </cell>
        </row>
        <row r="24">
          <cell r="A24">
            <v>309</v>
          </cell>
          <cell r="B24" t="str">
            <v>Haringey</v>
          </cell>
          <cell r="C24" t="str">
            <v>South</v>
          </cell>
          <cell r="D24" t="str">
            <v>North East London &amp; East of England</v>
          </cell>
        </row>
        <row r="25">
          <cell r="A25">
            <v>310</v>
          </cell>
          <cell r="B25" t="str">
            <v>Harrow</v>
          </cell>
          <cell r="C25" t="str">
            <v>South</v>
          </cell>
          <cell r="D25" t="str">
            <v>North West London &amp; South Central</v>
          </cell>
        </row>
        <row r="26">
          <cell r="A26">
            <v>311</v>
          </cell>
          <cell r="B26" t="str">
            <v>Havering</v>
          </cell>
          <cell r="C26" t="str">
            <v>South</v>
          </cell>
          <cell r="D26" t="str">
            <v>North East London &amp; East of England</v>
          </cell>
        </row>
        <row r="27">
          <cell r="A27">
            <v>312</v>
          </cell>
          <cell r="B27" t="str">
            <v>Hillingdon</v>
          </cell>
          <cell r="C27" t="str">
            <v>South</v>
          </cell>
          <cell r="D27" t="str">
            <v>North West London &amp; South Central</v>
          </cell>
        </row>
        <row r="28">
          <cell r="A28">
            <v>313</v>
          </cell>
          <cell r="B28" t="str">
            <v>Hounslow</v>
          </cell>
          <cell r="C28" t="str">
            <v>South</v>
          </cell>
          <cell r="D28" t="str">
            <v>North West London &amp; South Central</v>
          </cell>
        </row>
        <row r="29">
          <cell r="A29">
            <v>314</v>
          </cell>
          <cell r="B29" t="str">
            <v>Kingston upon Thames</v>
          </cell>
          <cell r="C29" t="str">
            <v>South</v>
          </cell>
          <cell r="D29" t="str">
            <v>South London &amp; South East</v>
          </cell>
        </row>
        <row r="30">
          <cell r="A30">
            <v>315</v>
          </cell>
          <cell r="B30" t="str">
            <v>Merton</v>
          </cell>
          <cell r="C30" t="str">
            <v>South</v>
          </cell>
          <cell r="D30" t="str">
            <v>South London &amp; South East</v>
          </cell>
        </row>
        <row r="31">
          <cell r="A31">
            <v>316</v>
          </cell>
          <cell r="B31" t="str">
            <v>Newham</v>
          </cell>
          <cell r="C31" t="str">
            <v>South</v>
          </cell>
          <cell r="D31" t="str">
            <v>North East London &amp; East of England</v>
          </cell>
        </row>
        <row r="32">
          <cell r="A32">
            <v>317</v>
          </cell>
          <cell r="B32" t="str">
            <v>Redbridge</v>
          </cell>
          <cell r="C32" t="str">
            <v>South</v>
          </cell>
          <cell r="D32" t="str">
            <v>North East London &amp; East of England</v>
          </cell>
        </row>
        <row r="33">
          <cell r="A33">
            <v>318</v>
          </cell>
          <cell r="B33" t="str">
            <v>Richmond upon Thames</v>
          </cell>
          <cell r="C33" t="str">
            <v>South</v>
          </cell>
          <cell r="D33" t="str">
            <v>South London &amp; South East</v>
          </cell>
        </row>
        <row r="34">
          <cell r="A34">
            <v>319</v>
          </cell>
          <cell r="B34" t="str">
            <v>Sutton</v>
          </cell>
          <cell r="C34" t="str">
            <v>South</v>
          </cell>
          <cell r="D34" t="str">
            <v>South London &amp; South East</v>
          </cell>
        </row>
        <row r="35">
          <cell r="A35">
            <v>320</v>
          </cell>
          <cell r="B35" t="str">
            <v>Waltham Forest</v>
          </cell>
          <cell r="C35" t="str">
            <v>South</v>
          </cell>
          <cell r="D35" t="str">
            <v>North East London &amp; East of England</v>
          </cell>
        </row>
        <row r="36">
          <cell r="A36">
            <v>330</v>
          </cell>
          <cell r="B36" t="str">
            <v>Birmingham</v>
          </cell>
          <cell r="C36" t="str">
            <v>Central</v>
          </cell>
          <cell r="D36" t="str">
            <v>West Midlands</v>
          </cell>
        </row>
        <row r="37">
          <cell r="A37">
            <v>331</v>
          </cell>
          <cell r="B37" t="str">
            <v>Coventry</v>
          </cell>
          <cell r="C37" t="str">
            <v>Central</v>
          </cell>
          <cell r="D37" t="str">
            <v>West Midlands</v>
          </cell>
        </row>
        <row r="38">
          <cell r="A38">
            <v>332</v>
          </cell>
          <cell r="B38" t="str">
            <v>Dudley</v>
          </cell>
          <cell r="C38" t="str">
            <v>Central</v>
          </cell>
          <cell r="D38" t="str">
            <v>West Midlands</v>
          </cell>
        </row>
        <row r="39">
          <cell r="A39">
            <v>333</v>
          </cell>
          <cell r="B39" t="str">
            <v>Sandwell</v>
          </cell>
          <cell r="C39" t="str">
            <v>Central</v>
          </cell>
          <cell r="D39" t="str">
            <v>West Midlands</v>
          </cell>
        </row>
        <row r="40">
          <cell r="A40">
            <v>334</v>
          </cell>
          <cell r="B40" t="str">
            <v>Solihull</v>
          </cell>
          <cell r="C40" t="str">
            <v>Central</v>
          </cell>
          <cell r="D40" t="str">
            <v>West Midlands</v>
          </cell>
        </row>
        <row r="41">
          <cell r="A41">
            <v>335</v>
          </cell>
          <cell r="B41" t="str">
            <v>Walsall</v>
          </cell>
          <cell r="C41" t="str">
            <v>Central</v>
          </cell>
          <cell r="D41" t="str">
            <v>West Midlands</v>
          </cell>
        </row>
        <row r="42">
          <cell r="A42">
            <v>336</v>
          </cell>
          <cell r="B42" t="str">
            <v>Wolverhampton</v>
          </cell>
          <cell r="C42" t="str">
            <v>Central</v>
          </cell>
          <cell r="D42" t="str">
            <v>West Midlands</v>
          </cell>
        </row>
        <row r="43">
          <cell r="A43">
            <v>340</v>
          </cell>
          <cell r="B43" t="str">
            <v>Knowsley</v>
          </cell>
          <cell r="C43" t="str">
            <v>North</v>
          </cell>
          <cell r="D43" t="str">
            <v>Lancashire &amp; West Yorkshire</v>
          </cell>
        </row>
        <row r="44">
          <cell r="A44">
            <v>341</v>
          </cell>
          <cell r="B44" t="str">
            <v>Liverpool</v>
          </cell>
          <cell r="C44" t="str">
            <v>North</v>
          </cell>
          <cell r="D44" t="str">
            <v>Lancashire &amp; West Yorkshire</v>
          </cell>
        </row>
        <row r="45">
          <cell r="A45">
            <v>342</v>
          </cell>
          <cell r="B45" t="str">
            <v>St Helens</v>
          </cell>
          <cell r="C45" t="str">
            <v>North</v>
          </cell>
          <cell r="D45" t="str">
            <v>Lancashire &amp; West Yorkshire</v>
          </cell>
        </row>
        <row r="46">
          <cell r="A46">
            <v>343</v>
          </cell>
          <cell r="B46" t="str">
            <v>Sefton</v>
          </cell>
          <cell r="C46" t="str">
            <v>North</v>
          </cell>
          <cell r="D46" t="str">
            <v>Lancashire &amp; West Yorkshire</v>
          </cell>
        </row>
        <row r="47">
          <cell r="A47">
            <v>344</v>
          </cell>
          <cell r="B47" t="str">
            <v>Wirral</v>
          </cell>
          <cell r="C47" t="str">
            <v>North</v>
          </cell>
          <cell r="D47" t="str">
            <v>Lancashire &amp; West Yorkshire</v>
          </cell>
        </row>
        <row r="48">
          <cell r="A48">
            <v>350</v>
          </cell>
          <cell r="B48" t="str">
            <v>Bolton</v>
          </cell>
          <cell r="C48" t="str">
            <v>North</v>
          </cell>
          <cell r="D48" t="str">
            <v>Lancashire &amp; West Yorkshire</v>
          </cell>
        </row>
        <row r="49">
          <cell r="A49">
            <v>351</v>
          </cell>
          <cell r="B49" t="str">
            <v>Bury</v>
          </cell>
          <cell r="C49" t="str">
            <v>North</v>
          </cell>
          <cell r="D49" t="str">
            <v>Lancashire &amp; West Yorkshire</v>
          </cell>
        </row>
        <row r="50">
          <cell r="A50">
            <v>352</v>
          </cell>
          <cell r="B50" t="str">
            <v>Manchester</v>
          </cell>
          <cell r="C50" t="str">
            <v>North</v>
          </cell>
          <cell r="D50" t="str">
            <v>Lancashire &amp; West Yorkshire</v>
          </cell>
        </row>
        <row r="51">
          <cell r="A51">
            <v>353</v>
          </cell>
          <cell r="B51" t="str">
            <v>Oldham</v>
          </cell>
          <cell r="C51" t="str">
            <v>North</v>
          </cell>
          <cell r="D51" t="str">
            <v>Lancashire &amp; West Yorkshire</v>
          </cell>
        </row>
        <row r="52">
          <cell r="A52">
            <v>354</v>
          </cell>
          <cell r="B52" t="str">
            <v>Rochdale</v>
          </cell>
          <cell r="C52" t="str">
            <v>North</v>
          </cell>
          <cell r="D52" t="str">
            <v>Lancashire &amp; West Yorkshire</v>
          </cell>
        </row>
        <row r="53">
          <cell r="A53">
            <v>355</v>
          </cell>
          <cell r="B53" t="str">
            <v>Salford</v>
          </cell>
          <cell r="C53" t="str">
            <v>North</v>
          </cell>
          <cell r="D53" t="str">
            <v>Lancashire &amp; West Yorkshire</v>
          </cell>
        </row>
        <row r="54">
          <cell r="A54">
            <v>356</v>
          </cell>
          <cell r="B54" t="str">
            <v>Stockport</v>
          </cell>
          <cell r="C54" t="str">
            <v>North</v>
          </cell>
          <cell r="D54" t="str">
            <v>Lancashire &amp; West Yorkshire</v>
          </cell>
        </row>
        <row r="55">
          <cell r="A55">
            <v>357</v>
          </cell>
          <cell r="B55" t="str">
            <v>Tameside</v>
          </cell>
          <cell r="C55" t="str">
            <v>North</v>
          </cell>
          <cell r="D55" t="str">
            <v>Lancashire &amp; West Yorkshire</v>
          </cell>
        </row>
        <row r="56">
          <cell r="A56">
            <v>358</v>
          </cell>
          <cell r="B56" t="str">
            <v>Trafford</v>
          </cell>
          <cell r="C56" t="str">
            <v>North</v>
          </cell>
          <cell r="D56" t="str">
            <v>Lancashire &amp; West Yorkshire</v>
          </cell>
        </row>
        <row r="57">
          <cell r="A57">
            <v>359</v>
          </cell>
          <cell r="B57" t="str">
            <v>Wigan</v>
          </cell>
          <cell r="C57" t="str">
            <v>North</v>
          </cell>
          <cell r="D57" t="str">
            <v>Lancashire &amp; West Yorkshire</v>
          </cell>
        </row>
        <row r="58">
          <cell r="A58">
            <v>370</v>
          </cell>
          <cell r="B58" t="str">
            <v>Barnsley</v>
          </cell>
          <cell r="C58" t="str">
            <v>North</v>
          </cell>
          <cell r="D58" t="str">
            <v>East Midlands &amp; Humber</v>
          </cell>
        </row>
        <row r="59">
          <cell r="A59">
            <v>371</v>
          </cell>
          <cell r="B59" t="str">
            <v>Doncaster</v>
          </cell>
          <cell r="C59" t="str">
            <v>North</v>
          </cell>
          <cell r="D59" t="str">
            <v>East Midlands &amp; Humber</v>
          </cell>
        </row>
        <row r="60">
          <cell r="A60">
            <v>372</v>
          </cell>
          <cell r="B60" t="str">
            <v>Rotherham</v>
          </cell>
          <cell r="C60" t="str">
            <v>North</v>
          </cell>
          <cell r="D60" t="str">
            <v>East Midlands &amp; Humber</v>
          </cell>
        </row>
        <row r="61">
          <cell r="A61">
            <v>373</v>
          </cell>
          <cell r="B61" t="str">
            <v>Sheffield</v>
          </cell>
          <cell r="C61" t="str">
            <v>North</v>
          </cell>
          <cell r="D61" t="str">
            <v>East Midlands &amp; Humber</v>
          </cell>
        </row>
        <row r="62">
          <cell r="A62">
            <v>380</v>
          </cell>
          <cell r="B62" t="str">
            <v>Bradford</v>
          </cell>
          <cell r="C62" t="str">
            <v>North</v>
          </cell>
          <cell r="D62" t="str">
            <v>Lancashire &amp; West Yorkshire</v>
          </cell>
        </row>
        <row r="63">
          <cell r="A63">
            <v>381</v>
          </cell>
          <cell r="B63" t="str">
            <v>Calderdale</v>
          </cell>
          <cell r="C63" t="str">
            <v>North</v>
          </cell>
          <cell r="D63" t="str">
            <v>Lancashire &amp; West Yorkshire</v>
          </cell>
        </row>
        <row r="64">
          <cell r="A64">
            <v>382</v>
          </cell>
          <cell r="B64" t="str">
            <v>Kirklees</v>
          </cell>
          <cell r="C64" t="str">
            <v>North</v>
          </cell>
          <cell r="D64" t="str">
            <v>Lancashire &amp; West Yorkshire</v>
          </cell>
        </row>
        <row r="65">
          <cell r="A65">
            <v>383</v>
          </cell>
          <cell r="B65" t="str">
            <v>Leeds</v>
          </cell>
          <cell r="C65" t="str">
            <v>North</v>
          </cell>
          <cell r="D65" t="str">
            <v>Lancashire &amp; West Yorkshire</v>
          </cell>
        </row>
        <row r="66">
          <cell r="A66">
            <v>384</v>
          </cell>
          <cell r="B66" t="str">
            <v>Wakefield</v>
          </cell>
          <cell r="C66" t="str">
            <v>North</v>
          </cell>
          <cell r="D66" t="str">
            <v>Lancashire &amp; West Yorkshire</v>
          </cell>
        </row>
        <row r="67">
          <cell r="A67">
            <v>390</v>
          </cell>
          <cell r="B67" t="str">
            <v>Gateshead</v>
          </cell>
          <cell r="C67" t="str">
            <v>North</v>
          </cell>
          <cell r="D67" t="str">
            <v>North</v>
          </cell>
        </row>
        <row r="68">
          <cell r="A68">
            <v>391</v>
          </cell>
          <cell r="B68" t="str">
            <v>Newcastle upon Tyne</v>
          </cell>
          <cell r="C68" t="str">
            <v>North</v>
          </cell>
          <cell r="D68" t="str">
            <v>North</v>
          </cell>
        </row>
        <row r="69">
          <cell r="A69">
            <v>392</v>
          </cell>
          <cell r="B69" t="str">
            <v>North Tyneside</v>
          </cell>
          <cell r="C69" t="str">
            <v>North</v>
          </cell>
          <cell r="D69" t="str">
            <v>North</v>
          </cell>
        </row>
        <row r="70">
          <cell r="A70">
            <v>393</v>
          </cell>
          <cell r="B70" t="str">
            <v>South Tyneside</v>
          </cell>
          <cell r="C70" t="str">
            <v>North</v>
          </cell>
          <cell r="D70" t="str">
            <v>North</v>
          </cell>
        </row>
        <row r="71">
          <cell r="A71">
            <v>394</v>
          </cell>
          <cell r="B71" t="str">
            <v>Sunderland</v>
          </cell>
          <cell r="C71" t="str">
            <v>North</v>
          </cell>
          <cell r="D71" t="str">
            <v>North</v>
          </cell>
        </row>
        <row r="72">
          <cell r="A72">
            <v>420</v>
          </cell>
          <cell r="B72" t="str">
            <v>Isles of Scilly</v>
          </cell>
          <cell r="C72" t="str">
            <v>Central</v>
          </cell>
          <cell r="D72" t="str">
            <v>South West</v>
          </cell>
        </row>
        <row r="73">
          <cell r="A73">
            <v>800</v>
          </cell>
          <cell r="B73" t="str">
            <v>Bath and North East Somerset</v>
          </cell>
          <cell r="C73" t="str">
            <v>Central</v>
          </cell>
          <cell r="D73" t="str">
            <v>South West</v>
          </cell>
        </row>
        <row r="74">
          <cell r="A74">
            <v>801</v>
          </cell>
          <cell r="B74" t="str">
            <v>Bristol</v>
          </cell>
          <cell r="C74" t="str">
            <v>Central</v>
          </cell>
          <cell r="D74" t="str">
            <v>South West</v>
          </cell>
        </row>
        <row r="75">
          <cell r="A75">
            <v>802</v>
          </cell>
          <cell r="B75" t="str">
            <v>North Somerset</v>
          </cell>
          <cell r="C75" t="str">
            <v>Central</v>
          </cell>
          <cell r="D75" t="str">
            <v>South West</v>
          </cell>
        </row>
        <row r="76">
          <cell r="A76">
            <v>803</v>
          </cell>
          <cell r="B76" t="str">
            <v>South Gloucestershire</v>
          </cell>
          <cell r="C76" t="str">
            <v>Central</v>
          </cell>
          <cell r="D76" t="str">
            <v>South West</v>
          </cell>
        </row>
        <row r="77">
          <cell r="A77">
            <v>805</v>
          </cell>
          <cell r="B77" t="str">
            <v>Hartlepool</v>
          </cell>
          <cell r="C77" t="str">
            <v>North</v>
          </cell>
          <cell r="D77" t="str">
            <v>North</v>
          </cell>
        </row>
        <row r="78">
          <cell r="A78">
            <v>806</v>
          </cell>
          <cell r="B78" t="str">
            <v>Middlesbrough</v>
          </cell>
          <cell r="C78" t="str">
            <v>North</v>
          </cell>
          <cell r="D78" t="str">
            <v>North</v>
          </cell>
        </row>
        <row r="79">
          <cell r="A79">
            <v>807</v>
          </cell>
          <cell r="B79" t="str">
            <v>Redcar and Cleveland</v>
          </cell>
          <cell r="C79" t="str">
            <v>North</v>
          </cell>
          <cell r="D79" t="str">
            <v>North</v>
          </cell>
        </row>
        <row r="80">
          <cell r="A80">
            <v>808</v>
          </cell>
          <cell r="B80" t="str">
            <v>Stockton-on-Tees</v>
          </cell>
          <cell r="C80" t="str">
            <v>North</v>
          </cell>
          <cell r="D80" t="str">
            <v>North</v>
          </cell>
        </row>
        <row r="81">
          <cell r="A81">
            <v>810</v>
          </cell>
          <cell r="B81" t="str">
            <v>Kingston upon Hull</v>
          </cell>
          <cell r="C81" t="str">
            <v>North</v>
          </cell>
          <cell r="D81" t="str">
            <v>East Midlands &amp; Humber</v>
          </cell>
        </row>
        <row r="82">
          <cell r="A82">
            <v>811</v>
          </cell>
          <cell r="B82" t="str">
            <v>East Riding of Yorkshire</v>
          </cell>
          <cell r="C82" t="str">
            <v>North</v>
          </cell>
          <cell r="D82" t="str">
            <v>East Midlands &amp; Humber</v>
          </cell>
        </row>
        <row r="83">
          <cell r="A83">
            <v>812</v>
          </cell>
          <cell r="B83" t="str">
            <v>North East Lincolnshire</v>
          </cell>
          <cell r="C83" t="str">
            <v>North</v>
          </cell>
          <cell r="D83" t="str">
            <v>East Midlands &amp; Humber</v>
          </cell>
        </row>
        <row r="84">
          <cell r="A84">
            <v>813</v>
          </cell>
          <cell r="B84" t="str">
            <v>North Lincolnshire</v>
          </cell>
          <cell r="C84" t="str">
            <v>North</v>
          </cell>
          <cell r="D84" t="str">
            <v>East Midlands &amp; Humber</v>
          </cell>
        </row>
        <row r="85">
          <cell r="A85">
            <v>815</v>
          </cell>
          <cell r="B85" t="str">
            <v>North Yorkshire</v>
          </cell>
          <cell r="C85" t="str">
            <v>North</v>
          </cell>
          <cell r="D85" t="str">
            <v>North</v>
          </cell>
        </row>
        <row r="86">
          <cell r="A86">
            <v>816</v>
          </cell>
          <cell r="B86" t="str">
            <v>York</v>
          </cell>
          <cell r="C86" t="str">
            <v>North</v>
          </cell>
          <cell r="D86" t="str">
            <v>East Midlands &amp; Humber</v>
          </cell>
        </row>
        <row r="87">
          <cell r="A87">
            <v>821</v>
          </cell>
          <cell r="B87" t="str">
            <v>Luton</v>
          </cell>
          <cell r="C87" t="str">
            <v>South</v>
          </cell>
          <cell r="D87" t="str">
            <v>North West London &amp; South Central</v>
          </cell>
        </row>
        <row r="88">
          <cell r="A88">
            <v>822</v>
          </cell>
          <cell r="B88" t="str">
            <v>Bedford Borough</v>
          </cell>
          <cell r="C88" t="str">
            <v>South</v>
          </cell>
          <cell r="D88" t="str">
            <v>North West London &amp; South Central</v>
          </cell>
        </row>
        <row r="89">
          <cell r="A89">
            <v>823</v>
          </cell>
          <cell r="B89" t="str">
            <v>Central Bedfordshire</v>
          </cell>
          <cell r="C89" t="str">
            <v>South</v>
          </cell>
          <cell r="D89" t="str">
            <v>North West London &amp; South Central</v>
          </cell>
        </row>
        <row r="90">
          <cell r="A90">
            <v>825</v>
          </cell>
          <cell r="B90" t="str">
            <v>Buckinghamshire</v>
          </cell>
          <cell r="C90" t="str">
            <v>South</v>
          </cell>
          <cell r="D90" t="str">
            <v>North West London &amp; South Central</v>
          </cell>
        </row>
        <row r="91">
          <cell r="A91">
            <v>826</v>
          </cell>
          <cell r="B91" t="str">
            <v>Milton Keynes</v>
          </cell>
          <cell r="C91" t="str">
            <v>South</v>
          </cell>
          <cell r="D91" t="str">
            <v>North West London &amp; South Central</v>
          </cell>
        </row>
        <row r="92">
          <cell r="A92">
            <v>830</v>
          </cell>
          <cell r="B92" t="str">
            <v>Derbyshire</v>
          </cell>
          <cell r="C92" t="str">
            <v>Central</v>
          </cell>
          <cell r="D92" t="str">
            <v>East Midlands &amp; Humber</v>
          </cell>
        </row>
        <row r="93">
          <cell r="A93">
            <v>831</v>
          </cell>
          <cell r="B93" t="str">
            <v>Derby</v>
          </cell>
          <cell r="C93" t="str">
            <v>Central</v>
          </cell>
          <cell r="D93" t="str">
            <v>East Midlands &amp; Humber</v>
          </cell>
        </row>
        <row r="94">
          <cell r="A94">
            <v>835</v>
          </cell>
          <cell r="B94" t="str">
            <v>Dorset</v>
          </cell>
          <cell r="C94" t="str">
            <v>Central</v>
          </cell>
          <cell r="D94" t="str">
            <v>South West</v>
          </cell>
        </row>
        <row r="95">
          <cell r="A95">
            <v>836</v>
          </cell>
          <cell r="B95" t="str">
            <v>Poole</v>
          </cell>
          <cell r="C95" t="str">
            <v>Central</v>
          </cell>
          <cell r="D95" t="str">
            <v>South West</v>
          </cell>
        </row>
        <row r="96">
          <cell r="A96">
            <v>837</v>
          </cell>
          <cell r="B96" t="str">
            <v>Bournemouth</v>
          </cell>
          <cell r="C96" t="str">
            <v>Central</v>
          </cell>
          <cell r="D96" t="str">
            <v>South West</v>
          </cell>
        </row>
        <row r="97">
          <cell r="A97">
            <v>840</v>
          </cell>
          <cell r="B97" t="str">
            <v>Durham</v>
          </cell>
          <cell r="C97" t="str">
            <v>North</v>
          </cell>
          <cell r="D97" t="str">
            <v>North</v>
          </cell>
        </row>
        <row r="98">
          <cell r="A98">
            <v>841</v>
          </cell>
          <cell r="B98" t="str">
            <v>Darlington</v>
          </cell>
          <cell r="C98" t="str">
            <v>North</v>
          </cell>
          <cell r="D98" t="str">
            <v>North</v>
          </cell>
        </row>
        <row r="99">
          <cell r="A99">
            <v>845</v>
          </cell>
          <cell r="B99" t="str">
            <v>East Sussex</v>
          </cell>
          <cell r="C99" t="str">
            <v>South</v>
          </cell>
          <cell r="D99" t="str">
            <v>South London &amp; South East</v>
          </cell>
        </row>
        <row r="100">
          <cell r="A100">
            <v>846</v>
          </cell>
          <cell r="B100" t="str">
            <v>Brighton and Hove</v>
          </cell>
          <cell r="C100" t="str">
            <v>South</v>
          </cell>
          <cell r="D100" t="str">
            <v>South London &amp; South East</v>
          </cell>
        </row>
        <row r="101">
          <cell r="A101">
            <v>850</v>
          </cell>
          <cell r="B101" t="str">
            <v>Hampshire</v>
          </cell>
          <cell r="C101" t="str">
            <v>South</v>
          </cell>
          <cell r="D101" t="str">
            <v>South London &amp; South East</v>
          </cell>
        </row>
        <row r="102">
          <cell r="A102">
            <v>851</v>
          </cell>
          <cell r="B102" t="str">
            <v>Portsmouth</v>
          </cell>
          <cell r="C102" t="str">
            <v>South</v>
          </cell>
          <cell r="D102" t="str">
            <v>South London &amp; South East</v>
          </cell>
        </row>
        <row r="103">
          <cell r="A103">
            <v>852</v>
          </cell>
          <cell r="B103" t="str">
            <v>Southampton</v>
          </cell>
          <cell r="C103" t="str">
            <v>South</v>
          </cell>
          <cell r="D103" t="str">
            <v>South London &amp; South East</v>
          </cell>
        </row>
        <row r="104">
          <cell r="A104">
            <v>855</v>
          </cell>
          <cell r="B104" t="str">
            <v>Leicestershire</v>
          </cell>
          <cell r="C104" t="str">
            <v>Central</v>
          </cell>
          <cell r="D104" t="str">
            <v>East Midlands &amp; Humber</v>
          </cell>
        </row>
        <row r="105">
          <cell r="A105">
            <v>856</v>
          </cell>
          <cell r="B105" t="str">
            <v>Leicester</v>
          </cell>
          <cell r="C105" t="str">
            <v>Central</v>
          </cell>
          <cell r="D105" t="str">
            <v>East Midlands &amp; Humber</v>
          </cell>
        </row>
        <row r="106">
          <cell r="A106">
            <v>857</v>
          </cell>
          <cell r="B106" t="str">
            <v>Rutland</v>
          </cell>
          <cell r="C106" t="str">
            <v>Central</v>
          </cell>
          <cell r="D106" t="str">
            <v>East Midlands &amp; Humber</v>
          </cell>
        </row>
        <row r="107">
          <cell r="A107">
            <v>860</v>
          </cell>
          <cell r="B107" t="str">
            <v>Staffordshire</v>
          </cell>
          <cell r="C107" t="str">
            <v>Central</v>
          </cell>
          <cell r="D107" t="str">
            <v>West Midlands</v>
          </cell>
        </row>
        <row r="108">
          <cell r="A108">
            <v>861</v>
          </cell>
          <cell r="B108" t="str">
            <v>Stoke-on-Trent</v>
          </cell>
          <cell r="C108" t="str">
            <v>Central</v>
          </cell>
          <cell r="D108" t="str">
            <v>West Midlands</v>
          </cell>
        </row>
        <row r="109">
          <cell r="A109">
            <v>865</v>
          </cell>
          <cell r="B109" t="str">
            <v>Wiltshire</v>
          </cell>
          <cell r="C109" t="str">
            <v>Central</v>
          </cell>
          <cell r="D109" t="str">
            <v>South West</v>
          </cell>
        </row>
        <row r="110">
          <cell r="A110">
            <v>866</v>
          </cell>
          <cell r="B110" t="str">
            <v>Swindon</v>
          </cell>
          <cell r="C110" t="str">
            <v>Central</v>
          </cell>
          <cell r="D110" t="str">
            <v>South West</v>
          </cell>
        </row>
        <row r="111">
          <cell r="A111">
            <v>867</v>
          </cell>
          <cell r="B111" t="str">
            <v>Bracknell Forest</v>
          </cell>
          <cell r="C111" t="str">
            <v>South</v>
          </cell>
          <cell r="D111" t="str">
            <v>North West London &amp; South Central</v>
          </cell>
        </row>
        <row r="112">
          <cell r="A112">
            <v>868</v>
          </cell>
          <cell r="B112" t="str">
            <v>Windsor and Maidenhead</v>
          </cell>
          <cell r="C112" t="str">
            <v>South</v>
          </cell>
          <cell r="D112" t="str">
            <v>North West London &amp; South Central</v>
          </cell>
        </row>
        <row r="113">
          <cell r="A113">
            <v>869</v>
          </cell>
          <cell r="B113" t="str">
            <v>West Berkshire</v>
          </cell>
          <cell r="C113" t="str">
            <v>South</v>
          </cell>
          <cell r="D113" t="str">
            <v>North West London &amp; South Central</v>
          </cell>
        </row>
        <row r="114">
          <cell r="A114">
            <v>870</v>
          </cell>
          <cell r="B114" t="str">
            <v>Reading</v>
          </cell>
          <cell r="C114" t="str">
            <v>South</v>
          </cell>
          <cell r="D114" t="str">
            <v>North West London &amp; South Central</v>
          </cell>
        </row>
        <row r="115">
          <cell r="A115">
            <v>871</v>
          </cell>
          <cell r="B115" t="str">
            <v>Slough</v>
          </cell>
          <cell r="C115" t="str">
            <v>South</v>
          </cell>
          <cell r="D115" t="str">
            <v>North West London &amp; South Central</v>
          </cell>
        </row>
        <row r="116">
          <cell r="A116">
            <v>872</v>
          </cell>
          <cell r="B116" t="str">
            <v>Wokingham</v>
          </cell>
          <cell r="C116" t="str">
            <v>South</v>
          </cell>
          <cell r="D116" t="str">
            <v>North West London &amp; South Central</v>
          </cell>
        </row>
        <row r="117">
          <cell r="A117">
            <v>873</v>
          </cell>
          <cell r="B117" t="str">
            <v>Cambridgeshire</v>
          </cell>
          <cell r="C117" t="str">
            <v>South</v>
          </cell>
          <cell r="D117" t="str">
            <v>North East London &amp; East of England</v>
          </cell>
        </row>
        <row r="118">
          <cell r="A118">
            <v>874</v>
          </cell>
          <cell r="B118" t="str">
            <v>Peterborough</v>
          </cell>
          <cell r="C118" t="str">
            <v>South</v>
          </cell>
          <cell r="D118" t="str">
            <v>North East London &amp; East of England</v>
          </cell>
        </row>
        <row r="119">
          <cell r="A119">
            <v>876</v>
          </cell>
          <cell r="B119" t="str">
            <v>Halton</v>
          </cell>
          <cell r="C119" t="str">
            <v>North</v>
          </cell>
          <cell r="D119" t="str">
            <v>Lancashire &amp; West Yorkshire</v>
          </cell>
        </row>
        <row r="120">
          <cell r="A120">
            <v>877</v>
          </cell>
          <cell r="B120" t="str">
            <v>Warrington</v>
          </cell>
          <cell r="C120" t="str">
            <v>North</v>
          </cell>
          <cell r="D120" t="str">
            <v>Lancashire &amp; West Yorkshire</v>
          </cell>
        </row>
        <row r="121">
          <cell r="A121">
            <v>878</v>
          </cell>
          <cell r="B121" t="str">
            <v>Devon</v>
          </cell>
          <cell r="C121" t="str">
            <v>Central</v>
          </cell>
          <cell r="D121" t="str">
            <v>South West</v>
          </cell>
        </row>
        <row r="122">
          <cell r="A122">
            <v>879</v>
          </cell>
          <cell r="B122" t="str">
            <v>Plymouth</v>
          </cell>
          <cell r="C122" t="str">
            <v>Central</v>
          </cell>
          <cell r="D122" t="str">
            <v>South West</v>
          </cell>
        </row>
        <row r="123">
          <cell r="A123">
            <v>880</v>
          </cell>
          <cell r="B123" t="str">
            <v>Torbay</v>
          </cell>
          <cell r="C123" t="str">
            <v>Central</v>
          </cell>
          <cell r="D123" t="str">
            <v>South West</v>
          </cell>
        </row>
        <row r="124">
          <cell r="A124">
            <v>881</v>
          </cell>
          <cell r="B124" t="str">
            <v>Essex</v>
          </cell>
          <cell r="C124" t="str">
            <v>South</v>
          </cell>
          <cell r="D124" t="str">
            <v>North East London &amp; East of England</v>
          </cell>
        </row>
        <row r="125">
          <cell r="A125">
            <v>882</v>
          </cell>
          <cell r="B125" t="str">
            <v>Southend on Sea</v>
          </cell>
          <cell r="C125" t="str">
            <v>South</v>
          </cell>
          <cell r="D125" t="str">
            <v>North East London &amp; East of England</v>
          </cell>
        </row>
        <row r="126">
          <cell r="A126">
            <v>883</v>
          </cell>
          <cell r="B126" t="str">
            <v>Thurrock</v>
          </cell>
          <cell r="C126" t="str">
            <v>South</v>
          </cell>
          <cell r="D126" t="str">
            <v>North East London &amp; East of England</v>
          </cell>
        </row>
        <row r="127">
          <cell r="A127">
            <v>884</v>
          </cell>
          <cell r="B127" t="str">
            <v>Herefordshire</v>
          </cell>
          <cell r="C127" t="str">
            <v>Central</v>
          </cell>
          <cell r="D127" t="str">
            <v>West Midlands</v>
          </cell>
        </row>
        <row r="128">
          <cell r="A128">
            <v>885</v>
          </cell>
          <cell r="B128" t="str">
            <v>Worcestershire</v>
          </cell>
          <cell r="C128" t="str">
            <v>Central</v>
          </cell>
          <cell r="D128" t="str">
            <v>West Midlands</v>
          </cell>
        </row>
        <row r="129">
          <cell r="A129">
            <v>886</v>
          </cell>
          <cell r="B129" t="str">
            <v>Kent</v>
          </cell>
          <cell r="C129" t="str">
            <v>South</v>
          </cell>
          <cell r="D129" t="str">
            <v>South London &amp; South East</v>
          </cell>
        </row>
        <row r="130">
          <cell r="A130">
            <v>887</v>
          </cell>
          <cell r="B130" t="str">
            <v>Medway</v>
          </cell>
          <cell r="C130" t="str">
            <v>South</v>
          </cell>
          <cell r="D130" t="str">
            <v>South London &amp; South East</v>
          </cell>
        </row>
        <row r="131">
          <cell r="A131">
            <v>888</v>
          </cell>
          <cell r="B131" t="str">
            <v>Lancashire</v>
          </cell>
          <cell r="C131" t="str">
            <v>North</v>
          </cell>
          <cell r="D131" t="str">
            <v>Lancashire &amp; West Yorkshire</v>
          </cell>
        </row>
        <row r="132">
          <cell r="A132">
            <v>889</v>
          </cell>
          <cell r="B132" t="str">
            <v>Blackburn with Darwen</v>
          </cell>
          <cell r="C132" t="str">
            <v>North</v>
          </cell>
          <cell r="D132" t="str">
            <v>Lancashire &amp; West Yorkshire</v>
          </cell>
        </row>
        <row r="133">
          <cell r="A133">
            <v>890</v>
          </cell>
          <cell r="B133" t="str">
            <v>Blackpool</v>
          </cell>
          <cell r="C133" t="str">
            <v>North</v>
          </cell>
          <cell r="D133" t="str">
            <v>Lancashire &amp; West Yorkshire</v>
          </cell>
        </row>
        <row r="134">
          <cell r="A134">
            <v>891</v>
          </cell>
          <cell r="B134" t="str">
            <v>Nottinghamshire</v>
          </cell>
          <cell r="C134" t="str">
            <v>Central</v>
          </cell>
          <cell r="D134" t="str">
            <v>East Midlands &amp; Humber</v>
          </cell>
        </row>
        <row r="135">
          <cell r="A135">
            <v>892</v>
          </cell>
          <cell r="B135" t="str">
            <v>Nottingham</v>
          </cell>
          <cell r="C135" t="str">
            <v>Central</v>
          </cell>
          <cell r="D135" t="str">
            <v>East Midlands &amp; Humber</v>
          </cell>
        </row>
        <row r="136">
          <cell r="A136">
            <v>893</v>
          </cell>
          <cell r="B136" t="str">
            <v>Shropshire</v>
          </cell>
          <cell r="C136" t="str">
            <v>Central</v>
          </cell>
          <cell r="D136" t="str">
            <v>West Midlands</v>
          </cell>
        </row>
        <row r="137">
          <cell r="A137">
            <v>894</v>
          </cell>
          <cell r="B137" t="str">
            <v>Telford and Wrekin</v>
          </cell>
          <cell r="C137" t="str">
            <v>Central</v>
          </cell>
          <cell r="D137" t="str">
            <v>West Midlands</v>
          </cell>
        </row>
        <row r="138">
          <cell r="A138">
            <v>895</v>
          </cell>
          <cell r="B138" t="str">
            <v>Cheshire East</v>
          </cell>
          <cell r="C138" t="str">
            <v>North</v>
          </cell>
          <cell r="D138" t="str">
            <v>West Midlands</v>
          </cell>
        </row>
        <row r="139">
          <cell r="A139">
            <v>896</v>
          </cell>
          <cell r="B139" t="str">
            <v>Cheshire West And Chester</v>
          </cell>
          <cell r="C139" t="str">
            <v>North</v>
          </cell>
          <cell r="D139" t="str">
            <v>West Midlands</v>
          </cell>
        </row>
        <row r="140">
          <cell r="A140">
            <v>908</v>
          </cell>
          <cell r="B140" t="str">
            <v>Cornwall</v>
          </cell>
          <cell r="C140" t="str">
            <v>Central</v>
          </cell>
          <cell r="D140" t="str">
            <v>South West</v>
          </cell>
        </row>
        <row r="141">
          <cell r="A141">
            <v>909</v>
          </cell>
          <cell r="B141" t="str">
            <v>Cumbria</v>
          </cell>
          <cell r="C141" t="str">
            <v>North</v>
          </cell>
          <cell r="D141" t="str">
            <v>North</v>
          </cell>
        </row>
        <row r="142">
          <cell r="A142">
            <v>916</v>
          </cell>
          <cell r="B142" t="str">
            <v>Gloucestershire</v>
          </cell>
          <cell r="C142" t="str">
            <v>Central</v>
          </cell>
          <cell r="D142" t="str">
            <v>South West</v>
          </cell>
        </row>
        <row r="143">
          <cell r="A143">
            <v>919</v>
          </cell>
          <cell r="B143" t="str">
            <v>Hertfordshire</v>
          </cell>
          <cell r="C143" t="str">
            <v>South</v>
          </cell>
          <cell r="D143" t="str">
            <v>North West London &amp; South Central</v>
          </cell>
        </row>
        <row r="144">
          <cell r="A144">
            <v>921</v>
          </cell>
          <cell r="B144" t="str">
            <v>Isle of Wight</v>
          </cell>
          <cell r="C144" t="str">
            <v>South</v>
          </cell>
          <cell r="D144" t="str">
            <v>South London &amp; South East</v>
          </cell>
        </row>
        <row r="145">
          <cell r="A145">
            <v>925</v>
          </cell>
          <cell r="B145" t="str">
            <v>Lincolnshire</v>
          </cell>
          <cell r="C145" t="str">
            <v>Central</v>
          </cell>
          <cell r="D145" t="str">
            <v>East Midlands &amp; Humber</v>
          </cell>
        </row>
        <row r="146">
          <cell r="A146">
            <v>926</v>
          </cell>
          <cell r="B146" t="str">
            <v>Norfolk</v>
          </cell>
          <cell r="C146" t="str">
            <v>South</v>
          </cell>
          <cell r="D146" t="str">
            <v>North East London &amp; East of England</v>
          </cell>
        </row>
        <row r="147">
          <cell r="A147">
            <v>928</v>
          </cell>
          <cell r="B147" t="str">
            <v>Northamptonshire</v>
          </cell>
          <cell r="C147" t="str">
            <v>Central</v>
          </cell>
          <cell r="D147" t="str">
            <v>North West London &amp; South Central</v>
          </cell>
        </row>
        <row r="148">
          <cell r="A148">
            <v>929</v>
          </cell>
          <cell r="B148" t="str">
            <v>Northumberland</v>
          </cell>
          <cell r="C148" t="str">
            <v>North</v>
          </cell>
          <cell r="D148" t="str">
            <v>North</v>
          </cell>
        </row>
        <row r="149">
          <cell r="A149">
            <v>931</v>
          </cell>
          <cell r="B149" t="str">
            <v>Oxfordshire</v>
          </cell>
          <cell r="C149" t="str">
            <v>South</v>
          </cell>
          <cell r="D149" t="str">
            <v>North West London &amp; South Central</v>
          </cell>
        </row>
        <row r="150">
          <cell r="A150">
            <v>933</v>
          </cell>
          <cell r="B150" t="str">
            <v>Somerset</v>
          </cell>
          <cell r="C150" t="str">
            <v>Central</v>
          </cell>
          <cell r="D150" t="str">
            <v>South West</v>
          </cell>
        </row>
        <row r="151">
          <cell r="A151">
            <v>935</v>
          </cell>
          <cell r="B151" t="str">
            <v>Suffolk</v>
          </cell>
          <cell r="C151" t="str">
            <v>South</v>
          </cell>
          <cell r="D151" t="str">
            <v>North East London &amp; East of England</v>
          </cell>
        </row>
        <row r="152">
          <cell r="A152">
            <v>936</v>
          </cell>
          <cell r="B152" t="str">
            <v>Surrey</v>
          </cell>
          <cell r="C152" t="str">
            <v>South</v>
          </cell>
          <cell r="D152" t="str">
            <v>South London &amp; South East</v>
          </cell>
        </row>
        <row r="153">
          <cell r="A153">
            <v>937</v>
          </cell>
          <cell r="B153" t="str">
            <v>Warwickshire</v>
          </cell>
          <cell r="C153" t="str">
            <v>Central</v>
          </cell>
          <cell r="D153" t="str">
            <v>West Midlands</v>
          </cell>
        </row>
        <row r="154">
          <cell r="A154">
            <v>938</v>
          </cell>
          <cell r="B154" t="str">
            <v>West Sussex</v>
          </cell>
          <cell r="C154" t="str">
            <v>South</v>
          </cell>
          <cell r="D154" t="str">
            <v>South London &amp; South East</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14-15 submitted baselines"/>
      <sheetName val="14-15 submitted HN places"/>
      <sheetName val="Inputs &amp; Adjustments"/>
      <sheetName val="Local Factors"/>
      <sheetName val="Adjusted Factors"/>
      <sheetName val="14-15 final baselines"/>
      <sheetName val="Commentary"/>
      <sheetName val="Proforma"/>
      <sheetName val="De Delegation"/>
      <sheetName val="New ISB"/>
      <sheetName val="School level SB"/>
      <sheetName val="Recoupment"/>
      <sheetName val="Validation sheet"/>
    </sheetNames>
    <sheetDataSet>
      <sheetData sheetId="0"/>
      <sheetData sheetId="1"/>
      <sheetData sheetId="2"/>
      <sheetData sheetId="3"/>
      <sheetData sheetId="4"/>
      <sheetData sheetId="5">
        <row r="6">
          <cell r="BR6" t="str">
            <v>School closed prior to 1 April 2015</v>
          </cell>
        </row>
      </sheetData>
      <sheetData sheetId="6">
        <row r="4">
          <cell r="AC4" t="str">
            <v>15-16 Approved Exceptional  Circumstance 1:
Reserved for Additional lump sum for schools amalgamated during  FY14-15</v>
          </cell>
        </row>
      </sheetData>
      <sheetData sheetId="7">
        <row r="6">
          <cell r="C6">
            <v>103153</v>
          </cell>
        </row>
      </sheetData>
      <sheetData sheetId="8"/>
      <sheetData sheetId="9"/>
      <sheetData sheetId="10">
        <row r="9">
          <cell r="E9" t="str">
            <v>No</v>
          </cell>
        </row>
        <row r="30">
          <cell r="D30" t="str">
            <v>N/A</v>
          </cell>
        </row>
      </sheetData>
      <sheetData sheetId="11">
        <row r="8">
          <cell r="V8">
            <v>0</v>
          </cell>
        </row>
      </sheetData>
      <sheetData sheetId="12">
        <row r="5">
          <cell r="E5">
            <v>0</v>
          </cell>
          <cell r="AI5">
            <v>0</v>
          </cell>
        </row>
      </sheetData>
      <sheetData sheetId="13"/>
      <sheetData sheetId="14"/>
      <sheetData sheetId="1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ORGS1011 (2)"/>
      <sheetName val="sftrans1011Sep10"/>
      <sheetName val="Trans@1.10"/>
      <sheetName val="Monitor"/>
      <sheetName val="trans"/>
      <sheetName val="mfg (2)"/>
      <sheetName val="OneSchoolSF"/>
      <sheetName val="OneSchool"/>
      <sheetName val="transaction data 1011"/>
      <sheetName val="Trans@4.10"/>
      <sheetName val="sftrans1011"/>
      <sheetName val="abatement"/>
      <sheetName val="EMFG"/>
      <sheetName val="NMFG"/>
      <sheetName val="mfg"/>
      <sheetName val="Report"/>
      <sheetName val="OrigAbate"/>
      <sheetName val="sf trans 0910"/>
      <sheetName val="transaction data 0910"/>
      <sheetName val="News"/>
      <sheetName val="All Schools"/>
      <sheetName val="Pupils"/>
      <sheetName val="AEN Report"/>
      <sheetName val="Special"/>
      <sheetName val="Resource Provision"/>
      <sheetName val="MFGreport"/>
      <sheetName val="ProvAlloc1011"/>
      <sheetName val="EMAG"/>
      <sheetName val="REORGS1011"/>
      <sheetName val="rates"/>
      <sheetName val="data"/>
      <sheetName val="rpsen"/>
      <sheetName val="specialsen"/>
      <sheetName val="AEN"/>
      <sheetName val="Primary aen"/>
      <sheetName val="Census Jan 09"/>
      <sheetName val="Pupils 2010"/>
      <sheetName val="Pupil data"/>
      <sheetName val="SFOalloc0910"/>
      <sheetName val="REORGS1011_(2)"/>
      <sheetName val="Trans@1_10"/>
      <sheetName val="mfg_(2)"/>
      <sheetName val="transaction_data_1011"/>
      <sheetName val="Trans@4_10"/>
      <sheetName val="sf_trans_0910"/>
      <sheetName val="transaction_data_0910"/>
      <sheetName val="All_Schools"/>
      <sheetName val="AEN_Report"/>
      <sheetName val="Resource_Provision"/>
      <sheetName val="Primary_aen"/>
      <sheetName val="Census_Jan_09"/>
      <sheetName val="Pupils_2010"/>
      <sheetName val="Pupil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Reports"/>
      <sheetName val="Timetable"/>
      <sheetName val="Tables"/>
      <sheetName val="Files"/>
      <sheetName val="Instructions"/>
      <sheetName val="Tasks"/>
      <sheetName val="Help"/>
      <sheetName val="Lines"/>
      <sheetName val="BudgetVersions"/>
      <sheetName val="PandRJan16"/>
      <sheetName val="SFJan16"/>
      <sheetName val="BlockAnalysis"/>
      <sheetName val="DraftBudget1617"/>
      <sheetName val="S251report"/>
      <sheetName val="Queries"/>
      <sheetName val="3YRBudgetS251"/>
      <sheetName val="3YRBudget"/>
      <sheetName val="HNtopupBudget"/>
      <sheetName val="Comments"/>
      <sheetName val="BudDetail"/>
      <sheetName val="Historical"/>
      <sheetName val="SchoolList"/>
      <sheetName val="SchoolOrg"/>
      <sheetName val="DSGReport"/>
      <sheetName val="Schoolfunding"/>
      <sheetName val="BudgetShare"/>
      <sheetName val="GrowthProj"/>
      <sheetName val="BudMon1516"/>
      <sheetName val="Costcentres"/>
      <sheetName val="S251"/>
      <sheetName val="GLcodes"/>
      <sheetName val="Growth"/>
      <sheetName val="SchoolGrowth"/>
      <sheetName val="5YearGrowth£"/>
      <sheetName val="GrowthFund1617"/>
      <sheetName val="GrowthFund1718"/>
      <sheetName val="GrowthFund1819"/>
      <sheetName val="GrowthFund1920"/>
      <sheetName val="GrowthFund2021"/>
      <sheetName val="Val's New School List"/>
      <sheetName val="All schools 2014-2018"/>
      <sheetName val="Schools"/>
      <sheetName val="HNRates"/>
      <sheetName val="DSG"/>
      <sheetName val="DSGDec"/>
      <sheetName val="Underspends"/>
      <sheetName val="USpends"/>
      <sheetName val="DSGProj"/>
      <sheetName val="Recoupment"/>
      <sheetName val="Post16"/>
      <sheetName val="Pupils"/>
      <sheetName val="PupilRecOct15"/>
      <sheetName val="OCT14Census"/>
      <sheetName val="Oct15Census"/>
      <sheetName val="AcadCensus2015"/>
      <sheetName val="PupilProjOld"/>
      <sheetName val="YGSummary"/>
      <sheetName val="YGProj"/>
      <sheetName val="PupilProj"/>
      <sheetName val="EFAPupils"/>
      <sheetName val="APT"/>
      <sheetName val="NEWISB"/>
      <sheetName val="Dedeleg"/>
      <sheetName val="APT171819"/>
      <sheetName val="Growthfund"/>
      <sheetName val="Growthdetail"/>
      <sheetName val="Post16Allocs"/>
      <sheetName val="APTPupils"/>
      <sheetName val="APTfullISB"/>
      <sheetName val="APTRates"/>
      <sheetName val="SBData"/>
      <sheetName val="HNPlacesNew"/>
      <sheetName val="HighNeedsPlaces"/>
      <sheetName val="HNPlaceList"/>
      <sheetName val="HNPlaceSummary"/>
      <sheetName val="BarnetHNRecoup"/>
      <sheetName val="SpecialPRUARP"/>
      <sheetName val="Topups"/>
      <sheetName val="BarnetEHCP"/>
      <sheetName val="BarnetARPs"/>
      <sheetName val="BarnetSpec"/>
      <sheetName val="IndOOBtopups"/>
      <sheetName val="SENServ"/>
      <sheetName val="SENCentral"/>
      <sheetName val="HNRegs"/>
      <sheetName val="HighNeedsRec"/>
      <sheetName val="HNCheck"/>
      <sheetName val="FEEE3"/>
      <sheetName val="FEEE3Projdata"/>
      <sheetName val="Under5s"/>
      <sheetName val="FamServ"/>
      <sheetName val="TwoYearOlds"/>
      <sheetName val="Central"/>
      <sheetName val="Other"/>
      <sheetName val="None"/>
      <sheetName val="Lines1516"/>
      <sheetName val="1516NEWISB"/>
      <sheetName val="1516Monitor"/>
      <sheetName val="Month8Mon"/>
      <sheetName val="Month7Mon"/>
      <sheetName val="Month6Mon"/>
      <sheetName val="Month4Mon"/>
      <sheetName val="LinesV1"/>
      <sheetName val="LinesV2"/>
      <sheetName val="LinesV3"/>
      <sheetName val="LinesV4"/>
      <sheetName val="LinesBudLoad"/>
      <sheetName val="BudLoad4Dec15"/>
      <sheetName val="Val's_New_School_List"/>
      <sheetName val="All_schools_2014-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I1">
            <v>1000000</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der List"/>
      <sheetName val="New Report"/>
      <sheetName val="Master"/>
      <sheetName val="Panel History"/>
      <sheetName val="Payments CHX"/>
      <sheetName val="Payments JNL"/>
      <sheetName val="NEF Spring"/>
      <sheetName val="F April09"/>
      <sheetName val="U April09"/>
      <sheetName val="N April09"/>
      <sheetName val="P April09"/>
      <sheetName val="W April09"/>
      <sheetName val="C April09"/>
      <sheetName val="H April09"/>
      <sheetName val="Summer NEF"/>
      <sheetName val="F May09"/>
      <sheetName val="U May09"/>
      <sheetName val="N May09"/>
      <sheetName val="P May09"/>
      <sheetName val="W May09"/>
      <sheetName val="C May09"/>
      <sheetName val="H May09"/>
      <sheetName val="F June09"/>
      <sheetName val="F July09"/>
      <sheetName val="U June09"/>
      <sheetName val="U July09"/>
      <sheetName val="W June09"/>
      <sheetName val="W July09"/>
      <sheetName val="P June09"/>
      <sheetName val="P July09"/>
      <sheetName val="N June09"/>
      <sheetName val="N July09"/>
      <sheetName val="H July09"/>
      <sheetName val="F August09"/>
      <sheetName val="U August09"/>
      <sheetName val="W August09"/>
      <sheetName val="P August09"/>
      <sheetName val="N August09"/>
      <sheetName val="NEF Autumn 09"/>
      <sheetName val="F September09"/>
      <sheetName val="U September09"/>
      <sheetName val="W September09"/>
      <sheetName val="P September09"/>
      <sheetName val="N September09"/>
      <sheetName val="H June09"/>
      <sheetName val="Centre Totals"/>
      <sheetName val="Children Centre Pupil Breakdown"/>
      <sheetName val="Data"/>
      <sheetName val="Provider_List"/>
      <sheetName val="New_Report"/>
      <sheetName val="Panel_History"/>
      <sheetName val="Payments_CHX"/>
      <sheetName val="Payments_JNL"/>
      <sheetName val="NEF_Spring"/>
      <sheetName val="F_April09"/>
      <sheetName val="U_April09"/>
      <sheetName val="N_April09"/>
      <sheetName val="P_April09"/>
      <sheetName val="W_April09"/>
      <sheetName val="C_April09"/>
      <sheetName val="H_April09"/>
      <sheetName val="Summer_NEF"/>
      <sheetName val="F_May09"/>
      <sheetName val="U_May09"/>
      <sheetName val="N_May09"/>
      <sheetName val="P_May09"/>
      <sheetName val="W_May09"/>
      <sheetName val="C_May09"/>
      <sheetName val="H_May09"/>
      <sheetName val="F_June09"/>
      <sheetName val="F_July09"/>
      <sheetName val="U_June09"/>
      <sheetName val="U_July09"/>
      <sheetName val="W_June09"/>
      <sheetName val="W_July09"/>
      <sheetName val="P_June09"/>
      <sheetName val="P_July09"/>
      <sheetName val="N_June09"/>
      <sheetName val="N_July09"/>
      <sheetName val="H_July09"/>
      <sheetName val="F_August09"/>
      <sheetName val="U_August09"/>
      <sheetName val="W_August09"/>
      <sheetName val="P_August09"/>
      <sheetName val="N_August09"/>
      <sheetName val="NEF_Autumn_09"/>
      <sheetName val="F_September09"/>
      <sheetName val="U_September09"/>
      <sheetName val="W_September09"/>
      <sheetName val="P_September09"/>
      <sheetName val="N_September09"/>
      <sheetName val="H_June09"/>
      <sheetName val="Centre_Totals"/>
      <sheetName val="Children_Centre_Pupil_Breakdown"/>
    </sheetNames>
    <sheetDataSet>
      <sheetData sheetId="0" refreshError="1"/>
      <sheetData sheetId="1" refreshError="1">
        <row r="4">
          <cell r="J4" t="str">
            <v>September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ow r="4">
          <cell r="J4" t="str">
            <v>September</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As"/>
      <sheetName val="Summary"/>
      <sheetName val="PLASC-SLASC"/>
      <sheetName val="Form 8b"/>
      <sheetName val="EYC"/>
      <sheetName val="3yo adjustment"/>
      <sheetName val="Form_8b"/>
      <sheetName val="3yo_adjustmen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B"/>
      <sheetName val="P16FY13-14"/>
      <sheetName val="DSGAdditions"/>
      <sheetName val="SBIncome"/>
      <sheetName val="DSG1314EFA"/>
      <sheetName val="Baselines"/>
      <sheetName val="CBDSGV4"/>
      <sheetName val="HNEFA"/>
      <sheetName val="AcadRecoup"/>
    </sheetNames>
    <sheetDataSet>
      <sheetData sheetId="0"/>
      <sheetData sheetId="1"/>
      <sheetData sheetId="2">
        <row r="21">
          <cell r="E21">
            <v>4.1305800000000001</v>
          </cell>
        </row>
      </sheetData>
      <sheetData sheetId="3"/>
      <sheetData sheetId="4">
        <row r="5">
          <cell r="D5">
            <v>210.79811688000001</v>
          </cell>
        </row>
      </sheetData>
      <sheetData sheetId="5"/>
      <sheetData sheetId="6">
        <row r="6">
          <cell r="C6">
            <v>210798116.88</v>
          </cell>
        </row>
      </sheetData>
      <sheetData sheetId="7"/>
      <sheetData sheetId="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ose"/>
      <sheetName val="News"/>
      <sheetName val="Home"/>
      <sheetName val="BudgetShare"/>
      <sheetName val="Payments"/>
      <sheetName val="Pupils"/>
      <sheetName val="CFR"/>
      <sheetName val="HighNeeds"/>
      <sheetName val="EHCPtopup"/>
      <sheetName val="ARPtopup"/>
      <sheetName val="Specialtopup"/>
      <sheetName val="PRUTopups"/>
      <sheetName val="HNRates"/>
      <sheetName val="EarlyYears"/>
      <sheetName val="SixthForm"/>
      <sheetName val="PupilPremium"/>
      <sheetName val="Grants"/>
      <sheetName val="Growth"/>
      <sheetName val="MFG"/>
      <sheetName val="NotionalSEN"/>
      <sheetName val="Compare"/>
      <sheetName val="BarnetReport"/>
      <sheetName val="NicoleAdj"/>
      <sheetName val="NicoleAprilBCD"/>
      <sheetName val="NicoleBCD"/>
      <sheetName val="NicoleAll"/>
      <sheetName val="RunCost"/>
      <sheetName val="BudMon"/>
      <sheetName val="EYData"/>
      <sheetName val="NEWISB"/>
      <sheetName val="AUTTOPUPS"/>
      <sheetName val="AutTopupData"/>
      <sheetName val="Month8"/>
      <sheetName val="Rates"/>
      <sheetName val="Schools"/>
      <sheetName val="1415Funding"/>
      <sheetName val="OCT14Census"/>
      <sheetName val="Schooldata"/>
      <sheetName val="CostCentres"/>
      <sheetName val="Exclusions"/>
      <sheetName val="PPJuly2"/>
      <sheetName val="PPFSM6July1"/>
      <sheetName val="HNPlaces"/>
      <sheetName val="HNPUPILS"/>
      <sheetName val="PRUCENSUS"/>
      <sheetName val="BulgeProt"/>
      <sheetName val="UIFSM"/>
      <sheetName val="UIFSMdata"/>
      <sheetName val="NNDRfromR&amp;B"/>
      <sheetName val="TRANSeoy15"/>
      <sheetName val="Autopivot"/>
      <sheetName val="Autopay1"/>
      <sheetName val="Autopay2"/>
      <sheetName val="Autopay3"/>
      <sheetName val="Autopay4"/>
      <sheetName val="DFCfinal"/>
      <sheetName val="SummerLAC"/>
      <sheetName val="UIFSMAdj"/>
      <sheetName val="UIFSMJul"/>
      <sheetName val="EHCP+ARPJuly"/>
      <sheetName val="SpecJuly"/>
      <sheetName val="POST16Allocs"/>
      <sheetName val="EY SUMA adj"/>
      <sheetName val="EY SUMAdata"/>
      <sheetName val="EY BUDMON Jul15"/>
      <sheetName val="Recoup"/>
      <sheetName val="NNDROct"/>
      <sheetName val="SummerSchools"/>
      <sheetName val="MP"/>
      <sheetName val="PEGrant1516"/>
      <sheetName val="RBaseline"/>
      <sheetName val="EYAutAct"/>
      <sheetName val="TRANS"/>
      <sheetName val="EY_SUMA_adj"/>
      <sheetName val="EY_SUMAdata"/>
      <sheetName val="EY_BUDMON_Jul15"/>
    </sheetNames>
    <sheetDataSet>
      <sheetData sheetId="0"/>
      <sheetData sheetId="1"/>
      <sheetData sheetId="2">
        <row r="5">
          <cell r="F5">
            <v>3023317</v>
          </cell>
        </row>
      </sheetData>
      <sheetData sheetId="3"/>
      <sheetData sheetId="4"/>
      <sheetData sheetId="5"/>
      <sheetData sheetId="6">
        <row r="14">
          <cell r="AD14" t="str">
            <v>Version 7.0</v>
          </cell>
        </row>
      </sheetData>
      <sheetData sheetId="7"/>
      <sheetData sheetId="8"/>
      <sheetData sheetId="9"/>
      <sheetData sheetId="10"/>
      <sheetData sheetId="11"/>
      <sheetData sheetId="12"/>
      <sheetData sheetId="13">
        <row r="19">
          <cell r="AA19" t="str">
            <v>Yes</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alculations"/>
    </sheetNames>
    <sheetDataSet>
      <sheetData sheetId="0"/>
      <sheetData sheetId="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Control"/>
      <sheetName val="Control"/>
      <sheetName val="ACAs by District"/>
      <sheetName val="ACAs by LA"/>
      <sheetName val="ACAs by LA_withAvePartFringe"/>
      <sheetName val="PartFringe_AverageACA"/>
      <sheetName val="Chart1"/>
      <sheetName val="StaffProportion"/>
      <sheetName val="Expenditure"/>
      <sheetName val="TeacherSCA_SWFC_aut13"/>
      <sheetName val="LCAs by ACA Area"/>
      <sheetName val="LCA by District"/>
      <sheetName val="District-LA"/>
      <sheetName val="IL OL Fringe"/>
      <sheetName val="Regions"/>
      <sheetName val="Comparison"/>
      <sheetName val="AdHoc"/>
      <sheetName val="Export"/>
      <sheetName val="ACAs_by_District"/>
      <sheetName val="ACAs_by_LA"/>
      <sheetName val="ACAs_by_LA_withAvePartFringe"/>
      <sheetName val="LCAs_by_ACA_Area"/>
      <sheetName val="LCA_by_District"/>
      <sheetName val="IL_OL_Fringe"/>
    </sheetNames>
    <sheetDataSet>
      <sheetData sheetId="0"/>
      <sheetData sheetId="1"/>
      <sheetData sheetId="2"/>
      <sheetData sheetId="3"/>
      <sheetData sheetId="4"/>
      <sheetData sheetId="5"/>
      <sheetData sheetId="6" refreshError="1"/>
      <sheetData sheetId="7">
        <row r="16">
          <cell r="U16">
            <v>0.52832993970429731</v>
          </cell>
        </row>
        <row r="17">
          <cell r="U17">
            <v>0.28286328443663272</v>
          </cell>
        </row>
        <row r="20">
          <cell r="U20">
            <v>0.81119322414093009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Control"/>
      <sheetName val="Info"/>
      <sheetName val="ACAs by District"/>
      <sheetName val="ACAs by LA"/>
      <sheetName val="ACAs by LA_withAvePartFringe"/>
      <sheetName val="PartFringe_AverageACA"/>
      <sheetName val="Export to SQL"/>
      <sheetName val="Export To Tech Note"/>
      <sheetName val="Chart1"/>
      <sheetName val="StaffProportion"/>
      <sheetName val="Expenditure"/>
      <sheetName val="TeacherSCA_summary"/>
      <sheetName val="TeacherSCA_SWFCaut13_Method2"/>
      <sheetName val="LCAs by ACA Area"/>
      <sheetName val="LCA by District"/>
      <sheetName val="District-LA"/>
      <sheetName val="IL OL Fringe"/>
      <sheetName val="Regions"/>
      <sheetName val="ACAs_by_District"/>
      <sheetName val="ACAs_by_LA"/>
      <sheetName val="ACAs_by_LA_withAvePartFringe"/>
      <sheetName val="Export_to_SQL"/>
      <sheetName val="Export_To_Tech_Note"/>
      <sheetName val="LCAs_by_ACA_Area"/>
      <sheetName val="LCA_by_District"/>
      <sheetName val="IL_OL_Fringe"/>
    </sheetNames>
    <sheetDataSet>
      <sheetData sheetId="0"/>
      <sheetData sheetId="1"/>
      <sheetData sheetId="2"/>
      <sheetData sheetId="3"/>
      <sheetData sheetId="4"/>
      <sheetData sheetId="5"/>
      <sheetData sheetId="6"/>
      <sheetData sheetId="7"/>
      <sheetData sheetId="8" refreshError="1"/>
      <sheetData sheetId="9">
        <row r="16">
          <cell r="V16">
            <v>0.53762993774522583</v>
          </cell>
        </row>
        <row r="17">
          <cell r="V17">
            <v>0.27064572622099031</v>
          </cell>
        </row>
        <row r="20">
          <cell r="V20">
            <v>0.80827566396621608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specialtopup"/>
      <sheetName val="AutEHCPtopup"/>
      <sheetName val="AutARPtopup"/>
      <sheetName val="Choose"/>
      <sheetName val="News"/>
      <sheetName val="Home"/>
      <sheetName val="BudgetShare"/>
      <sheetName val="Payments"/>
      <sheetName val="Pupils"/>
      <sheetName val="CFR"/>
      <sheetName val="HighNeeds"/>
      <sheetName val="EHCPtopup"/>
      <sheetName val="ARPtopup"/>
      <sheetName val="Specialtopup"/>
      <sheetName val="PRUTopups"/>
      <sheetName val="HNRates"/>
      <sheetName val="EarlyYears"/>
      <sheetName val="EYSprUpdate"/>
      <sheetName val="SixthForm"/>
      <sheetName val="PupilPremium"/>
      <sheetName val="Grants"/>
      <sheetName val="Growth"/>
      <sheetName val="MFG"/>
      <sheetName val="NotionalSEN"/>
      <sheetName val="Compare"/>
      <sheetName val="BarnetReport"/>
      <sheetName val="NicoleAdj"/>
      <sheetName val="NicoleAprilBCD"/>
      <sheetName val="NicoleBCD"/>
      <sheetName val="NicoleAll"/>
      <sheetName val="RunCost"/>
      <sheetName val="BudMon"/>
      <sheetName val="EYData"/>
      <sheetName val="NEWISB"/>
      <sheetName val="AUTTOPUPS"/>
      <sheetName val="AutTopupData"/>
      <sheetName val="Month8"/>
      <sheetName val="Schools"/>
      <sheetName val="1415Funding"/>
      <sheetName val="OCT14Census"/>
      <sheetName val="Schooldata"/>
      <sheetName val="CostCentres"/>
      <sheetName val="Exclusions"/>
      <sheetName val="PPJuly2"/>
      <sheetName val="PPFSM6July1"/>
      <sheetName val="HNPlaces"/>
      <sheetName val="HNPUPILS"/>
      <sheetName val="PRUCENSUS"/>
      <sheetName val="BulgeProt"/>
      <sheetName val="UIFSM"/>
      <sheetName val="UIFSMdata"/>
      <sheetName val="NNDRfromR&amp;B"/>
      <sheetName val="TRANSeoy15"/>
      <sheetName val="Autopay1"/>
      <sheetName val="Autopay2"/>
      <sheetName val="Autopay3"/>
      <sheetName val="Autopay4"/>
      <sheetName val="DFCfinal"/>
      <sheetName val="SummerLAC"/>
      <sheetName val="UIFSMAdj"/>
      <sheetName val="UIFSMJul"/>
      <sheetName val="EHCP+ARPJuly"/>
      <sheetName val="SpecJuly"/>
      <sheetName val="POST16Allocs"/>
      <sheetName val="EY SUMA adj"/>
      <sheetName val="EY SUMAdata"/>
      <sheetName val="EY BUDMON Jul15"/>
      <sheetName val="Recoup"/>
      <sheetName val="NNDROct"/>
      <sheetName val="SummerSchools"/>
      <sheetName val="MP"/>
      <sheetName val="PEGrant1516"/>
      <sheetName val="RBaseline"/>
      <sheetName val="Sheet2"/>
      <sheetName val="LAPPGAdd"/>
      <sheetName val="Sheet3"/>
      <sheetName val="TRANS"/>
      <sheetName val="Rates"/>
      <sheetName val="Y7catchup"/>
      <sheetName val="EYAutAct"/>
      <sheetName val="Claremont"/>
      <sheetName val="BudmonJan"/>
      <sheetName val="Autopivot"/>
      <sheetName val="SprSENAdj"/>
      <sheetName val="SprTopupData"/>
      <sheetName val="VSallocs"/>
      <sheetName val="EY_SUMA_adj"/>
      <sheetName val="EY_SUMAdata"/>
      <sheetName val="EY_BUDMON_Jul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
          <cell r="R9">
            <v>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h 04"/>
      <sheetName val="Budget summary"/>
      <sheetName val="SummaryCB"/>
      <sheetName val="INRespivot"/>
      <sheetName val="Ind &amp; NMSS Res"/>
      <sheetName val="INDaypivot"/>
      <sheetName val="Ind &amp; NMSS Day"/>
      <sheetName val="MAOOBPivot"/>
      <sheetName val="Maint &amp; Acad OOB"/>
      <sheetName val="ChCenPivot"/>
      <sheetName val="Children's Centres"/>
      <sheetName val="Therapies"/>
      <sheetName val="Specialist Pkgs"/>
      <sheetName val="Block Purchase"/>
      <sheetName val="Client Data"/>
      <sheetName val="Provider Listing"/>
      <sheetName val="Vendor List"/>
      <sheetName val="Data"/>
      <sheetName val="Sheet7"/>
      <sheetName val="Mth_04"/>
      <sheetName val="Budget_summary"/>
      <sheetName val="Ind_&amp;_NMSS_Res"/>
      <sheetName val="Ind_&amp;_NMSS_Day"/>
      <sheetName val="Maint_&amp;_Acad_OOB"/>
      <sheetName val="Children's_Centres"/>
      <sheetName val="Specialist_Pkgs"/>
      <sheetName val="Block_Purchase"/>
      <sheetName val="Client_Data"/>
      <sheetName val="Provider_Listing"/>
      <sheetName val="Vendor_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v>279693</v>
          </cell>
        </row>
      </sheetData>
      <sheetData sheetId="15">
        <row r="2">
          <cell r="A2" t="str">
            <v>345 Pre-School Thetherdown</v>
          </cell>
          <cell r="B2" t="str">
            <v>IND. OB</v>
          </cell>
        </row>
        <row r="3">
          <cell r="A3" t="str">
            <v>Abingdon House</v>
          </cell>
          <cell r="B3" t="str">
            <v>IND.Special Scl OB</v>
          </cell>
        </row>
        <row r="4">
          <cell r="A4" t="str">
            <v>Academy 4 Kids</v>
          </cell>
          <cell r="B4" t="str">
            <v>IND. IB</v>
          </cell>
        </row>
        <row r="5">
          <cell r="A5" t="str">
            <v>Acorn Assessment Centre</v>
          </cell>
          <cell r="B5" t="str">
            <v>BARNET</v>
          </cell>
        </row>
        <row r="6">
          <cell r="A6" t="str">
            <v>Acorns School, Independent Day Special</v>
          </cell>
          <cell r="B6" t="str">
            <v>IND.Special Scl OB</v>
          </cell>
        </row>
        <row r="7">
          <cell r="A7" t="str">
            <v>Active Learning</v>
          </cell>
          <cell r="B7" t="str">
            <v>IND. IB</v>
          </cell>
        </row>
        <row r="8">
          <cell r="A8" t="str">
            <v>Alan Pullinger</v>
          </cell>
          <cell r="B8" t="str">
            <v>IND. IB</v>
          </cell>
        </row>
        <row r="9">
          <cell r="A9" t="str">
            <v>Aldenham School, Borehamwood</v>
          </cell>
          <cell r="B9" t="str">
            <v>IND. OB</v>
          </cell>
        </row>
        <row r="10">
          <cell r="A10" t="str">
            <v>Alder Grange High</v>
          </cell>
          <cell r="B10" t="str">
            <v>LANCASHIRE maint</v>
          </cell>
        </row>
        <row r="11">
          <cell r="A11" t="str">
            <v>Alderwasley Hall School</v>
          </cell>
          <cell r="B11" t="str">
            <v>IND.Special Scl OB</v>
          </cell>
        </row>
        <row r="12">
          <cell r="A12" t="str">
            <v>Alexandra Park</v>
          </cell>
          <cell r="B12" t="str">
            <v>HARINGEY acad</v>
          </cell>
        </row>
        <row r="13">
          <cell r="A13" t="str">
            <v>Alexandra Primary</v>
          </cell>
          <cell r="B13" t="str">
            <v>ENFIELD maint</v>
          </cell>
        </row>
        <row r="14">
          <cell r="A14" t="str">
            <v>Alfriston School</v>
          </cell>
          <cell r="B14" t="str">
            <v>BUCKINGHAMSHIRE acad</v>
          </cell>
        </row>
        <row r="15">
          <cell r="A15" t="str">
            <v>Alonim Kindergarten</v>
          </cell>
          <cell r="B15" t="str">
            <v>IND. IB</v>
          </cell>
        </row>
        <row r="16">
          <cell r="A16" t="str">
            <v>Alperton Community School</v>
          </cell>
          <cell r="B16" t="str">
            <v>BRENT maint</v>
          </cell>
        </row>
        <row r="17">
          <cell r="A17" t="str">
            <v>Annemount School</v>
          </cell>
          <cell r="B17" t="str">
            <v>IND. IB</v>
          </cell>
        </row>
        <row r="18">
          <cell r="A18" t="str">
            <v>Apple Orchard School</v>
          </cell>
          <cell r="B18" t="str">
            <v>IND.Special Scl OB</v>
          </cell>
        </row>
        <row r="19">
          <cell r="A19" t="str">
            <v>ASD Learning</v>
          </cell>
          <cell r="B19" t="str">
            <v>IND. OB</v>
          </cell>
        </row>
        <row r="20">
          <cell r="A20" t="str">
            <v xml:space="preserve">Ashburnham Community </v>
          </cell>
          <cell r="B20" t="str">
            <v>KEN&amp;CHELSEA maint</v>
          </cell>
        </row>
        <row r="21">
          <cell r="A21" t="str">
            <v>Ashcroft School</v>
          </cell>
          <cell r="B21" t="str">
            <v>IND.Special Scl OB</v>
          </cell>
        </row>
        <row r="22">
          <cell r="A22" t="str">
            <v>Ashmole Academy</v>
          </cell>
          <cell r="B22" t="str">
            <v>BARNET</v>
          </cell>
        </row>
        <row r="23">
          <cell r="A23" t="str">
            <v>Ashmount Primary School</v>
          </cell>
          <cell r="B23" t="str">
            <v>ISLINGTON maint</v>
          </cell>
        </row>
        <row r="24">
          <cell r="A24" t="str">
            <v>Avigador Hirsch Torah</v>
          </cell>
          <cell r="B24" t="str">
            <v>BRENT maint</v>
          </cell>
        </row>
        <row r="25">
          <cell r="A25" t="str">
            <v>Avigdor Hirsch Torah Termimah Primary</v>
          </cell>
          <cell r="B25" t="str">
            <v>BRENT maint</v>
          </cell>
        </row>
        <row r="26">
          <cell r="A26" t="str">
            <v>Avocet House</v>
          </cell>
          <cell r="B26" t="str">
            <v>IND.Special Scl OB</v>
          </cell>
        </row>
        <row r="27">
          <cell r="A27" t="str">
            <v>Aylands School</v>
          </cell>
          <cell r="B27" t="str">
            <v>ENFIELD maint</v>
          </cell>
        </row>
        <row r="28">
          <cell r="A28" t="str">
            <v>Aylward First &amp; Middle School</v>
          </cell>
          <cell r="B28" t="str">
            <v>HARROW maint</v>
          </cell>
        </row>
        <row r="29">
          <cell r="A29" t="str">
            <v>Aylward Primary</v>
          </cell>
          <cell r="B29" t="str">
            <v>HARROW acad</v>
          </cell>
        </row>
        <row r="30">
          <cell r="A30" t="str">
            <v>Barnet &amp; Southgate College</v>
          </cell>
          <cell r="B30" t="str">
            <v>BARNET</v>
          </cell>
        </row>
        <row r="31">
          <cell r="A31" t="str">
            <v>Beaufort Park Nursey</v>
          </cell>
          <cell r="B31" t="str">
            <v>IND. IB</v>
          </cell>
        </row>
        <row r="32">
          <cell r="A32" t="str">
            <v>Beckford Primary School</v>
          </cell>
          <cell r="B32" t="str">
            <v>CAMDEN maint</v>
          </cell>
        </row>
        <row r="33">
          <cell r="A33" t="str">
            <v>The Beeches UK Ltd</v>
          </cell>
          <cell r="B33" t="str">
            <v>IND.Special Scl OB</v>
          </cell>
        </row>
        <row r="34">
          <cell r="A34" t="str">
            <v>Beis Soroh Schneirer Primary</v>
          </cell>
          <cell r="B34" t="str">
            <v>IND. IB</v>
          </cell>
        </row>
        <row r="35">
          <cell r="A35" t="str">
            <v>Beis Soroh Schneirir</v>
          </cell>
          <cell r="B35" t="str">
            <v>IND. IB</v>
          </cell>
        </row>
        <row r="36">
          <cell r="A36" t="str">
            <v>Beis Yaacov</v>
          </cell>
          <cell r="B36" t="str">
            <v>BARNET</v>
          </cell>
        </row>
        <row r="37">
          <cell r="A37" t="str">
            <v>Beis Yaakov</v>
          </cell>
          <cell r="B37" t="str">
            <v>BARNET</v>
          </cell>
        </row>
        <row r="38">
          <cell r="A38" t="str">
            <v>Belfield Montessori</v>
          </cell>
          <cell r="B38" t="str">
            <v>IND. IB</v>
          </cell>
        </row>
        <row r="39">
          <cell r="A39" t="str">
            <v>Belmont Park Special School</v>
          </cell>
          <cell r="B39" t="str">
            <v>WALTHAMFOREST maint</v>
          </cell>
        </row>
        <row r="40">
          <cell r="A40" t="str">
            <v xml:space="preserve">Belmont School, Mill Hill </v>
          </cell>
          <cell r="B40" t="str">
            <v>IND. IB</v>
          </cell>
        </row>
        <row r="41">
          <cell r="A41" t="str">
            <v>Bentley Wood High School</v>
          </cell>
          <cell r="B41" t="str">
            <v>HARROW acad</v>
          </cell>
        </row>
        <row r="42">
          <cell r="A42" t="str">
            <v>Beth Jacob Grammar School for Girls</v>
          </cell>
          <cell r="B42" t="str">
            <v>IND. IB</v>
          </cell>
        </row>
        <row r="43">
          <cell r="A43" t="str">
            <v>Bladon House School</v>
          </cell>
          <cell r="B43" t="str">
            <v>IND.Special Scl OB</v>
          </cell>
        </row>
        <row r="44">
          <cell r="A44" t="str">
            <v>Bladon House School</v>
          </cell>
          <cell r="B44" t="str">
            <v>IND.Special Scl OB</v>
          </cell>
        </row>
        <row r="45">
          <cell r="A45" t="str">
            <v>Blanche Nevile</v>
          </cell>
          <cell r="B45" t="str">
            <v>HARINGEY maint</v>
          </cell>
        </row>
        <row r="46">
          <cell r="A46" t="str">
            <v>Blossom House School, Wimbledon</v>
          </cell>
          <cell r="B46" t="str">
            <v>IND.Special Scl OB</v>
          </cell>
        </row>
        <row r="47">
          <cell r="A47" t="str">
            <v>Bnos Beis Yaakov Primary School</v>
          </cell>
          <cell r="B47" t="str">
            <v>IND. OB</v>
          </cell>
        </row>
        <row r="48">
          <cell r="A48" t="str">
            <v>Braintcroft Primary</v>
          </cell>
          <cell r="B48" t="str">
            <v>BRENT maint</v>
          </cell>
        </row>
        <row r="49">
          <cell r="A49" t="str">
            <v>Brentside Primary</v>
          </cell>
          <cell r="B49" t="str">
            <v>EALING acad</v>
          </cell>
        </row>
        <row r="50">
          <cell r="A50" t="str">
            <v>Bridgewater Middle School</v>
          </cell>
          <cell r="B50" t="str">
            <v>HERTS maint</v>
          </cell>
        </row>
        <row r="51">
          <cell r="A51" t="str">
            <v>Bright Learners</v>
          </cell>
          <cell r="B51" t="str">
            <v>IND. IB</v>
          </cell>
        </row>
        <row r="52">
          <cell r="A52" t="str">
            <v>Brit School for Performing Arts &amp; Tech.</v>
          </cell>
          <cell r="B52" t="str">
            <v>CROYDON maint</v>
          </cell>
        </row>
        <row r="53">
          <cell r="A53" t="str">
            <v>Broadhurst School</v>
          </cell>
          <cell r="B53" t="str">
            <v>IND. OB</v>
          </cell>
        </row>
        <row r="54">
          <cell r="A54" t="str">
            <v>Brondesbury Park Synagogue Nursery</v>
          </cell>
          <cell r="B54" t="str">
            <v>IND. OB</v>
          </cell>
        </row>
        <row r="55">
          <cell r="A55" t="str">
            <v>Brookfield Primary</v>
          </cell>
          <cell r="B55" t="str">
            <v>CAMDEN maint</v>
          </cell>
        </row>
        <row r="56">
          <cell r="A56" t="str">
            <v>Brookland Infant School</v>
          </cell>
          <cell r="B56" t="str">
            <v>BARNET</v>
          </cell>
        </row>
        <row r="57">
          <cell r="A57" t="str">
            <v>Brookland Infants/BEAM</v>
          </cell>
          <cell r="B57" t="str">
            <v>BARNET</v>
          </cell>
        </row>
        <row r="58">
          <cell r="A58" t="str">
            <v>Brookland Infants/London Sch. For Children with Cerebral Palsy</v>
          </cell>
          <cell r="B58" t="str">
            <v>BARNET</v>
          </cell>
        </row>
        <row r="59">
          <cell r="A59" t="str">
            <v>Brookland Junior</v>
          </cell>
          <cell r="B59" t="str">
            <v>BARNET</v>
          </cell>
        </row>
        <row r="60">
          <cell r="A60" t="str">
            <v>Brookland Juniors</v>
          </cell>
          <cell r="B60" t="str">
            <v>BARNET</v>
          </cell>
        </row>
        <row r="61">
          <cell r="A61" t="str">
            <v>Broomhayes School &amp; Children's Centre</v>
          </cell>
          <cell r="B61" t="str">
            <v>IND.Special Scl OB</v>
          </cell>
        </row>
        <row r="62">
          <cell r="A62" t="str">
            <v>Broughton House &amp; College</v>
          </cell>
          <cell r="B62" t="str">
            <v>IND. OB</v>
          </cell>
        </row>
        <row r="63">
          <cell r="A63" t="str">
            <v>Brymore School of Rural Technology</v>
          </cell>
          <cell r="B63" t="str">
            <v>SOMERSET acad</v>
          </cell>
        </row>
        <row r="64">
          <cell r="A64" t="str">
            <v>Bushey Meads</v>
          </cell>
          <cell r="B64" t="str">
            <v>HERTS acad</v>
          </cell>
        </row>
        <row r="65">
          <cell r="A65" t="str">
            <v>Bushey Meads (Resourced)</v>
          </cell>
          <cell r="B65" t="str">
            <v>HERTS acad</v>
          </cell>
        </row>
        <row r="66">
          <cell r="A66" t="str">
            <v>Busy Bees Nursery</v>
          </cell>
          <cell r="B66" t="str">
            <v>IND. IB</v>
          </cell>
        </row>
        <row r="67">
          <cell r="A67" t="str">
            <v>Byron Court Primary</v>
          </cell>
          <cell r="B67" t="str">
            <v>BRENT maint</v>
          </cell>
        </row>
        <row r="68">
          <cell r="A68" t="str">
            <v>Caldecott Foundation</v>
          </cell>
          <cell r="B68" t="str">
            <v>NON-MAIN SS OB</v>
          </cell>
        </row>
        <row r="69">
          <cell r="A69" t="str">
            <v>Camden School for Girls</v>
          </cell>
          <cell r="B69" t="str">
            <v>CAMDEN maint</v>
          </cell>
        </row>
        <row r="70">
          <cell r="A70" t="str">
            <v>Canons High</v>
          </cell>
          <cell r="B70" t="str">
            <v>HARROW acad</v>
          </cell>
        </row>
        <row r="71">
          <cell r="A71" t="str">
            <v>Centro Infantil Menchu Nursery</v>
          </cell>
          <cell r="B71" t="str">
            <v>IND. OB</v>
          </cell>
        </row>
        <row r="72">
          <cell r="A72" t="str">
            <v>Chalcot</v>
          </cell>
          <cell r="B72" t="str">
            <v>CAMDEN maint</v>
          </cell>
        </row>
        <row r="73">
          <cell r="A73" t="str">
            <v>Chancellor's School</v>
          </cell>
          <cell r="B73" t="str">
            <v>HERTS maint</v>
          </cell>
        </row>
        <row r="74">
          <cell r="A74" t="str">
            <v>Chantry School</v>
          </cell>
          <cell r="B74" t="str">
            <v>HILLINGDON maint</v>
          </cell>
        </row>
        <row r="75">
          <cell r="A75" t="str">
            <v>Chesterfield Primary School</v>
          </cell>
          <cell r="B75" t="str">
            <v>ENFIELD maint</v>
          </cell>
        </row>
        <row r="76">
          <cell r="A76" t="str">
            <v>Childs Hill</v>
          </cell>
          <cell r="B76" t="str">
            <v>BARNET</v>
          </cell>
        </row>
        <row r="77">
          <cell r="A77" t="str">
            <v>Childs Hill Resourced Provision</v>
          </cell>
          <cell r="B77" t="str">
            <v>BARNET</v>
          </cell>
        </row>
        <row r="78">
          <cell r="A78" t="str">
            <v>Chiltern Special School</v>
          </cell>
          <cell r="B78" t="str">
            <v>CEN.BEDFORDSHIRE maint</v>
          </cell>
        </row>
        <row r="79">
          <cell r="A79" t="str">
            <v>Christ Church CE School</v>
          </cell>
          <cell r="B79" t="str">
            <v>BARNET</v>
          </cell>
        </row>
        <row r="80">
          <cell r="A80" t="str">
            <v>Church Hill</v>
          </cell>
          <cell r="B80" t="str">
            <v>BARNET</v>
          </cell>
        </row>
        <row r="81">
          <cell r="A81" t="str">
            <v>Claybrook Cottage School</v>
          </cell>
          <cell r="B81" t="str">
            <v>IND. OB</v>
          </cell>
        </row>
        <row r="82">
          <cell r="A82" t="str">
            <v>Coldfall Primary</v>
          </cell>
          <cell r="B82" t="str">
            <v>HARINGEY maint</v>
          </cell>
        </row>
        <row r="83">
          <cell r="A83" t="str">
            <v>Coldfall Primary School</v>
          </cell>
          <cell r="B83" t="str">
            <v>HARINGEY maint</v>
          </cell>
        </row>
        <row r="84">
          <cell r="A84" t="str">
            <v>Colindale Nursery (Ind)</v>
          </cell>
          <cell r="B84" t="str">
            <v>IND. IB</v>
          </cell>
        </row>
        <row r="85">
          <cell r="A85" t="str">
            <v>Colindale School</v>
          </cell>
          <cell r="B85" t="str">
            <v>BARNET</v>
          </cell>
        </row>
        <row r="86">
          <cell r="A86" t="str">
            <v>Colnbrook School</v>
          </cell>
          <cell r="B86" t="str">
            <v>HERTS maint</v>
          </cell>
        </row>
        <row r="87">
          <cell r="A87" t="str">
            <v>Community College</v>
          </cell>
          <cell r="B87" t="str">
            <v>KENT maint</v>
          </cell>
        </row>
        <row r="88">
          <cell r="A88" t="str">
            <v>Compton School</v>
          </cell>
          <cell r="B88" t="str">
            <v>BARNET</v>
          </cell>
        </row>
        <row r="89">
          <cell r="A89" t="str">
            <v>Convent of Jesus and Mary Language College</v>
          </cell>
          <cell r="B89" t="str">
            <v>BRENT acad</v>
          </cell>
        </row>
        <row r="90">
          <cell r="A90" t="str">
            <v>Coppetts Wood School</v>
          </cell>
          <cell r="B90" t="str">
            <v>BARNET</v>
          </cell>
        </row>
        <row r="91">
          <cell r="A91" t="str">
            <v>Copthall School</v>
          </cell>
          <cell r="B91" t="str">
            <v>BARNET</v>
          </cell>
        </row>
        <row r="92">
          <cell r="A92" t="str">
            <v>Cornfield School, Littlehampton</v>
          </cell>
          <cell r="B92" t="str">
            <v>WESTSUSSEX maint</v>
          </cell>
        </row>
        <row r="93">
          <cell r="A93" t="str">
            <v>Country Cows Montessori</v>
          </cell>
          <cell r="B93" t="str">
            <v>IND. IB</v>
          </cell>
        </row>
        <row r="94">
          <cell r="A94" t="str">
            <v>Coxlease School</v>
          </cell>
          <cell r="B94" t="str">
            <v>IND. OB</v>
          </cell>
        </row>
        <row r="95">
          <cell r="A95" t="str">
            <v>Cressey College</v>
          </cell>
          <cell r="B95" t="str">
            <v>IND.Special Scl OB</v>
          </cell>
        </row>
        <row r="96">
          <cell r="A96" t="str">
            <v>Cruckton Hall School</v>
          </cell>
          <cell r="B96" t="str">
            <v>IND.Special Scl OB</v>
          </cell>
        </row>
        <row r="97">
          <cell r="A97" t="str">
            <v xml:space="preserve">Cupcakes Nursery </v>
          </cell>
          <cell r="B97" t="str">
            <v>IND. IB</v>
          </cell>
        </row>
        <row r="98">
          <cell r="A98" t="str">
            <v>Dame Alice Owen</v>
          </cell>
          <cell r="B98" t="str">
            <v>HERTS acad</v>
          </cell>
        </row>
        <row r="99">
          <cell r="A99" t="str">
            <v>Dame Alice Owen's</v>
          </cell>
          <cell r="B99" t="str">
            <v>HERTS acad</v>
          </cell>
        </row>
        <row r="100">
          <cell r="A100" t="str">
            <v>Danecroft Nursery</v>
          </cell>
          <cell r="B100" t="str">
            <v>IND. IB</v>
          </cell>
        </row>
        <row r="101">
          <cell r="A101" t="str">
            <v>Davies Laing &amp; Dick College</v>
          </cell>
          <cell r="B101" t="str">
            <v>IND. OB</v>
          </cell>
        </row>
        <row r="102">
          <cell r="A102" t="str">
            <v>Dawn House</v>
          </cell>
          <cell r="B102" t="str">
            <v>NON-MAIN SS OB</v>
          </cell>
        </row>
        <row r="103">
          <cell r="A103" t="str">
            <v>Delamere Forest (Cheshire)</v>
          </cell>
          <cell r="B103" t="str">
            <v>MANCHESTER maint</v>
          </cell>
        </row>
        <row r="104">
          <cell r="A104" t="str">
            <v>Down’s View Link College</v>
          </cell>
          <cell r="B104" t="str">
            <v>BRIGHTON&amp;HOVE maint</v>
          </cell>
        </row>
        <row r="105">
          <cell r="A105" t="str">
            <v>Downs Park School</v>
          </cell>
          <cell r="B105" t="str">
            <v>BRIGHTON&amp;HOVE maint</v>
          </cell>
        </row>
        <row r="106">
          <cell r="A106" t="str">
            <v>Dwight School</v>
          </cell>
          <cell r="B106" t="str">
            <v>IND. IB</v>
          </cell>
        </row>
        <row r="107">
          <cell r="A107" t="str">
            <v>Dwight School</v>
          </cell>
          <cell r="B107" t="str">
            <v>IND. IB</v>
          </cell>
        </row>
        <row r="108">
          <cell r="A108" t="str">
            <v>East Barnet School</v>
          </cell>
          <cell r="B108" t="str">
            <v>BARNET</v>
          </cell>
        </row>
        <row r="109">
          <cell r="A109" t="str">
            <v>East London Ind. Special School (TCES)</v>
          </cell>
          <cell r="B109" t="str">
            <v>IND.Special Scl OB</v>
          </cell>
        </row>
        <row r="110">
          <cell r="A110" t="str">
            <v>Edgware Adath Yisroel Congregation</v>
          </cell>
          <cell r="B110" t="str">
            <v>IND. IB</v>
          </cell>
        </row>
        <row r="111">
          <cell r="A111" t="str">
            <v>Edgware Jewish Primary School</v>
          </cell>
          <cell r="B111" t="str">
            <v>BARNET</v>
          </cell>
        </row>
        <row r="112">
          <cell r="A112" t="str">
            <v>Education Otherwise/BHHTT</v>
          </cell>
          <cell r="B112" t="str">
            <v>BARNET</v>
          </cell>
        </row>
        <row r="113">
          <cell r="A113" t="str">
            <v>Egerton Rothesay</v>
          </cell>
          <cell r="B113" t="str">
            <v>IND. OB</v>
          </cell>
        </row>
        <row r="114">
          <cell r="A114" t="str">
            <v>Ellern Mede School (ED)</v>
          </cell>
          <cell r="B114" t="str">
            <v>IND. IB</v>
          </cell>
        </row>
        <row r="115">
          <cell r="A115" t="str">
            <v>Elm Grove Junior</v>
          </cell>
          <cell r="B115">
            <v>0</v>
          </cell>
        </row>
        <row r="116">
          <cell r="A116" t="str">
            <v>Elstree UTC</v>
          </cell>
          <cell r="B116" t="str">
            <v>HERTS acad</v>
          </cell>
        </row>
        <row r="117">
          <cell r="A117" t="str">
            <v>Ethelbert Childrens Services</v>
          </cell>
          <cell r="B117" t="str">
            <v>IND.Special Scl OB</v>
          </cell>
        </row>
        <row r="118">
          <cell r="A118" t="str">
            <v>Eversley Primary</v>
          </cell>
          <cell r="B118" t="str">
            <v>ENFIELD maint</v>
          </cell>
        </row>
        <row r="119">
          <cell r="A119" t="str">
            <v>Fairley House</v>
          </cell>
          <cell r="B119" t="str">
            <v>IND.Special Scl OB</v>
          </cell>
        </row>
        <row r="120">
          <cell r="A120" t="str">
            <v>Fairview Community Primary School</v>
          </cell>
          <cell r="B120" t="str">
            <v>KENT maint</v>
          </cell>
        </row>
        <row r="121">
          <cell r="A121" t="str">
            <v>Fairway Children's Centre</v>
          </cell>
          <cell r="B121" t="str">
            <v>BARNET</v>
          </cell>
        </row>
        <row r="122">
          <cell r="A122" t="str">
            <v>Finchley Catholic High</v>
          </cell>
          <cell r="B122" t="str">
            <v>BARNET</v>
          </cell>
        </row>
        <row r="123">
          <cell r="A123" t="str">
            <v>Fine Arts College Hampstead</v>
          </cell>
          <cell r="B123" t="str">
            <v>IND. OB</v>
          </cell>
        </row>
        <row r="124">
          <cell r="A124" t="str">
            <v>Fortismere School</v>
          </cell>
          <cell r="B124" t="str">
            <v>HARINGEY maint</v>
          </cell>
        </row>
        <row r="125">
          <cell r="A125" t="str">
            <v>Friern Barnet</v>
          </cell>
          <cell r="B125" t="str">
            <v>BARNET</v>
          </cell>
        </row>
        <row r="126">
          <cell r="A126" t="str">
            <v>Furness School</v>
          </cell>
          <cell r="B126" t="str">
            <v>KENT maint</v>
          </cell>
        </row>
        <row r="127">
          <cell r="A127" t="str">
            <v>Gan Sabres</v>
          </cell>
          <cell r="B127" t="str">
            <v>IND. IB</v>
          </cell>
        </row>
        <row r="128">
          <cell r="A128" t="str">
            <v>Garden Suburb</v>
          </cell>
          <cell r="B128" t="str">
            <v>BARNET</v>
          </cell>
        </row>
        <row r="129">
          <cell r="A129" t="str">
            <v>Garfield Primary School</v>
          </cell>
          <cell r="B129" t="str">
            <v>ENFIELD maint</v>
          </cell>
        </row>
        <row r="130">
          <cell r="A130" t="str">
            <v>Gladstone Park</v>
          </cell>
          <cell r="B130" t="str">
            <v>BRENT maint</v>
          </cell>
        </row>
        <row r="131">
          <cell r="A131" t="str">
            <v>Glenwood School</v>
          </cell>
          <cell r="B131">
            <v>0</v>
          </cell>
        </row>
        <row r="132">
          <cell r="A132" t="str">
            <v>Goodwyn School</v>
          </cell>
          <cell r="B132" t="str">
            <v>IND. IB</v>
          </cell>
        </row>
        <row r="133">
          <cell r="A133" t="str">
            <v>Gower School</v>
          </cell>
          <cell r="B133" t="str">
            <v>IND. OB</v>
          </cell>
        </row>
        <row r="134">
          <cell r="A134" t="str">
            <v>Grange Park Primary School</v>
          </cell>
          <cell r="B134" t="str">
            <v>ENFIELD maint</v>
          </cell>
        </row>
        <row r="135">
          <cell r="A135" t="str">
            <v>Grasvenor Avenue Infant</v>
          </cell>
          <cell r="B135" t="str">
            <v>BARNET</v>
          </cell>
        </row>
        <row r="136">
          <cell r="A136" t="str">
            <v>Grimsdell Pre School</v>
          </cell>
          <cell r="B136" t="str">
            <v>IND. IB</v>
          </cell>
        </row>
        <row r="137">
          <cell r="A137" t="str">
            <v>Haberdashers' Aske's School for Girls</v>
          </cell>
          <cell r="B137" t="str">
            <v>IND. OB</v>
          </cell>
        </row>
        <row r="138">
          <cell r="A138" t="str">
            <v>Hadley Wood</v>
          </cell>
          <cell r="B138" t="str">
            <v>ENFIELD maint</v>
          </cell>
        </row>
        <row r="139">
          <cell r="A139" t="str">
            <v>Hampstead School</v>
          </cell>
          <cell r="B139" t="str">
            <v>CAMDEN maint</v>
          </cell>
        </row>
        <row r="140">
          <cell r="A140" t="str">
            <v>Hampsteads Dyslexia Clinic</v>
          </cell>
          <cell r="B140" t="str">
            <v>BARNET</v>
          </cell>
        </row>
        <row r="141">
          <cell r="A141" t="str">
            <v>Haslingden High School</v>
          </cell>
          <cell r="B141" t="str">
            <v>LANCASHIRE maint</v>
          </cell>
        </row>
        <row r="142">
          <cell r="A142" t="str">
            <v>Hasmonean High</v>
          </cell>
          <cell r="B142" t="str">
            <v>BARNET</v>
          </cell>
        </row>
        <row r="143">
          <cell r="A143" t="str">
            <v>Hasmonean Primary School</v>
          </cell>
          <cell r="B143" t="str">
            <v>BARNET</v>
          </cell>
        </row>
        <row r="144">
          <cell r="A144" t="str">
            <v>Haverstock School</v>
          </cell>
          <cell r="B144" t="str">
            <v>CAMDEN maint</v>
          </cell>
        </row>
        <row r="145">
          <cell r="A145" t="str">
            <v>Heath Farm</v>
          </cell>
          <cell r="B145" t="str">
            <v>IND.Special Scl OB</v>
          </cell>
        </row>
        <row r="146">
          <cell r="A146" t="str">
            <v>Heathlands School</v>
          </cell>
          <cell r="B146" t="str">
            <v>HERTS maint</v>
          </cell>
        </row>
        <row r="147">
          <cell r="A147" t="str">
            <v>Hendon Preparatory</v>
          </cell>
          <cell r="B147" t="str">
            <v>IND. IB</v>
          </cell>
        </row>
        <row r="148">
          <cell r="A148" t="str">
            <v>Hendon Preparatory School</v>
          </cell>
          <cell r="B148" t="str">
            <v>IND. IB</v>
          </cell>
        </row>
        <row r="149">
          <cell r="A149" t="str">
            <v>Hendon Resourced Provision</v>
          </cell>
          <cell r="B149" t="str">
            <v>BARNET</v>
          </cell>
        </row>
        <row r="150">
          <cell r="A150" t="str">
            <v>Hendon School</v>
          </cell>
          <cell r="B150" t="str">
            <v>BARNET</v>
          </cell>
        </row>
        <row r="151">
          <cell r="A151" t="str">
            <v>Heritage House</v>
          </cell>
          <cell r="B151" t="str">
            <v>BUCKINGHAMSHIRE maint</v>
          </cell>
        </row>
        <row r="152">
          <cell r="A152" t="str">
            <v>Hertswood School</v>
          </cell>
          <cell r="B152" t="str">
            <v>HERTS acad</v>
          </cell>
        </row>
        <row r="153">
          <cell r="A153" t="str">
            <v>High Close</v>
          </cell>
          <cell r="B153" t="str">
            <v>NON-MAIN SS OB</v>
          </cell>
        </row>
        <row r="154">
          <cell r="A154" t="str">
            <v>Highlands School</v>
          </cell>
          <cell r="B154" t="str">
            <v>ENFIELD maint</v>
          </cell>
        </row>
        <row r="155">
          <cell r="A155" t="str">
            <v>Highview School</v>
          </cell>
          <cell r="B155" t="str">
            <v>KENT maint</v>
          </cell>
        </row>
        <row r="156">
          <cell r="A156" t="str">
            <v>Hill Park Day Nursery (Asquith)</v>
          </cell>
          <cell r="B156" t="str">
            <v>IND. IB</v>
          </cell>
        </row>
        <row r="157">
          <cell r="A157" t="str">
            <v>Hillingdon Manor School</v>
          </cell>
          <cell r="B157" t="str">
            <v>IND.Special Scl OB</v>
          </cell>
        </row>
        <row r="158">
          <cell r="A158" t="str">
            <v>HLC Secondary School</v>
          </cell>
          <cell r="B158" t="str">
            <v>TELFORD maint</v>
          </cell>
        </row>
        <row r="159">
          <cell r="A159" t="str">
            <v>Home Based ABA Programme</v>
          </cell>
          <cell r="B159" t="str">
            <v>BARNET</v>
          </cell>
        </row>
        <row r="160">
          <cell r="A160" t="str">
            <v>Honilands Primary</v>
          </cell>
          <cell r="B160" t="str">
            <v>ENFIELD maint</v>
          </cell>
        </row>
        <row r="161">
          <cell r="A161" t="str">
            <v>Hope View School</v>
          </cell>
          <cell r="B161" t="str">
            <v>IND.Special Scl OB</v>
          </cell>
        </row>
        <row r="162">
          <cell r="A162" t="str">
            <v>Icknield High School</v>
          </cell>
          <cell r="B162" t="str">
            <v>LUTON acad</v>
          </cell>
        </row>
        <row r="163">
          <cell r="A163" t="str">
            <v>Immanuel College</v>
          </cell>
          <cell r="B163" t="str">
            <v>IND. OB</v>
          </cell>
        </row>
        <row r="164">
          <cell r="A164" t="str">
            <v>Independent Jewish Day</v>
          </cell>
          <cell r="B164" t="str">
            <v>BARNET</v>
          </cell>
        </row>
        <row r="165">
          <cell r="A165" t="str">
            <v>Insights Education Centre</v>
          </cell>
          <cell r="B165" t="str">
            <v>IND.Special Scl OB</v>
          </cell>
        </row>
        <row r="166">
          <cell r="A166" t="str">
            <v>Inspirations Montessori Nursery</v>
          </cell>
          <cell r="B166" t="str">
            <v>IND. OB</v>
          </cell>
        </row>
        <row r="167">
          <cell r="A167" t="str">
            <v>International Community School</v>
          </cell>
          <cell r="B167" t="str">
            <v>IND. OB</v>
          </cell>
        </row>
        <row r="168">
          <cell r="A168" t="str">
            <v>Jack and Jill Playgroup</v>
          </cell>
          <cell r="B168" t="str">
            <v>IND. IB</v>
          </cell>
        </row>
        <row r="169">
          <cell r="A169" t="str">
            <v>Jack Taylor School</v>
          </cell>
          <cell r="B169" t="str">
            <v>CAMDEN maint</v>
          </cell>
        </row>
        <row r="170">
          <cell r="A170" t="str">
            <v>JCoSS</v>
          </cell>
          <cell r="B170" t="str">
            <v>BARNET</v>
          </cell>
        </row>
        <row r="171">
          <cell r="A171" t="str">
            <v>JFS</v>
          </cell>
          <cell r="B171" t="str">
            <v>BRENT maint</v>
          </cell>
        </row>
        <row r="172">
          <cell r="A172" t="str">
            <v>Joel Nursery</v>
          </cell>
          <cell r="B172" t="str">
            <v>IND. IB</v>
          </cell>
        </row>
        <row r="173">
          <cell r="A173" t="str">
            <v>Kenmore Park Infant School</v>
          </cell>
          <cell r="B173" t="str">
            <v>HARROW maint</v>
          </cell>
        </row>
        <row r="174">
          <cell r="A174" t="str">
            <v>Kenmore Park Middle School</v>
          </cell>
          <cell r="B174" t="str">
            <v>HARROW maint</v>
          </cell>
        </row>
        <row r="175">
          <cell r="A175" t="str">
            <v>Kensal Rise Resource Provision (Lang)</v>
          </cell>
          <cell r="B175" t="str">
            <v>BRENT maint</v>
          </cell>
        </row>
        <row r="176">
          <cell r="A176" t="str">
            <v>Kerem House Nursery</v>
          </cell>
          <cell r="B176" t="str">
            <v>IND. IB</v>
          </cell>
        </row>
        <row r="177">
          <cell r="A177" t="str">
            <v>Kerem School</v>
          </cell>
          <cell r="B177" t="str">
            <v>IND. IB</v>
          </cell>
        </row>
        <row r="178">
          <cell r="A178" t="str">
            <v>Kidz Choice Nursery</v>
          </cell>
          <cell r="B178" t="str">
            <v>IND. IB</v>
          </cell>
        </row>
        <row r="179">
          <cell r="A179" t="str">
            <v>King Alfred School</v>
          </cell>
          <cell r="B179" t="str">
            <v>IND. IB</v>
          </cell>
        </row>
        <row r="180">
          <cell r="A180" t="str">
            <v>Kingsbury High</v>
          </cell>
          <cell r="B180" t="str">
            <v>BRENT acad</v>
          </cell>
        </row>
        <row r="181">
          <cell r="A181" t="str">
            <v>Kingsbury High (Resourced Unit)</v>
          </cell>
          <cell r="B181" t="str">
            <v>BRENT acad</v>
          </cell>
        </row>
        <row r="182">
          <cell r="A182" t="str">
            <v>Kisharon</v>
          </cell>
          <cell r="B182" t="str">
            <v>IND.Special Scl IB</v>
          </cell>
        </row>
        <row r="183">
          <cell r="A183" t="str">
            <v>Kisharon</v>
          </cell>
          <cell r="B183" t="str">
            <v>IND.Special Scl IB</v>
          </cell>
        </row>
        <row r="184">
          <cell r="A184" t="str">
            <v>Kisimul School</v>
          </cell>
          <cell r="B184" t="str">
            <v>IND.Special Scl OB</v>
          </cell>
        </row>
        <row r="185">
          <cell r="A185" t="str">
            <v>Knightsfield School</v>
          </cell>
          <cell r="B185" t="str">
            <v>HERTS acad</v>
          </cell>
        </row>
        <row r="186">
          <cell r="A186" t="str">
            <v>La Sainte Union</v>
          </cell>
          <cell r="B186" t="str">
            <v>CAMDEN maint</v>
          </cell>
        </row>
        <row r="187">
          <cell r="A187" t="str">
            <v>Lakers School</v>
          </cell>
          <cell r="B187" t="str">
            <v>GLOUCS maint</v>
          </cell>
        </row>
        <row r="188">
          <cell r="A188" t="str">
            <v>Langham School</v>
          </cell>
          <cell r="B188">
            <v>0</v>
          </cell>
        </row>
        <row r="189">
          <cell r="A189" t="str">
            <v>Lavendale Montessori</v>
          </cell>
          <cell r="B189" t="str">
            <v>IND. IB</v>
          </cell>
        </row>
        <row r="190">
          <cell r="A190" t="str">
            <v>Laycock HI Resourced Provision</v>
          </cell>
          <cell r="B190" t="str">
            <v>ISLINGTON maint</v>
          </cell>
        </row>
        <row r="191">
          <cell r="A191" t="str">
            <v>Lea Manor</v>
          </cell>
          <cell r="B191" t="str">
            <v>LUTON maint</v>
          </cell>
        </row>
        <row r="192">
          <cell r="A192" t="str">
            <v>Learn for Life</v>
          </cell>
          <cell r="B192" t="str">
            <v>IND. OB</v>
          </cell>
        </row>
        <row r="193">
          <cell r="A193" t="str">
            <v>Learning Opportunities</v>
          </cell>
          <cell r="B193" t="str">
            <v>IND.Special Scl OB</v>
          </cell>
        </row>
        <row r="194">
          <cell r="A194" t="str">
            <v>Linden Lodge (wkly boarding)</v>
          </cell>
          <cell r="B194" t="str">
            <v>WANDSWORTH maint</v>
          </cell>
        </row>
        <row r="195">
          <cell r="A195" t="str">
            <v>Little Angels</v>
          </cell>
          <cell r="B195" t="str">
            <v>IND. IB</v>
          </cell>
        </row>
        <row r="196">
          <cell r="A196" t="str">
            <v>Loddon School</v>
          </cell>
          <cell r="B196" t="str">
            <v>IND.Special Scl OB</v>
          </cell>
        </row>
        <row r="197">
          <cell r="A197" t="str">
            <v>Lon Ctre for Child with CP (3 days)/Queenswell Jnr</v>
          </cell>
          <cell r="B197" t="str">
            <v>IND.Special Scl OB</v>
          </cell>
        </row>
        <row r="198">
          <cell r="A198" t="str">
            <v>London Academy</v>
          </cell>
          <cell r="B198" t="str">
            <v>IND. IB</v>
          </cell>
        </row>
        <row r="199">
          <cell r="A199" t="str">
            <v>London Academy Centre for Development of Speech &amp; Language</v>
          </cell>
          <cell r="B199" t="str">
            <v>IND. IB</v>
          </cell>
        </row>
        <row r="200">
          <cell r="A200" t="str">
            <v>London Centre for Children with Cerebral Palsy</v>
          </cell>
          <cell r="B200" t="str">
            <v>IND.Special Scl OB</v>
          </cell>
        </row>
        <row r="201">
          <cell r="A201" t="str">
            <v>London Jewish Girls High School</v>
          </cell>
          <cell r="B201" t="str">
            <v>IND. IB</v>
          </cell>
        </row>
        <row r="202">
          <cell r="A202" t="str">
            <v>Lonsdale School</v>
          </cell>
          <cell r="B202" t="str">
            <v>HERTS maint</v>
          </cell>
        </row>
        <row r="203">
          <cell r="A203" t="str">
            <v>Loreto College</v>
          </cell>
          <cell r="B203" t="str">
            <v>HERTS acad</v>
          </cell>
        </row>
        <row r="204">
          <cell r="A204" t="str">
            <v>Loreto RC School</v>
          </cell>
          <cell r="B204" t="str">
            <v>HERTS acad</v>
          </cell>
        </row>
        <row r="205">
          <cell r="A205" t="str">
            <v>Lubavitch of Edgware Kindergarten</v>
          </cell>
          <cell r="B205" t="str">
            <v>IND. IB</v>
          </cell>
        </row>
        <row r="206">
          <cell r="A206" t="str">
            <v>Lubavitch Ruth Lunzer Girls</v>
          </cell>
          <cell r="B206" t="str">
            <v>HACKNEY maint</v>
          </cell>
        </row>
        <row r="207">
          <cell r="A207" t="str">
            <v>Lubavitch Senior Girls</v>
          </cell>
          <cell r="B207" t="str">
            <v>HACKNEY maint</v>
          </cell>
        </row>
        <row r="208">
          <cell r="A208" t="str">
            <v>Lucimora Viera</v>
          </cell>
          <cell r="B208" t="str">
            <v>CHILDMINDER</v>
          </cell>
        </row>
        <row r="209">
          <cell r="A209" t="str">
            <v>Malorees Junior</v>
          </cell>
          <cell r="B209" t="str">
            <v>BRENT maint</v>
          </cell>
        </row>
        <row r="210">
          <cell r="A210" t="str">
            <v>Malorees Junior</v>
          </cell>
          <cell r="B210" t="str">
            <v>BRENT maint</v>
          </cell>
        </row>
        <row r="211">
          <cell r="A211" t="str">
            <v>Manor School</v>
          </cell>
          <cell r="B211" t="str">
            <v>BRENT maint</v>
          </cell>
        </row>
        <row r="212">
          <cell r="A212" t="str">
            <v>Manshead Upper ASD Provision</v>
          </cell>
          <cell r="B212" t="str">
            <v>CEN.BEDFORDSHIRE maint</v>
          </cell>
        </row>
        <row r="213">
          <cell r="A213" t="str">
            <v>Mapledown</v>
          </cell>
          <cell r="B213" t="str">
            <v>BARNET</v>
          </cell>
        </row>
        <row r="214">
          <cell r="A214" t="str">
            <v>Maria Montessori School</v>
          </cell>
          <cell r="B214" t="str">
            <v>IND. IB</v>
          </cell>
        </row>
        <row r="215">
          <cell r="A215" t="str">
            <v>Maria Montessori School</v>
          </cell>
          <cell r="B215" t="str">
            <v>IND. IB</v>
          </cell>
        </row>
        <row r="216">
          <cell r="A216" t="str">
            <v>Mary Hare Grammar (Berks)</v>
          </cell>
          <cell r="B216" t="str">
            <v>NON-MAIN SS OB</v>
          </cell>
        </row>
        <row r="217">
          <cell r="A217" t="str">
            <v>Mathilda Marks Kennedy</v>
          </cell>
          <cell r="B217" t="str">
            <v>BARNET</v>
          </cell>
        </row>
        <row r="218">
          <cell r="A218" t="str">
            <v>Matryoshka Montessori school</v>
          </cell>
          <cell r="B218" t="str">
            <v>IND. IB</v>
          </cell>
        </row>
        <row r="219">
          <cell r="A219" t="str">
            <v>Meadowfield Community School</v>
          </cell>
          <cell r="B219" t="str">
            <v>KENT maint</v>
          </cell>
        </row>
        <row r="220">
          <cell r="A220" t="str">
            <v>Meadows School</v>
          </cell>
          <cell r="B220" t="str">
            <v>NON-MAIN SS OB</v>
          </cell>
        </row>
        <row r="221">
          <cell r="A221" t="str">
            <v>Meldreth House</v>
          </cell>
          <cell r="B221" t="str">
            <v>IND.Special Scl OB</v>
          </cell>
        </row>
        <row r="222">
          <cell r="A222" t="str">
            <v>Menorah Foundation</v>
          </cell>
          <cell r="B222" t="str">
            <v>BARNET</v>
          </cell>
        </row>
        <row r="223">
          <cell r="A223" t="str">
            <v>Menorah Grammar</v>
          </cell>
          <cell r="B223" t="str">
            <v>IND. IB</v>
          </cell>
        </row>
        <row r="224">
          <cell r="A224" t="str">
            <v>Menorah Grammar Darchei Noam Centre</v>
          </cell>
          <cell r="B224" t="str">
            <v>IND. IB</v>
          </cell>
        </row>
        <row r="225">
          <cell r="A225" t="str">
            <v>Menorah High School for Girls</v>
          </cell>
          <cell r="B225" t="str">
            <v>IND. OB</v>
          </cell>
        </row>
        <row r="226">
          <cell r="A226" t="str">
            <v>Menorah Primary</v>
          </cell>
          <cell r="B226" t="str">
            <v>IND. IB</v>
          </cell>
        </row>
        <row r="227">
          <cell r="A227" t="str">
            <v>Michael Sobell Sinai</v>
          </cell>
          <cell r="B227" t="str">
            <v>BRENT maint</v>
          </cell>
        </row>
        <row r="228">
          <cell r="A228" t="str">
            <v>Mill Hill (Ind) School</v>
          </cell>
          <cell r="B228" t="str">
            <v>IND. IB</v>
          </cell>
        </row>
        <row r="229">
          <cell r="A229" t="str">
            <v>Mill Hill High School</v>
          </cell>
          <cell r="B229" t="str">
            <v>BARNET</v>
          </cell>
        </row>
        <row r="230">
          <cell r="A230" t="str">
            <v>MillHill High School/Specialist Team</v>
          </cell>
          <cell r="B230" t="str">
            <v>BARNET</v>
          </cell>
        </row>
        <row r="231">
          <cell r="A231" t="str">
            <v>Mill Hill School Foundation</v>
          </cell>
          <cell r="B231" t="str">
            <v>IND. IB</v>
          </cell>
        </row>
        <row r="232">
          <cell r="A232" t="str">
            <v>Miscellaneous</v>
          </cell>
          <cell r="B232">
            <v>0</v>
          </cell>
        </row>
        <row r="233">
          <cell r="A233" t="str">
            <v>Mitchell Brook Primary</v>
          </cell>
          <cell r="B233" t="str">
            <v>BRENT maint</v>
          </cell>
        </row>
        <row r="234">
          <cell r="A234" t="str">
            <v>Moat School (The)</v>
          </cell>
          <cell r="B234" t="str">
            <v>IND.Special Scl OB</v>
          </cell>
        </row>
        <row r="235">
          <cell r="A235" t="str">
            <v>Modern Montessori Pre-School</v>
          </cell>
          <cell r="B235" t="str">
            <v>IND. IB</v>
          </cell>
        </row>
        <row r="236">
          <cell r="A236" t="str">
            <v>More House (Farnham)</v>
          </cell>
          <cell r="B236" t="str">
            <v>IND. OB</v>
          </cell>
        </row>
        <row r="237">
          <cell r="A237" t="str">
            <v>Moss Hall Infants</v>
          </cell>
          <cell r="B237" t="str">
            <v>BARNET</v>
          </cell>
        </row>
        <row r="238">
          <cell r="A238" t="str">
            <v>Moss Hall Juniors</v>
          </cell>
          <cell r="B238" t="str">
            <v>BARNET</v>
          </cell>
        </row>
        <row r="239">
          <cell r="A239" t="str">
            <v>Mount Grace</v>
          </cell>
          <cell r="B239" t="str">
            <v>HERTS acad</v>
          </cell>
        </row>
        <row r="240">
          <cell r="A240" t="str">
            <v>Mulberry Bush School</v>
          </cell>
          <cell r="B240" t="str">
            <v>NON-MAIN SS OB</v>
          </cell>
        </row>
        <row r="241">
          <cell r="A241" t="str">
            <v>Muntham House</v>
          </cell>
          <cell r="B241" t="str">
            <v>NON-MAIN SS OB</v>
          </cell>
        </row>
        <row r="242">
          <cell r="A242" t="str">
            <v>Muswell Hill Primary</v>
          </cell>
          <cell r="B242" t="str">
            <v>HARINGEY maint</v>
          </cell>
        </row>
        <row r="243">
          <cell r="A243" t="str">
            <v>Nancy Reuben Primary</v>
          </cell>
          <cell r="B243" t="str">
            <v>IND. IB</v>
          </cell>
        </row>
        <row r="244">
          <cell r="A244" t="str">
            <v>New Woodlands</v>
          </cell>
          <cell r="B244" t="str">
            <v>LEWISHAM maint</v>
          </cell>
        </row>
        <row r="245">
          <cell r="A245" t="str">
            <v>Newman Catholic College</v>
          </cell>
          <cell r="B245" t="str">
            <v>BRENT maint</v>
          </cell>
        </row>
        <row r="246">
          <cell r="A246" t="str">
            <v>Newstead Children's Centre</v>
          </cell>
          <cell r="B246" t="str">
            <v>BARNET</v>
          </cell>
        </row>
        <row r="247">
          <cell r="A247" t="str">
            <v>Nightingale Day Nursery</v>
          </cell>
          <cell r="B247" t="str">
            <v>IND. IB</v>
          </cell>
        </row>
        <row r="248">
          <cell r="A248" t="str">
            <v>Noam Primary School</v>
          </cell>
          <cell r="B248" t="str">
            <v>IND. IB</v>
          </cell>
        </row>
        <row r="249">
          <cell r="A249" t="str">
            <v>North West London Ind. Jewish Day</v>
          </cell>
          <cell r="B249" t="str">
            <v>BRENT maint</v>
          </cell>
        </row>
        <row r="250">
          <cell r="A250" t="str">
            <v>Northgate School</v>
          </cell>
          <cell r="B250" t="str">
            <v>BARNET</v>
          </cell>
        </row>
        <row r="251">
          <cell r="A251" t="str">
            <v>Northway School</v>
          </cell>
          <cell r="B251" t="str">
            <v>BARNET</v>
          </cell>
        </row>
        <row r="252">
          <cell r="A252" t="str">
            <v>Norwood Nursery</v>
          </cell>
          <cell r="B252" t="str">
            <v>IND. IB</v>
          </cell>
        </row>
        <row r="253">
          <cell r="A253" t="str">
            <v>Nower Hill High</v>
          </cell>
          <cell r="B253" t="str">
            <v>HARROW acad</v>
          </cell>
        </row>
        <row r="254">
          <cell r="A254" t="str">
            <v>NT&amp;AS</v>
          </cell>
          <cell r="B254" t="str">
            <v>IND. OB</v>
          </cell>
        </row>
        <row r="255">
          <cell r="A255" t="str">
            <v>NW London Ind. Special School (TCES)</v>
          </cell>
          <cell r="B255" t="str">
            <v>IND.Special Scl OB</v>
          </cell>
        </row>
        <row r="256">
          <cell r="A256" t="str">
            <v>Oak Hill Campus</v>
          </cell>
          <cell r="B256" t="str">
            <v>BARNET</v>
          </cell>
        </row>
        <row r="257">
          <cell r="A257" t="str">
            <v>Oak Hill Montessori / Livingstone</v>
          </cell>
          <cell r="B257" t="str">
            <v>IND. IB</v>
          </cell>
        </row>
        <row r="258">
          <cell r="A258" t="str">
            <v>Oak Lodge</v>
          </cell>
          <cell r="B258" t="str">
            <v>WANDSWORTH maint</v>
          </cell>
        </row>
        <row r="259">
          <cell r="A259" t="str">
            <v>Oak Lodge School</v>
          </cell>
          <cell r="B259" t="str">
            <v>BARNET</v>
          </cell>
        </row>
        <row r="260">
          <cell r="A260" t="str">
            <v>Oak Tree</v>
          </cell>
          <cell r="B260" t="str">
            <v>ENFIELD maint</v>
          </cell>
        </row>
        <row r="261">
          <cell r="A261" t="str">
            <v>Oakleigh School</v>
          </cell>
          <cell r="B261" t="str">
            <v>BARNET</v>
          </cell>
        </row>
        <row r="262">
          <cell r="A262" t="str">
            <v>Oaktree</v>
          </cell>
          <cell r="B262" t="str">
            <v>ENFIELD maint</v>
          </cell>
        </row>
        <row r="263">
          <cell r="A263" t="str">
            <v>Oakwood School (Barford Care)</v>
          </cell>
          <cell r="B263" t="str">
            <v>IND.Special Scl OB</v>
          </cell>
        </row>
        <row r="264">
          <cell r="A264" t="str">
            <v>Old Barn Pre-School</v>
          </cell>
          <cell r="B264" t="str">
            <v>IND. IB</v>
          </cell>
        </row>
        <row r="265">
          <cell r="A265" t="str">
            <v>Old Priory School (The)</v>
          </cell>
          <cell r="B265" t="str">
            <v>IND. OB</v>
          </cell>
        </row>
        <row r="266">
          <cell r="A266" t="str">
            <v>Our Lady of Lourdes</v>
          </cell>
          <cell r="B266" t="str">
            <v>ENFIELD maint</v>
          </cell>
        </row>
        <row r="267">
          <cell r="A267" t="str">
            <v>Our Lady of Muswell RC Primary</v>
          </cell>
          <cell r="B267" t="str">
            <v>HARINGEY maint</v>
          </cell>
        </row>
        <row r="268">
          <cell r="A268" t="str">
            <v>Pace Centre</v>
          </cell>
          <cell r="B268" t="str">
            <v>IND.Special Scl OB</v>
          </cell>
        </row>
        <row r="269">
          <cell r="A269" t="str">
            <v>Palmers Green High School</v>
          </cell>
          <cell r="B269" t="str">
            <v>IND. OB</v>
          </cell>
        </row>
        <row r="270">
          <cell r="A270" t="str">
            <v>Parayhouse</v>
          </cell>
          <cell r="B270" t="str">
            <v>NON-MAIN SS OB</v>
          </cell>
        </row>
        <row r="271">
          <cell r="A271" t="str">
            <v>Pardes House Grammar</v>
          </cell>
          <cell r="B271" t="str">
            <v>IND. IB</v>
          </cell>
        </row>
        <row r="272">
          <cell r="A272" t="str">
            <v>Pardes House Primary</v>
          </cell>
          <cell r="B272" t="str">
            <v>BARNET</v>
          </cell>
        </row>
        <row r="273">
          <cell r="A273" t="str">
            <v>Parkfield Children's Centre</v>
          </cell>
          <cell r="B273" t="str">
            <v>BARNET</v>
          </cell>
        </row>
        <row r="274">
          <cell r="A274" t="str">
            <v>Parkwood Hall (wkly boarding)</v>
          </cell>
          <cell r="B274" t="str">
            <v>KEN&amp;CHELSEA maint</v>
          </cell>
        </row>
        <row r="275">
          <cell r="A275" t="str">
            <v>Pathfield Primary</v>
          </cell>
          <cell r="B275" t="str">
            <v>DEVON maint</v>
          </cell>
        </row>
        <row r="276">
          <cell r="A276" t="str">
            <v>Penn School</v>
          </cell>
          <cell r="B276" t="str">
            <v>NON-MAIN SS OB</v>
          </cell>
        </row>
        <row r="277">
          <cell r="A277" t="str">
            <v>Philpots Manor School</v>
          </cell>
          <cell r="B277" t="str">
            <v>IND.Special Scl OB</v>
          </cell>
        </row>
        <row r="278">
          <cell r="A278" t="str">
            <v>Phoenix School</v>
          </cell>
          <cell r="B278" t="str">
            <v>PETERBOROUGH maint</v>
          </cell>
        </row>
        <row r="279">
          <cell r="A279" t="str">
            <v>Pield Heath House (Middx)</v>
          </cell>
          <cell r="B279" t="str">
            <v>NON-MAIN SS OB</v>
          </cell>
        </row>
        <row r="280">
          <cell r="A280" t="str">
            <v>Pinewood School</v>
          </cell>
          <cell r="B280" t="str">
            <v>HERTS maint</v>
          </cell>
        </row>
        <row r="281">
          <cell r="A281" t="str">
            <v>Portal House School</v>
          </cell>
          <cell r="B281" t="str">
            <v>KENT maint</v>
          </cell>
        </row>
        <row r="282">
          <cell r="A282" t="str">
            <v>Portland Place</v>
          </cell>
          <cell r="B282" t="str">
            <v>IND. OB</v>
          </cell>
        </row>
        <row r="283">
          <cell r="A283" t="str">
            <v>Preston Manor</v>
          </cell>
          <cell r="B283" t="str">
            <v>BRENT acad</v>
          </cell>
        </row>
        <row r="284">
          <cell r="A284" t="str">
            <v>Prior's Court School</v>
          </cell>
          <cell r="B284" t="str">
            <v>IND. OB</v>
          </cell>
        </row>
        <row r="285">
          <cell r="A285" t="str">
            <v>Purbeck View School</v>
          </cell>
          <cell r="B285" t="str">
            <v>IND.Special Scl OB</v>
          </cell>
        </row>
        <row r="286">
          <cell r="A286" t="str">
            <v>Puss in Boots Nursery (Southgate)</v>
          </cell>
          <cell r="B286" t="str">
            <v>IND. OB</v>
          </cell>
        </row>
        <row r="287">
          <cell r="A287" t="str">
            <v>QE Girls</v>
          </cell>
          <cell r="B287" t="str">
            <v>BARNET</v>
          </cell>
        </row>
        <row r="288">
          <cell r="A288" t="str">
            <v>Queens Park Community School</v>
          </cell>
          <cell r="B288" t="str">
            <v>BRENT acad</v>
          </cell>
        </row>
        <row r="289">
          <cell r="A289" t="str">
            <v>Queenswell Infant (SEN contingency funding)</v>
          </cell>
          <cell r="B289" t="str">
            <v>BARNET</v>
          </cell>
        </row>
        <row r="290">
          <cell r="A290" t="str">
            <v>Radlett Lodge (Day)</v>
          </cell>
          <cell r="B290" t="str">
            <v>IND.Special Scl OB</v>
          </cell>
        </row>
        <row r="291">
          <cell r="A291" t="str">
            <v>Radlett Lodge (Residential)</v>
          </cell>
          <cell r="B291" t="str">
            <v>IND.Special Scl OB</v>
          </cell>
        </row>
        <row r="292">
          <cell r="A292" t="str">
            <v>Red Balloon Learner Centre, Harrow</v>
          </cell>
          <cell r="B292" t="str">
            <v>IND. OB</v>
          </cell>
        </row>
        <row r="293">
          <cell r="A293" t="str">
            <v>Redbridge Tuition Service (PRU)</v>
          </cell>
          <cell r="B293" t="str">
            <v>REDBRIDGE maint</v>
          </cell>
        </row>
        <row r="294">
          <cell r="A294" t="str">
            <v>Rhodes Avenue Primary School</v>
          </cell>
          <cell r="B294" t="str">
            <v>HARINGEY maint</v>
          </cell>
        </row>
        <row r="295">
          <cell r="A295" t="str">
            <v>Rhodes Farm School</v>
          </cell>
          <cell r="B295" t="str">
            <v>IND. IB</v>
          </cell>
        </row>
        <row r="296">
          <cell r="A296" t="str">
            <v>Richard Cloudesley</v>
          </cell>
          <cell r="B296" t="str">
            <v>ISLINGTON maint</v>
          </cell>
        </row>
        <row r="297">
          <cell r="A297" t="str">
            <v>Robinsfield Infant School</v>
          </cell>
          <cell r="B297" t="str">
            <v>WESTMINSTER maint</v>
          </cell>
        </row>
        <row r="298">
          <cell r="A298" t="str">
            <v>Rosary RC Primary</v>
          </cell>
          <cell r="B298" t="str">
            <v>CAMDEN maint</v>
          </cell>
        </row>
        <row r="299">
          <cell r="A299" t="str">
            <v>Rosh Pinah School</v>
          </cell>
          <cell r="B299" t="str">
            <v>BARNET</v>
          </cell>
        </row>
        <row r="300">
          <cell r="A300" t="str">
            <v>Rushkin Mill</v>
          </cell>
          <cell r="B300" t="str">
            <v>IND. OB</v>
          </cell>
        </row>
        <row r="301">
          <cell r="A301" t="str">
            <v>Ryl Sch, Deaf Child, Westgate College</v>
          </cell>
          <cell r="B301" t="str">
            <v>NON-MAIN SS OB</v>
          </cell>
        </row>
        <row r="302">
          <cell r="A302" t="str">
            <v>Salcombe Preparatory School</v>
          </cell>
          <cell r="B302" t="str">
            <v>IND. IB</v>
          </cell>
        </row>
        <row r="303">
          <cell r="A303" t="str">
            <v>Salcombe Preparotory</v>
          </cell>
          <cell r="B303" t="str">
            <v>IND. IB</v>
          </cell>
        </row>
        <row r="304">
          <cell r="A304" t="str">
            <v>Salcombe Preparotory School</v>
          </cell>
          <cell r="B304" t="str">
            <v>IND. OB</v>
          </cell>
        </row>
        <row r="305">
          <cell r="A305" t="str">
            <v>Salvatorian RC College</v>
          </cell>
          <cell r="B305" t="str">
            <v>HARROW acad</v>
          </cell>
        </row>
        <row r="306">
          <cell r="A306" t="str">
            <v>Sandringham School</v>
          </cell>
          <cell r="B306" t="str">
            <v>HERTS acad</v>
          </cell>
        </row>
        <row r="307">
          <cell r="A307" t="str">
            <v>Sandwich Technology School</v>
          </cell>
          <cell r="B307" t="str">
            <v>KENT acad</v>
          </cell>
        </row>
        <row r="308">
          <cell r="A308" t="str">
            <v>Shaftesbury High School</v>
          </cell>
          <cell r="B308" t="str">
            <v>HARROW maint</v>
          </cell>
        </row>
        <row r="309">
          <cell r="A309" t="str">
            <v>Side by Side Kids School</v>
          </cell>
          <cell r="B309" t="str">
            <v>IND. OB</v>
          </cell>
        </row>
        <row r="310">
          <cell r="A310" t="str">
            <v>Southgate School</v>
          </cell>
          <cell r="B310" t="str">
            <v>ENFIELD maint</v>
          </cell>
        </row>
        <row r="311">
          <cell r="A311" t="str">
            <v>Southover Partnership School</v>
          </cell>
          <cell r="B311" t="str">
            <v>IND.Special Scl IB</v>
          </cell>
        </row>
        <row r="312">
          <cell r="A312" t="str">
            <v>Speech, Language and Hearing Centre</v>
          </cell>
          <cell r="B312" t="str">
            <v>IND. OB</v>
          </cell>
        </row>
        <row r="313">
          <cell r="A313" t="str">
            <v>Spring Hill School</v>
          </cell>
          <cell r="B313" t="str">
            <v>NON-MAIN SS OB</v>
          </cell>
        </row>
        <row r="314">
          <cell r="A314" t="str">
            <v>St Andrew's Southgate Primary (CE)</v>
          </cell>
          <cell r="B314" t="str">
            <v>ENFIELD maint</v>
          </cell>
        </row>
        <row r="315">
          <cell r="A315" t="str">
            <v>St Christopher School</v>
          </cell>
          <cell r="B315" t="str">
            <v>IND. OB</v>
          </cell>
        </row>
        <row r="316">
          <cell r="A316" t="str">
            <v>St Columbas College</v>
          </cell>
          <cell r="B316" t="str">
            <v>IND. OB</v>
          </cell>
        </row>
        <row r="317">
          <cell r="A317" t="str">
            <v>St David's College</v>
          </cell>
          <cell r="B317" t="str">
            <v>Welsh estab.</v>
          </cell>
        </row>
        <row r="318">
          <cell r="A318" t="str">
            <v>St Elizabeth's Centre</v>
          </cell>
          <cell r="B318" t="str">
            <v>NON-MAIN SS OB</v>
          </cell>
        </row>
        <row r="319">
          <cell r="A319" t="str">
            <v>St Eugene de Mazenod RC Primary</v>
          </cell>
          <cell r="B319" t="str">
            <v>CAMDEN maint</v>
          </cell>
        </row>
        <row r="320">
          <cell r="A320" t="str">
            <v>St Gilda's Catholic Junior</v>
          </cell>
          <cell r="B320" t="str">
            <v>HARINGEY maint</v>
          </cell>
        </row>
        <row r="321">
          <cell r="A321" t="str">
            <v>St Gregory Catholic Science College</v>
          </cell>
          <cell r="B321" t="str">
            <v>BRENT maint</v>
          </cell>
        </row>
        <row r="322">
          <cell r="A322" t="str">
            <v>St Ignatius  College</v>
          </cell>
          <cell r="B322" t="str">
            <v>ENFIELD maint</v>
          </cell>
        </row>
        <row r="323">
          <cell r="A323" t="str">
            <v>St John's N20</v>
          </cell>
          <cell r="B323" t="str">
            <v>BARNET</v>
          </cell>
        </row>
        <row r="324">
          <cell r="A324" t="str">
            <v>St John's School, Whetstone</v>
          </cell>
          <cell r="B324" t="str">
            <v>IND. IB</v>
          </cell>
        </row>
        <row r="325">
          <cell r="A325" t="str">
            <v>St Joseph's RC Primary School</v>
          </cell>
          <cell r="B325" t="str">
            <v>BRENT maint</v>
          </cell>
        </row>
        <row r="326">
          <cell r="A326" t="str">
            <v>St Lukes School</v>
          </cell>
          <cell r="B326" t="str">
            <v>HERTS maint</v>
          </cell>
        </row>
        <row r="327">
          <cell r="A327" t="str">
            <v>St Martha's School</v>
          </cell>
          <cell r="B327" t="str">
            <v>IND. IB</v>
          </cell>
        </row>
        <row r="328">
          <cell r="A328" t="str">
            <v>St Martin's School</v>
          </cell>
          <cell r="B328" t="str">
            <v>IND. IB</v>
          </cell>
        </row>
        <row r="329">
          <cell r="A329" t="str">
            <v>St Mary's High School</v>
          </cell>
          <cell r="B329" t="str">
            <v>BARNET</v>
          </cell>
        </row>
        <row r="330">
          <cell r="A330" t="str">
            <v>St Mary's Wrestwood Children's Trust</v>
          </cell>
          <cell r="B330" t="str">
            <v>NON-MAIN SS OB</v>
          </cell>
        </row>
        <row r="331">
          <cell r="A331" t="str">
            <v>St Michael's CofE Primary</v>
          </cell>
          <cell r="B331" t="str">
            <v>HARINGEY acad</v>
          </cell>
        </row>
        <row r="332">
          <cell r="A332" t="str">
            <v>St Nicholas School</v>
          </cell>
          <cell r="B332" t="str">
            <v>SOUTHEND maint</v>
          </cell>
        </row>
        <row r="333">
          <cell r="A333" t="str">
            <v>St Peter In chains Infant School</v>
          </cell>
          <cell r="B333" t="str">
            <v>HARINGEY maint</v>
          </cell>
        </row>
        <row r="334">
          <cell r="A334" t="str">
            <v>St Swithin Wells School</v>
          </cell>
          <cell r="B334" t="str">
            <v>HARROW maint</v>
          </cell>
        </row>
        <row r="335">
          <cell r="A335" t="str">
            <v>St. George's CofE Foundation School</v>
          </cell>
          <cell r="B335" t="str">
            <v>KENT acad</v>
          </cell>
        </row>
        <row r="336">
          <cell r="A336" t="str">
            <v>St. Luke's</v>
          </cell>
          <cell r="B336" t="str">
            <v>HERTS maint</v>
          </cell>
        </row>
        <row r="337">
          <cell r="A337" t="str">
            <v>St. Martin's School (Mill Hill)</v>
          </cell>
          <cell r="B337" t="str">
            <v>IND. IB</v>
          </cell>
        </row>
        <row r="338">
          <cell r="A338" t="str">
            <v>St. Mary's (NW3)</v>
          </cell>
          <cell r="B338" t="str">
            <v>IND. IB</v>
          </cell>
        </row>
        <row r="339">
          <cell r="A339" t="str">
            <v>St. Robert Southwell RC Primary</v>
          </cell>
          <cell r="B339" t="str">
            <v>BRENT maint</v>
          </cell>
        </row>
        <row r="340">
          <cell r="A340" t="str">
            <v>Stanbridge Earls School</v>
          </cell>
          <cell r="B340" t="str">
            <v>IND. OB</v>
          </cell>
        </row>
        <row r="341">
          <cell r="A341" t="str">
            <v>Step by Step Montessori</v>
          </cell>
          <cell r="B341" t="str">
            <v>IND. IB</v>
          </cell>
        </row>
        <row r="342">
          <cell r="A342" t="str">
            <v>Stormont House</v>
          </cell>
          <cell r="B342" t="str">
            <v>HACKNEY maint</v>
          </cell>
        </row>
        <row r="343">
          <cell r="A343" t="str">
            <v>Stormont School</v>
          </cell>
          <cell r="B343" t="str">
            <v>IND. OB</v>
          </cell>
        </row>
        <row r="344">
          <cell r="A344" t="str">
            <v>Streetfield Middle School</v>
          </cell>
          <cell r="B344" t="str">
            <v>CEN.BEDFORDSHIRE maint</v>
          </cell>
        </row>
        <row r="345">
          <cell r="A345" t="str">
            <v>Subscription to NASS x 2</v>
          </cell>
          <cell r="B345" t="str">
            <v>Subscription</v>
          </cell>
        </row>
        <row r="346">
          <cell r="A346" t="str">
            <v>Summerside Primary School</v>
          </cell>
          <cell r="B346" t="str">
            <v>BARNET</v>
          </cell>
        </row>
        <row r="347">
          <cell r="A347" t="str">
            <v>Sunfield School, Worcestershire</v>
          </cell>
          <cell r="B347" t="str">
            <v>IND. OB</v>
          </cell>
        </row>
        <row r="348">
          <cell r="A348" t="str">
            <v>Swalcliffe Park School</v>
          </cell>
          <cell r="B348" t="str">
            <v>NON-MAIN SS OB</v>
          </cell>
        </row>
        <row r="349">
          <cell r="A349" t="str">
            <v>Swiss Cottage</v>
          </cell>
          <cell r="B349" t="str">
            <v>CAMDEN maint</v>
          </cell>
        </row>
        <row r="350">
          <cell r="A350" t="str">
            <v>Sybil Elgar</v>
          </cell>
          <cell r="B350" t="str">
            <v>IND.Special Scl OB</v>
          </cell>
        </row>
        <row r="351">
          <cell r="A351" t="str">
            <v>Tadley Horizon</v>
          </cell>
          <cell r="B351" t="str">
            <v>IND.Special Scl OB</v>
          </cell>
        </row>
        <row r="352">
          <cell r="A352" t="str">
            <v>Talmud Torah Tiferes</v>
          </cell>
          <cell r="B352" t="str">
            <v>IND. IB</v>
          </cell>
        </row>
        <row r="353">
          <cell r="A353" t="str">
            <v>Talmud Torah Tiferes Schlomo</v>
          </cell>
          <cell r="B353" t="str">
            <v>IND. IB</v>
          </cell>
        </row>
        <row r="354">
          <cell r="A354" t="str">
            <v>TCES (East London)</v>
          </cell>
          <cell r="B354" t="str">
            <v>IND.Special Scl OB</v>
          </cell>
        </row>
        <row r="355">
          <cell r="A355" t="str">
            <v>TCES (NW London)</v>
          </cell>
          <cell r="B355" t="str">
            <v>IND.Special Scl OB</v>
          </cell>
        </row>
        <row r="356">
          <cell r="A356" t="str">
            <v>Tendering Technology College</v>
          </cell>
          <cell r="B356" t="str">
            <v>ESSEX acad</v>
          </cell>
        </row>
        <row r="357">
          <cell r="A357" t="str">
            <v>Tetherdown Primary</v>
          </cell>
          <cell r="B357" t="str">
            <v>HARINGEY maint</v>
          </cell>
        </row>
        <row r="358">
          <cell r="A358" t="str">
            <v>The Bridge School</v>
          </cell>
          <cell r="B358" t="str">
            <v>ISLINGTON maint</v>
          </cell>
        </row>
        <row r="359">
          <cell r="A359" t="str">
            <v>The Broom School (previously Moselle)</v>
          </cell>
          <cell r="B359" t="str">
            <v>HARINGEY maint</v>
          </cell>
        </row>
        <row r="360">
          <cell r="A360" t="str">
            <v>The Camden School for Girls</v>
          </cell>
          <cell r="B360" t="str">
            <v>CAMDEN maint</v>
          </cell>
        </row>
        <row r="361">
          <cell r="A361" t="str">
            <v>The Cornwallis Academy</v>
          </cell>
          <cell r="B361" t="str">
            <v>KENT maint</v>
          </cell>
        </row>
        <row r="362">
          <cell r="A362" t="str">
            <v>The Forum School</v>
          </cell>
          <cell r="B362" t="str">
            <v>IND.Special Scl OB</v>
          </cell>
        </row>
        <row r="363">
          <cell r="A363" t="str">
            <v>The Holmewood School</v>
          </cell>
          <cell r="B363" t="str">
            <v>IND.Special Scl IB</v>
          </cell>
        </row>
        <row r="364">
          <cell r="A364" t="str">
            <v>The Hyde Children's Centre</v>
          </cell>
          <cell r="B364" t="str">
            <v>BARNET</v>
          </cell>
        </row>
        <row r="365">
          <cell r="A365" t="str">
            <v>The Mount School (Mill Hill)</v>
          </cell>
          <cell r="B365" t="str">
            <v>IND. IB</v>
          </cell>
        </row>
        <row r="366">
          <cell r="A366" t="str">
            <v>The North London International School</v>
          </cell>
          <cell r="B366" t="str">
            <v>IND. IB</v>
          </cell>
        </row>
        <row r="367">
          <cell r="A367" t="str">
            <v>The Old School, Folkestone</v>
          </cell>
          <cell r="B367" t="str">
            <v>IND.Special Scl OB</v>
          </cell>
        </row>
        <row r="368">
          <cell r="A368" t="str">
            <v>The Ravenscroft School</v>
          </cell>
          <cell r="B368" t="str">
            <v>BARNET</v>
          </cell>
        </row>
        <row r="369">
          <cell r="A369" t="str">
            <v>The Ryes College</v>
          </cell>
          <cell r="B369" t="str">
            <v>IND.Special Scl OB</v>
          </cell>
        </row>
        <row r="370">
          <cell r="A370" t="str">
            <v>The Serendipity Centre</v>
          </cell>
          <cell r="B370" t="str">
            <v>IND.Special Scl OB</v>
          </cell>
        </row>
        <row r="371">
          <cell r="A371" t="str">
            <v>The Tavistock Children's Day Unit, - Block Contract £229,772</v>
          </cell>
          <cell r="B371">
            <v>0</v>
          </cell>
        </row>
        <row r="372">
          <cell r="A372" t="str">
            <v>The Tavistock Children's Day Unit, Gloucester Hse</v>
          </cell>
          <cell r="B372" t="str">
            <v>IND.Special Scl OB</v>
          </cell>
        </row>
        <row r="373">
          <cell r="A373" t="str">
            <v>The Village</v>
          </cell>
          <cell r="B373" t="str">
            <v>BRENT maint</v>
          </cell>
        </row>
        <row r="374">
          <cell r="A374" t="str">
            <v>The Willow Primary</v>
          </cell>
          <cell r="B374" t="str">
            <v>HARINGEY maint</v>
          </cell>
        </row>
        <row r="375">
          <cell r="A375" t="str">
            <v>The Wing Centre, Bournemouth</v>
          </cell>
          <cell r="B375" t="str">
            <v>Special College</v>
          </cell>
        </row>
        <row r="376">
          <cell r="A376" t="str">
            <v>3 Dimensions School</v>
          </cell>
          <cell r="B376" t="str">
            <v>IND.Special Scl OB</v>
          </cell>
        </row>
        <row r="377">
          <cell r="A377" t="str">
            <v>Torah Vodaas School</v>
          </cell>
          <cell r="B377" t="str">
            <v>IND. IB</v>
          </cell>
        </row>
        <row r="378">
          <cell r="A378" t="str">
            <v>Torriano Primary (Language Unit)</v>
          </cell>
          <cell r="B378" t="str">
            <v>CAMDEN maint</v>
          </cell>
        </row>
        <row r="379">
          <cell r="A379" t="str">
            <v>Totteridge Academy</v>
          </cell>
          <cell r="B379" t="str">
            <v>BARNET</v>
          </cell>
        </row>
        <row r="380">
          <cell r="A380" t="str">
            <v>TreeHouse (Primary)</v>
          </cell>
          <cell r="B380" t="str">
            <v>NON-MAIN SS OB</v>
          </cell>
        </row>
        <row r="381">
          <cell r="A381" t="str">
            <v>TreeHouse (Secondary)</v>
          </cell>
          <cell r="B381" t="str">
            <v>NON-MAIN SS OB</v>
          </cell>
        </row>
        <row r="382">
          <cell r="A382" t="str">
            <v>Treloar School</v>
          </cell>
          <cell r="B382" t="str">
            <v>NON-MAIN SS OB</v>
          </cell>
        </row>
        <row r="383">
          <cell r="A383" t="str">
            <v>Trinity CofE High School</v>
          </cell>
          <cell r="B383" t="str">
            <v>MANCHESTER acad</v>
          </cell>
        </row>
        <row r="384">
          <cell r="A384" t="str">
            <v>TUFFKID</v>
          </cell>
          <cell r="B384" t="str">
            <v>IND. IB</v>
          </cell>
        </row>
        <row r="385">
          <cell r="A385" t="str">
            <v>Tuffnell Park Primary</v>
          </cell>
          <cell r="B385" t="str">
            <v>ISLINGTON maint</v>
          </cell>
        </row>
        <row r="386">
          <cell r="A386" t="str">
            <v>Tumblewood</v>
          </cell>
          <cell r="B386" t="str">
            <v>IND.Special Scl OB</v>
          </cell>
        </row>
        <row r="387">
          <cell r="A387" t="str">
            <v>Turnstone Shouse</v>
          </cell>
          <cell r="B387" t="str">
            <v>IND. OB</v>
          </cell>
        </row>
        <row r="388">
          <cell r="A388" t="str">
            <v>Underhill Children's Centre</v>
          </cell>
          <cell r="B388" t="str">
            <v>BARNET</v>
          </cell>
        </row>
        <row r="389">
          <cell r="A389" t="str">
            <v>Underhill Jnr/Specialist Team</v>
          </cell>
          <cell r="B389" t="str">
            <v>BARNET</v>
          </cell>
        </row>
        <row r="390">
          <cell r="A390" t="str">
            <v>Underley Garden School</v>
          </cell>
          <cell r="B390" t="str">
            <v>IND.Special Scl OB</v>
          </cell>
        </row>
        <row r="391">
          <cell r="A391" t="str">
            <v>Valley Pre-School</v>
          </cell>
          <cell r="B391" t="str">
            <v>IND. IB</v>
          </cell>
        </row>
        <row r="392">
          <cell r="A392" t="str">
            <v>WAC performing ARTs &amp; Music College</v>
          </cell>
          <cell r="B392" t="str">
            <v>BARNET</v>
          </cell>
        </row>
        <row r="393">
          <cell r="A393" t="str">
            <v>Watling View</v>
          </cell>
          <cell r="B393" t="str">
            <v>HERTS maint</v>
          </cell>
        </row>
        <row r="394">
          <cell r="A394" t="str">
            <v>Waverely</v>
          </cell>
          <cell r="B394" t="str">
            <v>ENFIELD maint</v>
          </cell>
        </row>
        <row r="395">
          <cell r="A395" t="str">
            <v>Wellgrove School</v>
          </cell>
          <cell r="B395" t="str">
            <v>IND. IB</v>
          </cell>
        </row>
        <row r="396">
          <cell r="A396" t="str">
            <v>West Lea</v>
          </cell>
          <cell r="B396" t="str">
            <v>ENFIELD maint</v>
          </cell>
        </row>
        <row r="397">
          <cell r="A397" t="str">
            <v>White Spire</v>
          </cell>
          <cell r="B397" t="str">
            <v>MILTONKEYNES maint</v>
          </cell>
        </row>
        <row r="398">
          <cell r="A398" t="str">
            <v>Whitefield</v>
          </cell>
          <cell r="B398" t="str">
            <v>WALTHAMFOREST acad</v>
          </cell>
        </row>
        <row r="399">
          <cell r="A399" t="str">
            <v>William C. Harvey</v>
          </cell>
          <cell r="B399" t="str">
            <v>HARINGEY maint</v>
          </cell>
        </row>
        <row r="400">
          <cell r="A400" t="str">
            <v>Windermere Primary</v>
          </cell>
          <cell r="B400" t="str">
            <v>HERTS maint</v>
          </cell>
        </row>
        <row r="401">
          <cell r="A401" t="str">
            <v>Wingfield Children's Centre</v>
          </cell>
          <cell r="B401" t="str">
            <v>BARNET</v>
          </cell>
        </row>
        <row r="402">
          <cell r="A402" t="str">
            <v>Wisdom Primary &amp; Secondary School</v>
          </cell>
          <cell r="B402" t="str">
            <v>IND. OB</v>
          </cell>
        </row>
        <row r="403">
          <cell r="A403" t="str">
            <v>Wolfson Hillel Primary</v>
          </cell>
          <cell r="B403" t="str">
            <v>ENFIELD maint</v>
          </cell>
        </row>
        <row r="404">
          <cell r="A404" t="str">
            <v>Woodcroft School</v>
          </cell>
          <cell r="B404" t="str">
            <v>IND.Special Scl OB</v>
          </cell>
        </row>
        <row r="405">
          <cell r="A405" t="str">
            <v>Woodfield School</v>
          </cell>
          <cell r="B405" t="str">
            <v>BRENT acad</v>
          </cell>
        </row>
        <row r="406">
          <cell r="A406" t="str">
            <v>Woodridge School</v>
          </cell>
          <cell r="B406" t="str">
            <v>BARNET</v>
          </cell>
        </row>
        <row r="407">
          <cell r="A407" t="str">
            <v>Woodside High School</v>
          </cell>
          <cell r="B407" t="str">
            <v>HARINGEY acad</v>
          </cell>
        </row>
        <row r="408">
          <cell r="A408" t="str">
            <v>Wren Academy</v>
          </cell>
          <cell r="B408" t="str">
            <v>IND. IB</v>
          </cell>
        </row>
        <row r="409">
          <cell r="A409" t="str">
            <v>Wren Academy</v>
          </cell>
          <cell r="B409" t="str">
            <v>INDEPENDENT</v>
          </cell>
        </row>
        <row r="410">
          <cell r="A410" t="str">
            <v>WrireTrak</v>
          </cell>
          <cell r="B410" t="str">
            <v>IND. OB</v>
          </cell>
        </row>
        <row r="411">
          <cell r="A411" t="str">
            <v>Yaveneh College</v>
          </cell>
          <cell r="B411" t="str">
            <v>HERTS acad</v>
          </cell>
        </row>
      </sheetData>
      <sheetData sheetId="16"/>
      <sheetData sheetId="17"/>
      <sheetData sheetId="18"/>
      <sheetData sheetId="19"/>
      <sheetData sheetId="20"/>
      <sheetData sheetId="21"/>
      <sheetData sheetId="22"/>
      <sheetData sheetId="23"/>
      <sheetData sheetId="24"/>
      <sheetData sheetId="25"/>
      <sheetData sheetId="26"/>
      <sheetData sheetId="27">
        <row r="3">
          <cell r="A3">
            <v>279693</v>
          </cell>
        </row>
      </sheetData>
      <sheetData sheetId="28">
        <row r="2">
          <cell r="A2" t="str">
            <v>345 Pre-School Thetherdown</v>
          </cell>
        </row>
      </sheetData>
      <sheetData sheetId="29"/>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_ModelInformation&amp;TabIndex"/>
      <sheetName val="Details"/>
      <sheetName val="Output_NFFLALevelCombinedTable"/>
      <sheetName val="UserInput"/>
      <sheetName val="Output_Summary"/>
      <sheetName val="OutputLATable_TotalCentralBlock"/>
      <sheetName val="OutputLATable_Ongoing"/>
      <sheetName val="OutputLAChart_TotalCentralBlock"/>
      <sheetName val="OutputLAChart_Ongoing"/>
      <sheetName val="Calculations_NFF_Funding"/>
      <sheetName val="Calculations_CSSB_NFF_Rate"/>
      <sheetName val="Calculations_CSSB_Baseline"/>
      <sheetName val="CR_SplitBetweenOngoing&amp;Historic"/>
      <sheetName val="Calc_FSM"/>
      <sheetName val="Regions"/>
      <sheetName val="Pupil Numbers"/>
      <sheetName val="ACA"/>
      <sheetName val="Data_s251Budget_201617"/>
      <sheetName val="2016-17 ESG Allocations"/>
      <sheetName val="201617_BaselinesData"/>
      <sheetName val="Pupil_Numbers"/>
      <sheetName val="2016-17_ESG_Allocation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sheetData sheetId="2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ORGS1011 (2)"/>
      <sheetName val="sftrans1011Sep10"/>
      <sheetName val="Trans@1.10"/>
      <sheetName val="Monitor"/>
      <sheetName val="trans"/>
      <sheetName val="mfg (2)"/>
      <sheetName val="OneSchoolSF"/>
      <sheetName val="OneSchool"/>
      <sheetName val="transaction data 1011"/>
      <sheetName val="Trans@4.10"/>
      <sheetName val="sftrans1011"/>
      <sheetName val="abatement"/>
      <sheetName val="EMFG"/>
      <sheetName val="NMFG"/>
      <sheetName val="mfg"/>
      <sheetName val="Report"/>
      <sheetName val="OrigAbate"/>
      <sheetName val="sf trans 0910"/>
      <sheetName val="transaction data 0910"/>
      <sheetName val="News"/>
      <sheetName val="All Schools"/>
      <sheetName val="Pupils"/>
      <sheetName val="AEN Report"/>
      <sheetName val="Special"/>
      <sheetName val="Resource Provision"/>
      <sheetName val="MFGreport"/>
      <sheetName val="ProvAlloc1011"/>
      <sheetName val="EMAG"/>
      <sheetName val="REORGS1011"/>
      <sheetName val="rates"/>
      <sheetName val="data"/>
      <sheetName val="rpsen"/>
      <sheetName val="specialsen"/>
      <sheetName val="AEN"/>
      <sheetName val="Primary aen"/>
      <sheetName val="Census Jan 09"/>
      <sheetName val="Pupils 2010"/>
      <sheetName val="Pupil data"/>
      <sheetName val="SFOalloc0910"/>
      <sheetName val="REORGS1011_(2)"/>
      <sheetName val="Trans@1_10"/>
      <sheetName val="mfg_(2)"/>
      <sheetName val="transaction_data_1011"/>
      <sheetName val="Trans@4_10"/>
      <sheetName val="sf_trans_0910"/>
      <sheetName val="transaction_data_0910"/>
      <sheetName val="All_Schools"/>
      <sheetName val="AEN_Report"/>
      <sheetName val="Resource_Provision"/>
      <sheetName val="Primary_aen"/>
      <sheetName val="Census_Jan_09"/>
      <sheetName val="Pupils_2010"/>
      <sheetName val="Pupil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Exclus 2013-14"/>
      <sheetName val="Sheet1"/>
      <sheetName val="Total_Exclus_2013-14"/>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13-14 submitted Baselines"/>
      <sheetName val="Inputs &amp; Adjustments"/>
      <sheetName val="Local Factors"/>
      <sheetName val="Adjusted Factors"/>
      <sheetName val="13-14 final baselines"/>
      <sheetName val="Commentary"/>
      <sheetName val="Proforma"/>
      <sheetName val="De Delegation"/>
      <sheetName val="New ISB"/>
      <sheetName val="School level SB"/>
      <sheetName val="Recoupment"/>
      <sheetName val="Validation sheet"/>
      <sheetName val="15-16 submitted baselines"/>
      <sheetName val="15-16 submitted HN places"/>
      <sheetName val="15-16 final baselines"/>
      <sheetName val="NNDR @ 10.8.15"/>
      <sheetName val="SplitSite @ 10.8.15"/>
      <sheetName val="Front_Sheet"/>
      <sheetName val="Schools_Block_Data"/>
      <sheetName val="13-14_submitted_Baselines"/>
      <sheetName val="Inputs_&amp;_Adjustments"/>
      <sheetName val="Local_Factors"/>
      <sheetName val="Adjusted_Factors"/>
      <sheetName val="13-14_final_baselines"/>
      <sheetName val="De_Delegation"/>
      <sheetName val="New_ISB"/>
      <sheetName val="School_level_SB"/>
      <sheetName val="Validation_sheet"/>
      <sheetName val="15-16_submitted_baselines"/>
      <sheetName val="15-16_submitted_HN_places"/>
      <sheetName val="15-16_final_baselines"/>
      <sheetName val="NNDR_@_10_8_15"/>
      <sheetName val="SplitSite_@_10_8_15"/>
    </sheetNames>
    <sheetDataSet>
      <sheetData sheetId="0" refreshError="1"/>
      <sheetData sheetId="1" refreshError="1"/>
      <sheetData sheetId="2" refreshError="1"/>
      <sheetData sheetId="3" refreshError="1"/>
      <sheetData sheetId="4" refreshError="1"/>
      <sheetData sheetId="5" refreshError="1">
        <row r="5">
          <cell r="AA5">
            <v>0</v>
          </cell>
        </row>
      </sheetData>
      <sheetData sheetId="6">
        <row r="6">
          <cell r="D6">
            <v>3022002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ow r="6">
          <cell r="BN6" t="str">
            <v>School closed prior to 1 April 2014</v>
          </cell>
        </row>
      </sheetData>
      <sheetData sheetId="24">
        <row r="5">
          <cell r="AA5">
            <v>0</v>
          </cell>
        </row>
      </sheetData>
      <sheetData sheetId="25">
        <row r="6">
          <cell r="D6">
            <v>3022002</v>
          </cell>
        </row>
      </sheetData>
      <sheetData sheetId="26"/>
      <sheetData sheetId="27">
        <row r="8">
          <cell r="V8">
            <v>6.32</v>
          </cell>
        </row>
      </sheetData>
      <sheetData sheetId="28">
        <row r="5">
          <cell r="AC5">
            <v>13196333.333333332</v>
          </cell>
        </row>
      </sheetData>
      <sheetData sheetId="29"/>
      <sheetData sheetId="30"/>
      <sheetData sheetId="31"/>
      <sheetData sheetId="32"/>
      <sheetData sheetId="33"/>
      <sheetData sheetId="34"/>
      <sheetData sheetId="3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or"/>
      <sheetName val="Numbers"/>
      <sheetName val="Rates"/>
    </sheetNames>
    <sheetDataSet>
      <sheetData sheetId="0" refreshError="1"/>
      <sheetData sheetId="1"/>
      <sheetData sheetId="2" refreshError="1">
        <row r="4">
          <cell r="A4" t="str">
            <v>Nursery</v>
          </cell>
        </row>
        <row r="5">
          <cell r="A5" t="str">
            <v>Primary</v>
          </cell>
        </row>
        <row r="6">
          <cell r="A6" t="str">
            <v>Secondary</v>
          </cell>
        </row>
        <row r="7">
          <cell r="A7" t="str">
            <v>Special</v>
          </cell>
        </row>
        <row r="8">
          <cell r="A8" t="str">
            <v>PRU</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6Students"/>
      <sheetName val="Oct14Census"/>
      <sheetName val="EOY1314"/>
      <sheetName val="NewISB"/>
      <sheetName val="NotSEN"/>
      <sheetName val="Statementsrevised"/>
      <sheetName val="HNList"/>
      <sheetName val="Statements"/>
      <sheetName val="HNtop-ups"/>
      <sheetName val="HNTopUps"/>
      <sheetName val="HNPlaces"/>
      <sheetName val="UIFSM"/>
      <sheetName val="NEWS"/>
      <sheetName val="Home"/>
      <sheetName val="SchoolReport"/>
      <sheetName val="Post16"/>
      <sheetName val="Post16 Original"/>
      <sheetName val="EarlyYears"/>
      <sheetName val="MFG"/>
      <sheetName val="Pupils"/>
      <sheetName val="StmtTopUps"/>
      <sheetName val="OtherTopups"/>
      <sheetName val="StmtTopUpsOrig"/>
      <sheetName val="HighNeeds"/>
      <sheetName val="HighNeeds Orig"/>
      <sheetName val="Infant FSM"/>
      <sheetName val="NotionalSEN"/>
      <sheetName val="Payments"/>
      <sheetName val="EarlyYearstrans"/>
      <sheetName val="EYFlexDep"/>
      <sheetName val="Early Years Data"/>
      <sheetName val="AllSchools"/>
      <sheetName val="BarnetReport"/>
      <sheetName val="Opt B C D Apr-Jul 2014-15"/>
      <sheetName val="NNDR 13-14"/>
      <sheetName val="Medical"/>
      <sheetName val="Osidge"/>
      <sheetName val="DFC @ 12.06.14"/>
      <sheetName val="NNDR @ 12.06.14"/>
      <sheetName val="Post-16 Allocation 2014-15"/>
      <sheetName val="Barnet PPLAC"/>
      <sheetName val="AllHNTopups"/>
      <sheetName val="HNLines"/>
      <sheetName val="ADDPayments"/>
      <sheetName val="STMT13-14"/>
      <sheetName val="TRANS"/>
      <sheetName val="Rates"/>
      <sheetName val="Schools"/>
      <sheetName val="Autopayments"/>
      <sheetName val="Data"/>
      <sheetName val="CostCentres"/>
      <sheetName val="Colour Key, Tab Status &amp; Errors"/>
      <sheetName val="TRANSPivotadhoc"/>
      <sheetName val="Month4"/>
      <sheetName val="Month3"/>
      <sheetName val="SchAccJune"/>
      <sheetName val="Procedure"/>
      <sheetName val="Original BarnetReport "/>
      <sheetName val="Expansions"/>
      <sheetName val="EY SUMAADJ"/>
      <sheetName val="OtherTopups Original"/>
      <sheetName val="Sheet7"/>
      <sheetName val="SchAccJul"/>
      <sheetName val="OptBCDbyCC"/>
      <sheetName val="OptionsBCD"/>
      <sheetName val="ChangeLog"/>
      <sheetName val="Journals"/>
      <sheetName val="MHCHS"/>
      <sheetName val="Post16_Original"/>
      <sheetName val="HighNeeds_Orig"/>
      <sheetName val="Infant_FSM"/>
      <sheetName val="Early_Years_Data"/>
      <sheetName val="Opt_B_C_D_Apr-Jul_2014-15"/>
      <sheetName val="NNDR_13-14"/>
      <sheetName val="DFC_@_12_06_14"/>
      <sheetName val="NNDR_@_12_06_14"/>
      <sheetName val="Post-16_Allocation_2014-15"/>
      <sheetName val="Barnet_PPLAC"/>
      <sheetName val="Colour_Key,_Tab_Status_&amp;_Errors"/>
      <sheetName val="Original_BarnetReport_"/>
      <sheetName val="EY_SUMAADJ"/>
      <sheetName val="OtherTopups_Orig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9">
          <cell r="D9" t="str">
            <v>BARNET SCHOOL FUNDING - APR 2014 - MAR 2015 - Revised September 2014</v>
          </cell>
        </row>
        <row r="15">
          <cell r="F15" t="str">
            <v>Edgware Primary</v>
          </cell>
        </row>
      </sheetData>
      <sheetData sheetId="14"/>
      <sheetData sheetId="15"/>
      <sheetData sheetId="16"/>
      <sheetData sheetId="17"/>
      <sheetData sheetId="18"/>
      <sheetData sheetId="19"/>
      <sheetData sheetId="20"/>
      <sheetData sheetId="21"/>
      <sheetData sheetId="22"/>
      <sheetData sheetId="23"/>
      <sheetData sheetId="24">
        <row r="15">
          <cell r="A15">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ToDo"/>
      <sheetName val="Cover"/>
      <sheetName val="Control sheet"/>
      <sheetName val="DataSources"/>
      <sheetName val="Stored scenarios"/>
      <sheetName val="LAdata"/>
      <sheetName val="LA OUTPUT"/>
      <sheetName val="SchoolData"/>
      <sheetName val="SCHOOL OUTPUT"/>
      <sheetName val="SchoolChartData"/>
      <sheetName val="NamedRanges"/>
      <sheetName val="SchoolData_1314"/>
      <sheetName val="ACA"/>
      <sheetName val="Exceptional Schools"/>
      <sheetName val="Quantum"/>
      <sheetName val="Lists"/>
      <sheetName val="Control_sheet"/>
      <sheetName val="Stored_scenarios"/>
      <sheetName val="LA_OUTPUT"/>
      <sheetName val="SCHOOL_OUTPUT"/>
      <sheetName val="Exceptional_Schools"/>
    </sheetNames>
    <sheetDataSet>
      <sheetData sheetId="0"/>
      <sheetData sheetId="1"/>
      <sheetData sheetId="2"/>
      <sheetData sheetId="3"/>
      <sheetData sheetId="4"/>
      <sheetData sheetId="5"/>
      <sheetData sheetId="6"/>
      <sheetData sheetId="7"/>
      <sheetData sheetId="8"/>
      <sheetData sheetId="9">
        <row r="4">
          <cell r="AH4" t="str">
            <v>Baseline PP</v>
          </cell>
          <cell r="AK4" t="str">
            <v>NFF less CR and Growth</v>
          </cell>
          <cell r="AO4" t="str">
            <v>No</v>
          </cell>
        </row>
      </sheetData>
      <sheetData sheetId="10"/>
      <sheetData sheetId="11"/>
      <sheetData sheetId="12"/>
      <sheetData sheetId="13"/>
      <sheetData sheetId="14"/>
      <sheetData sheetId="15"/>
      <sheetData sheetId="16"/>
      <sheetData sheetId="17"/>
      <sheetData sheetId="18"/>
      <sheetData sheetId="19"/>
      <sheetData sheetId="20">
        <row r="4">
          <cell r="AH4" t="str">
            <v>Baseline PP</v>
          </cell>
        </row>
      </sheetData>
      <sheetData sheetId="2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usted Pivot Totals"/>
      <sheetName val="Pivot_Line No Adjusted"/>
      <sheetName val="Worksheet for Line No"/>
      <sheetName val="Pivot on GL"/>
      <sheetName val="Adjusted Pivot for Tables"/>
      <sheetName val="Pivot PC"/>
      <sheetName val="SAP Download"/>
      <sheetName val="Working"/>
      <sheetName val="Split Funded CC's"/>
      <sheetName val="PRU's SSG &amp; SDG"/>
      <sheetName val="Youth summary&amp; Vol Sector grant"/>
      <sheetName val="Transport analysis"/>
      <sheetName val="Non Children's Services costs"/>
      <sheetName val="SAP @ 24.02.2010"/>
      <sheetName val="Adjusted_Pivot_Totals"/>
      <sheetName val="Pivot_Line_No_Adjusted"/>
      <sheetName val="Worksheet_for_Line_No"/>
      <sheetName val="Pivot_on_GL"/>
      <sheetName val="Adjusted_Pivot_for_Tables"/>
      <sheetName val="Pivot_PC"/>
      <sheetName val="SAP_Download"/>
      <sheetName val="Split_Funded_CC's"/>
      <sheetName val="PRU's_SSG_&amp;_SDG"/>
      <sheetName val="Youth_summary&amp;_Vol_Sector_grant"/>
      <sheetName val="Transport_analysis"/>
      <sheetName val="Non_Children's_Services_costs"/>
      <sheetName val="SAP_@_24_02_20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ve LEAs"/>
      <sheetName val="Running info"/>
      <sheetName val="SchLEASplits"/>
      <sheetName val="S52 Imports"/>
      <sheetName val="OtherLookups"/>
      <sheetName val="Lookups"/>
      <sheetName val="Annex_A_TABLE"/>
      <sheetName val="Proposed 2003-04 Budget"/>
      <sheetName val="2002-03 S52 Table 1"/>
      <sheetName val="Save_LEAs"/>
      <sheetName val="Running_info"/>
      <sheetName val="S52_Imports"/>
      <sheetName val="Proposed_2003-04_Budget"/>
      <sheetName val="2002-03_S52_Table_1"/>
    </sheetNames>
    <sheetDataSet>
      <sheetData sheetId="0" refreshError="1"/>
      <sheetData sheetId="1" refreshError="1"/>
      <sheetData sheetId="2" refreshError="1"/>
      <sheetData sheetId="3" refreshError="1"/>
      <sheetData sheetId="4" refreshError="1"/>
      <sheetData sheetId="5" refreshError="1">
        <row r="3">
          <cell r="B3" t="str">
            <v>LEA Num</v>
          </cell>
        </row>
      </sheetData>
      <sheetData sheetId="6" refreshError="1"/>
      <sheetData sheetId="7" refreshError="1"/>
      <sheetData sheetId="8" refreshError="1"/>
      <sheetData sheetId="9"/>
      <sheetData sheetId="10"/>
      <sheetData sheetId="11"/>
      <sheetData sheetId="12"/>
      <sheetData sheetId="1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FC filter"/>
      <sheetName val="DFC"/>
      <sheetName val="Academy"/>
      <sheetName val="CTC &amp; NMSS"/>
      <sheetName val="LA Level"/>
      <sheetName val="Macro info"/>
      <sheetName val="Check against announcement"/>
      <sheetName val="DFC (ALL)"/>
      <sheetName val="DFC_filter"/>
      <sheetName val="CTC_&amp;_NMSS"/>
      <sheetName val="LA_Level"/>
      <sheetName val="Macro_info"/>
      <sheetName val="Check_against_announcement"/>
      <sheetName val="DFC_(ALL)"/>
    </sheetNames>
    <sheetDataSet>
      <sheetData sheetId="0" refreshError="1">
        <row r="11">
          <cell r="D11">
            <v>2098304.9500000002</v>
          </cell>
        </row>
      </sheetData>
      <sheetData sheetId="1"/>
      <sheetData sheetId="2"/>
      <sheetData sheetId="3"/>
      <sheetData sheetId="4"/>
      <sheetData sheetId="5"/>
      <sheetData sheetId="6"/>
      <sheetData sheetId="7"/>
      <sheetData sheetId="8">
        <row r="11">
          <cell r="D11">
            <v>2098304.9500000002</v>
          </cell>
        </row>
      </sheetData>
      <sheetData sheetId="9"/>
      <sheetData sheetId="10"/>
      <sheetData sheetId="11"/>
      <sheetData sheetId="12"/>
      <sheetData sheetId="1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B"/>
      <sheetName val="Sheet1"/>
      <sheetName val="Monitor"/>
      <sheetName val="Compare"/>
      <sheetName val="SEN"/>
      <sheetName val="data"/>
      <sheetName val="rates"/>
      <sheetName val="lookup"/>
      <sheetName val="abatement"/>
      <sheetName val="mfg"/>
      <sheetName val="CTax"/>
      <sheetName val="NNDR"/>
      <sheetName val="Insurance"/>
      <sheetName val="IntAreas"/>
      <sheetName val="trans"/>
      <sheetName val="YPLA"/>
      <sheetName val="NQTs"/>
      <sheetName val="SFFunding"/>
      <sheetName val="SF1011"/>
      <sheetName val="trans1011"/>
      <sheetName val="aen"/>
      <sheetName val="Primary school aen alloc"/>
      <sheetName val="rpsen"/>
      <sheetName val="specialsen"/>
      <sheetName val="Statements"/>
      <sheetName val="transactions 2009"/>
      <sheetName val="Distribution"/>
      <sheetName val="macro"/>
      <sheetName val="Primary_school_aen_alloc"/>
      <sheetName val="transactions_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5639">
          <cell r="C5639" t="str">
            <v>Ashmole Academy - not used</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Exclus 2010-11"/>
      <sheetName val="end of year"/>
      <sheetName val="OLA"/>
      <sheetName val="Rec"/>
      <sheetName val="Rates"/>
      <sheetName val="weeks"/>
      <sheetName val="Codes"/>
      <sheetName val="Rec new"/>
      <sheetName val="Rec old"/>
      <sheetName val="OLA-inv raised"/>
      <sheetName val="OLA-paid"/>
      <sheetName val="Total_Exclus_2010-11"/>
      <sheetName val="end_of_year"/>
      <sheetName val="Rec_new"/>
      <sheetName val="Rec_old"/>
      <sheetName val="OLA-inv_raised"/>
    </sheetNames>
    <sheetDataSet>
      <sheetData sheetId="0" refreshError="1"/>
      <sheetData sheetId="1" refreshError="1"/>
      <sheetData sheetId="2" refreshError="1"/>
      <sheetData sheetId="3" refreshError="1"/>
      <sheetData sheetId="4" refreshError="1"/>
      <sheetData sheetId="5" refreshError="1">
        <row r="4">
          <cell r="F4" t="str">
            <v>WEEK ENDING</v>
          </cell>
          <cell r="G4" t="str">
            <v>WEEK NO</v>
          </cell>
        </row>
        <row r="5">
          <cell r="F5" t="str">
            <v>(Saturday)</v>
          </cell>
        </row>
        <row r="7">
          <cell r="F7">
            <v>39900</v>
          </cell>
          <cell r="G7">
            <v>53</v>
          </cell>
        </row>
        <row r="8">
          <cell r="F8">
            <v>39907</v>
          </cell>
          <cell r="G8">
            <v>52</v>
          </cell>
        </row>
        <row r="9">
          <cell r="F9">
            <v>39914</v>
          </cell>
          <cell r="G9">
            <v>51</v>
          </cell>
        </row>
        <row r="10">
          <cell r="F10">
            <v>39921</v>
          </cell>
          <cell r="G10">
            <v>50</v>
          </cell>
        </row>
        <row r="11">
          <cell r="F11">
            <v>39928</v>
          </cell>
          <cell r="G11">
            <v>49</v>
          </cell>
        </row>
        <row r="12">
          <cell r="F12">
            <v>39935</v>
          </cell>
          <cell r="G12">
            <v>48</v>
          </cell>
        </row>
        <row r="13">
          <cell r="F13">
            <v>39942</v>
          </cell>
          <cell r="G13">
            <v>47</v>
          </cell>
        </row>
        <row r="14">
          <cell r="F14">
            <v>39949</v>
          </cell>
          <cell r="G14">
            <v>46</v>
          </cell>
        </row>
        <row r="15">
          <cell r="F15">
            <v>39956</v>
          </cell>
          <cell r="G15">
            <v>45</v>
          </cell>
        </row>
        <row r="16">
          <cell r="F16">
            <v>39963</v>
          </cell>
          <cell r="G16">
            <v>44</v>
          </cell>
        </row>
        <row r="17">
          <cell r="F17">
            <v>39970</v>
          </cell>
          <cell r="G17">
            <v>43</v>
          </cell>
        </row>
        <row r="18">
          <cell r="F18">
            <v>39977</v>
          </cell>
          <cell r="G18">
            <v>42</v>
          </cell>
        </row>
        <row r="19">
          <cell r="F19">
            <v>39984</v>
          </cell>
          <cell r="G19">
            <v>41</v>
          </cell>
        </row>
        <row r="20">
          <cell r="F20">
            <v>39991</v>
          </cell>
          <cell r="G20">
            <v>40</v>
          </cell>
        </row>
        <row r="21">
          <cell r="F21">
            <v>39998</v>
          </cell>
          <cell r="G21">
            <v>39</v>
          </cell>
        </row>
        <row r="22">
          <cell r="F22">
            <v>40005</v>
          </cell>
          <cell r="G22">
            <v>38</v>
          </cell>
        </row>
        <row r="23">
          <cell r="F23">
            <v>40012</v>
          </cell>
          <cell r="G23">
            <v>37</v>
          </cell>
        </row>
        <row r="24">
          <cell r="F24">
            <v>40019</v>
          </cell>
          <cell r="G24">
            <v>36</v>
          </cell>
        </row>
        <row r="25">
          <cell r="F25">
            <v>40026</v>
          </cell>
          <cell r="G25">
            <v>35</v>
          </cell>
        </row>
        <row r="26">
          <cell r="F26">
            <v>40033</v>
          </cell>
          <cell r="G26">
            <v>34</v>
          </cell>
        </row>
        <row r="27">
          <cell r="F27">
            <v>40040</v>
          </cell>
          <cell r="G27">
            <v>33</v>
          </cell>
        </row>
        <row r="28">
          <cell r="F28">
            <v>40047</v>
          </cell>
          <cell r="G28">
            <v>32</v>
          </cell>
        </row>
        <row r="29">
          <cell r="F29">
            <v>40054</v>
          </cell>
          <cell r="G29">
            <v>31</v>
          </cell>
        </row>
        <row r="30">
          <cell r="F30">
            <v>40061</v>
          </cell>
          <cell r="G30">
            <v>30</v>
          </cell>
        </row>
        <row r="31">
          <cell r="F31">
            <v>40068</v>
          </cell>
          <cell r="G31">
            <v>29</v>
          </cell>
        </row>
        <row r="32">
          <cell r="F32">
            <v>40075</v>
          </cell>
          <cell r="G32">
            <v>28</v>
          </cell>
        </row>
        <row r="33">
          <cell r="F33">
            <v>40082</v>
          </cell>
          <cell r="G33">
            <v>27</v>
          </cell>
        </row>
        <row r="34">
          <cell r="F34">
            <v>40089</v>
          </cell>
          <cell r="G34">
            <v>26</v>
          </cell>
        </row>
        <row r="35">
          <cell r="F35">
            <v>40096</v>
          </cell>
          <cell r="G35">
            <v>25</v>
          </cell>
        </row>
        <row r="36">
          <cell r="F36">
            <v>40103</v>
          </cell>
          <cell r="G36">
            <v>24</v>
          </cell>
        </row>
        <row r="37">
          <cell r="F37">
            <v>40110</v>
          </cell>
          <cell r="G37">
            <v>23</v>
          </cell>
        </row>
        <row r="38">
          <cell r="F38">
            <v>40117</v>
          </cell>
          <cell r="G38">
            <v>22</v>
          </cell>
        </row>
        <row r="39">
          <cell r="F39">
            <v>40124</v>
          </cell>
          <cell r="G39">
            <v>21</v>
          </cell>
        </row>
        <row r="40">
          <cell r="F40">
            <v>40131</v>
          </cell>
          <cell r="G40">
            <v>20</v>
          </cell>
        </row>
        <row r="41">
          <cell r="F41">
            <v>40138</v>
          </cell>
          <cell r="G41">
            <v>19</v>
          </cell>
        </row>
        <row r="42">
          <cell r="F42">
            <v>40145</v>
          </cell>
          <cell r="G42">
            <v>18</v>
          </cell>
        </row>
        <row r="43">
          <cell r="F43">
            <v>40152</v>
          </cell>
          <cell r="G43">
            <v>17</v>
          </cell>
        </row>
        <row r="44">
          <cell r="F44">
            <v>40159</v>
          </cell>
          <cell r="G44">
            <v>16</v>
          </cell>
        </row>
        <row r="45">
          <cell r="F45">
            <v>40166</v>
          </cell>
          <cell r="G45">
            <v>15</v>
          </cell>
        </row>
        <row r="46">
          <cell r="F46">
            <v>40173</v>
          </cell>
          <cell r="G46">
            <v>14</v>
          </cell>
        </row>
        <row r="47">
          <cell r="F47">
            <v>40180</v>
          </cell>
          <cell r="G47">
            <v>13</v>
          </cell>
        </row>
        <row r="48">
          <cell r="F48">
            <v>40187</v>
          </cell>
          <cell r="G48">
            <v>12</v>
          </cell>
        </row>
        <row r="49">
          <cell r="F49">
            <v>40194</v>
          </cell>
          <cell r="G49">
            <v>11</v>
          </cell>
        </row>
        <row r="50">
          <cell r="F50">
            <v>40201</v>
          </cell>
          <cell r="G50">
            <v>10</v>
          </cell>
        </row>
        <row r="51">
          <cell r="F51">
            <v>40208</v>
          </cell>
          <cell r="G51">
            <v>9</v>
          </cell>
        </row>
        <row r="52">
          <cell r="F52">
            <v>40215</v>
          </cell>
          <cell r="G52">
            <v>8</v>
          </cell>
        </row>
        <row r="53">
          <cell r="F53">
            <v>40222</v>
          </cell>
          <cell r="G53">
            <v>7</v>
          </cell>
        </row>
        <row r="54">
          <cell r="F54">
            <v>40229</v>
          </cell>
          <cell r="G54">
            <v>6</v>
          </cell>
        </row>
        <row r="55">
          <cell r="F55">
            <v>40236</v>
          </cell>
          <cell r="G55">
            <v>5</v>
          </cell>
        </row>
        <row r="56">
          <cell r="F56">
            <v>40243</v>
          </cell>
          <cell r="G56">
            <v>4</v>
          </cell>
        </row>
        <row r="57">
          <cell r="F57">
            <v>40250</v>
          </cell>
          <cell r="G57">
            <v>3</v>
          </cell>
        </row>
        <row r="58">
          <cell r="F58">
            <v>40257</v>
          </cell>
          <cell r="G58">
            <v>2</v>
          </cell>
        </row>
        <row r="59">
          <cell r="F59">
            <v>40264</v>
          </cell>
          <cell r="G59">
            <v>1</v>
          </cell>
        </row>
        <row r="60">
          <cell r="F60">
            <v>40271</v>
          </cell>
          <cell r="G60">
            <v>0</v>
          </cell>
        </row>
      </sheetData>
      <sheetData sheetId="6" refreshError="1"/>
      <sheetData sheetId="7"/>
      <sheetData sheetId="8"/>
      <sheetData sheetId="9"/>
      <sheetData sheetId="10"/>
      <sheetData sheetId="11"/>
      <sheetData sheetId="12"/>
      <sheetData sheetId="13"/>
      <sheetData sheetId="14"/>
      <sheetData sheetId="1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E2Sum 24 - 25"/>
      <sheetName val="FEE3Sum 24 - 25"/>
      <sheetName val="FEE9m-2 Spr 24 - 25"/>
      <sheetName val="FEE2 Spring 24 - 25"/>
      <sheetName val="FEE 34 Spring 24 - 25"/>
      <sheetName val="FEE9m-2 Aut 24 - 25"/>
      <sheetName val="FEE2Aut 24 - 25"/>
      <sheetName val="FEE 34 Autumn 24 - 25"/>
      <sheetName val="Supplier"/>
    </sheetNames>
    <sheetDataSet>
      <sheetData sheetId="0"/>
      <sheetData sheetId="1"/>
      <sheetData sheetId="2"/>
      <sheetData sheetId="3"/>
      <sheetData sheetId="4"/>
      <sheetData sheetId="5"/>
      <sheetData sheetId="6"/>
      <sheetData sheetId="7"/>
      <sheetData sheetId="8">
        <row r="1">
          <cell r="A1" t="str">
            <v>Provider</v>
          </cell>
          <cell r="B1" t="str">
            <v>ID</v>
          </cell>
        </row>
        <row r="2">
          <cell r="A2" t="str">
            <v>All Saints C Of E Primary School - 5282 - Maintained Nursery Class</v>
          </cell>
          <cell r="B2" t="str">
            <v>SCH001</v>
          </cell>
        </row>
        <row r="3">
          <cell r="A3" t="str">
            <v>Annuciation Catholic Infant School - 5331 - Maintained Nursery Class</v>
          </cell>
          <cell r="B3" t="str">
            <v>SCH002</v>
          </cell>
        </row>
        <row r="4">
          <cell r="A4" t="str">
            <v>Barnfield Primary School - 5281 - Maintained Nursery Class</v>
          </cell>
          <cell r="B4" t="str">
            <v>SCH003</v>
          </cell>
        </row>
        <row r="5">
          <cell r="A5" t="str">
            <v>Beis Yaakov Primary School - 5238 - Maintained Nursery Class</v>
          </cell>
          <cell r="B5" t="str">
            <v>SCH004</v>
          </cell>
        </row>
        <row r="6">
          <cell r="A6" t="str">
            <v>Beis Soroh Schneirer - 1832 - Independent School</v>
          </cell>
          <cell r="B6" t="str">
            <v>SCH005</v>
          </cell>
        </row>
        <row r="7">
          <cell r="A7" t="str">
            <v>Beit Shvidler Primary School - 5459 - Maintained Nursery Class</v>
          </cell>
          <cell r="B7" t="str">
            <v>SCH006</v>
          </cell>
        </row>
        <row r="8">
          <cell r="A8" t="str">
            <v>Bell Lane Children's Centre - 4176 - Children's Centre - Main Centre Site</v>
          </cell>
          <cell r="B8" t="str">
            <v>SCH007</v>
          </cell>
        </row>
        <row r="9">
          <cell r="A9" t="str">
            <v>Blessed Dominic Rc School - 5285 - Maintained Nursery Class</v>
          </cell>
          <cell r="B9" t="str">
            <v>SCH008</v>
          </cell>
        </row>
        <row r="10">
          <cell r="A10" t="str">
            <v>Broadfields Primary School - 5286 - Independent School</v>
          </cell>
          <cell r="B10" t="str">
            <v>SCH009</v>
          </cell>
        </row>
        <row r="11">
          <cell r="A11" t="str">
            <v>Broadfields Primary School - 1641 - Primary School</v>
          </cell>
          <cell r="B11" t="str">
            <v>SCH010</v>
          </cell>
        </row>
        <row r="12">
          <cell r="A12" t="str">
            <v>Brookhill Nursery School - 5352 - Nursery School</v>
          </cell>
          <cell r="B12" t="str">
            <v>SCH011</v>
          </cell>
        </row>
        <row r="13">
          <cell r="A13" t="str">
            <v>Brookland Infants &amp; Primary School - 5287 - Maintained Nursery Class</v>
          </cell>
          <cell r="B13" t="str">
            <v>SCH012</v>
          </cell>
        </row>
        <row r="14">
          <cell r="A14" t="str">
            <v>Brunswick Park - 5288 - Maintained Nursery Class</v>
          </cell>
          <cell r="B14" t="str">
            <v>SCH013</v>
          </cell>
        </row>
        <row r="15">
          <cell r="A15" t="str">
            <v>Childs Hill School - 5289 - Maintained Nursery Class</v>
          </cell>
          <cell r="B15" t="str">
            <v>SCH014</v>
          </cell>
        </row>
        <row r="16">
          <cell r="A16" t="str">
            <v>Christ Church Primary School - 5290 - Maintained Nursery Class</v>
          </cell>
          <cell r="B16" t="str">
            <v>SCH015</v>
          </cell>
        </row>
        <row r="17">
          <cell r="A17" t="str">
            <v>Claremont Primary School - 5291 - Maintained Nursery Class</v>
          </cell>
          <cell r="B17" t="str">
            <v>SCH016</v>
          </cell>
        </row>
        <row r="18">
          <cell r="A18" t="str">
            <v>Claremont Primary - 1650 - Maintained Nursery Class</v>
          </cell>
          <cell r="B18" t="str">
            <v>SCH017</v>
          </cell>
        </row>
        <row r="19">
          <cell r="A19" t="str">
            <v>Colindale Primary School - 5292 - Maintained Nursery Class</v>
          </cell>
          <cell r="B19" t="str">
            <v>SCH018</v>
          </cell>
        </row>
        <row r="20">
          <cell r="A20" t="str">
            <v>Coppetts Wood - 5293 - Maintained Nursery Class</v>
          </cell>
          <cell r="B20" t="str">
            <v>SCH019</v>
          </cell>
        </row>
        <row r="21">
          <cell r="A21" t="str">
            <v>Deansbrook Infant School - 5294 - Maintained Nursery Class</v>
          </cell>
          <cell r="B21" t="str">
            <v>SCH021</v>
          </cell>
        </row>
        <row r="22">
          <cell r="A22" t="str">
            <v>Dollis Infant - 1669 - Primary School</v>
          </cell>
          <cell r="B22" t="str">
            <v>SCH022</v>
          </cell>
        </row>
        <row r="23">
          <cell r="A23" t="str">
            <v>Edgware Jewish Girls - Beis Chinuch - 6671 - Independant School - Nursery Unit</v>
          </cell>
          <cell r="B23" t="str">
            <v>SCH023</v>
          </cell>
        </row>
        <row r="24">
          <cell r="A24" t="str">
            <v>Edgware Primary School - 5296 - Maintained Nursery Class</v>
          </cell>
          <cell r="B24" t="str">
            <v>SCH024</v>
          </cell>
        </row>
        <row r="25">
          <cell r="A25" t="str">
            <v>Etz Chaim Jewish Primary School - 5814 - Maintained Nursery Class</v>
          </cell>
          <cell r="B25" t="str">
            <v>SCH025</v>
          </cell>
        </row>
        <row r="26">
          <cell r="A26" t="str">
            <v>Fairway Primary School - 5297 - Maintained Nursery Class</v>
          </cell>
          <cell r="B26" t="str">
            <v>SCH027</v>
          </cell>
        </row>
        <row r="27">
          <cell r="A27" t="str">
            <v>Finchley Yochien - 82 - Nursery School</v>
          </cell>
          <cell r="B27" t="str">
            <v>SCH028</v>
          </cell>
        </row>
        <row r="28">
          <cell r="A28" t="str">
            <v>Frith Manor - 5298 - Maintained Nursery Class</v>
          </cell>
          <cell r="B28" t="str">
            <v>SCH029</v>
          </cell>
        </row>
        <row r="29">
          <cell r="A29" t="str">
            <v>Goldbeaters - 5299 - Maintained Nursery Class</v>
          </cell>
          <cell r="B29" t="str">
            <v>SCH030</v>
          </cell>
        </row>
        <row r="30">
          <cell r="A30" t="str">
            <v>Hampden Way Nursery - 6163 - Nursery School</v>
          </cell>
          <cell r="B30" t="str">
            <v>SCH031</v>
          </cell>
        </row>
        <row r="31">
          <cell r="A31" t="str">
            <v>Hasmonean Primary School - 5330 - Independant School - Nursery Unit</v>
          </cell>
          <cell r="B31" t="str">
            <v>SCH032</v>
          </cell>
        </row>
        <row r="32">
          <cell r="A32" t="str">
            <v>Hollickwood Primary School - 5300 - Maintained Nursery Class</v>
          </cell>
          <cell r="B32" t="str">
            <v>SCH033</v>
          </cell>
        </row>
        <row r="33">
          <cell r="A33" t="str">
            <v>Holly Park - 5301 - Maintained Nursery Class</v>
          </cell>
          <cell r="B33" t="str">
            <v>SCH034</v>
          </cell>
        </row>
        <row r="34">
          <cell r="A34" t="str">
            <v>Holy Trinity Ce - 5302 - Maintained Nursery Class</v>
          </cell>
          <cell r="B34" t="str">
            <v>SCH035</v>
          </cell>
        </row>
        <row r="35">
          <cell r="A35" t="str">
            <v>Independent Jewish Day - 5303 - Maintained Nursery Class</v>
          </cell>
          <cell r="B35" t="str">
            <v>SCH036</v>
          </cell>
        </row>
        <row r="36">
          <cell r="A36" t="str">
            <v>King Alfred School - 537 - Independent School</v>
          </cell>
          <cell r="B36" t="str">
            <v>SCH037</v>
          </cell>
        </row>
        <row r="37">
          <cell r="A37" t="str">
            <v>Livingstone Primary and Nursery  School - 1676 - Primary School</v>
          </cell>
          <cell r="B37" t="str">
            <v>SCH038</v>
          </cell>
        </row>
        <row r="38">
          <cell r="A38" t="str">
            <v>Lyonsdown School - 419 - Independant School - Nursery Unit</v>
          </cell>
          <cell r="B38" t="str">
            <v>SCH083</v>
          </cell>
        </row>
        <row r="39">
          <cell r="A39" t="str">
            <v>Manorside Primary School - 5305 - Maintained Nursery Class</v>
          </cell>
          <cell r="B39" t="str">
            <v>SCH039</v>
          </cell>
        </row>
        <row r="40">
          <cell r="A40" t="str">
            <v>Martin Primary School - 5306 - Maintained Nursery Class</v>
          </cell>
          <cell r="B40" t="str">
            <v>SCH040</v>
          </cell>
        </row>
        <row r="41">
          <cell r="A41" t="str">
            <v>Mathilda Marks Kennedy - 5307 - Maintained Nursery Class</v>
          </cell>
          <cell r="B41" t="str">
            <v>SCH041</v>
          </cell>
        </row>
        <row r="42">
          <cell r="A42" t="str">
            <v>Menorah Foundation - 5308 - Maintained Nursery Class</v>
          </cell>
          <cell r="B42" t="str">
            <v>SCH042</v>
          </cell>
        </row>
        <row r="43">
          <cell r="A43" t="str">
            <v>Menorah Primary School - 5309 - Maintained Nursery Class</v>
          </cell>
          <cell r="B43" t="str">
            <v>SCH043</v>
          </cell>
        </row>
        <row r="44">
          <cell r="A44" t="str">
            <v>Millbrook Park Church Of England Primary School - 7026 - Academy</v>
          </cell>
          <cell r="B44" t="str">
            <v>SCH044</v>
          </cell>
        </row>
        <row r="45">
          <cell r="A45" t="str">
            <v>Moss Hall Nursery School - 1764 - Nursery School</v>
          </cell>
          <cell r="B45" t="str">
            <v>SCH045</v>
          </cell>
        </row>
        <row r="46">
          <cell r="A46" t="str">
            <v>Nancy Reuben Primary School - 369 - Independent School</v>
          </cell>
          <cell r="B46" t="str">
            <v>SCH046</v>
          </cell>
        </row>
        <row r="47">
          <cell r="A47" t="str">
            <v>Newstead Children's Centre - 1343 - Day Nursery</v>
          </cell>
          <cell r="B47" t="str">
            <v>SCH047</v>
          </cell>
        </row>
        <row r="48">
          <cell r="A48" t="str">
            <v>Noam Primary School - 7761 - Primary School</v>
          </cell>
          <cell r="B48" t="str">
            <v>SCH048</v>
          </cell>
        </row>
        <row r="49">
          <cell r="A49" t="str">
            <v>Northside Primary School - 5310 - Maintained Nursery Class</v>
          </cell>
          <cell r="B49" t="str">
            <v>SCH049</v>
          </cell>
        </row>
        <row r="50">
          <cell r="A50" t="str">
            <v>Our Lady Of Lourdes Catholic Primary School - 5461 - Maintained Nursery Class</v>
          </cell>
          <cell r="B50" t="str">
            <v>SCH052</v>
          </cell>
        </row>
        <row r="51">
          <cell r="A51" t="str">
            <v>Parkfield - 1678 - Day Nursery</v>
          </cell>
          <cell r="B51" t="str">
            <v>SCH053</v>
          </cell>
        </row>
        <row r="52">
          <cell r="A52" t="str">
            <v>Parkfield Primary Academy - 5311 - Academy</v>
          </cell>
          <cell r="B52" t="str">
            <v>SCH055</v>
          </cell>
        </row>
        <row r="53">
          <cell r="A53" t="str">
            <v>Peninim - 5813 - Independant School - Nursery Unit</v>
          </cell>
          <cell r="B53" t="str">
            <v>SCH056</v>
          </cell>
        </row>
        <row r="54">
          <cell r="A54" t="str">
            <v>Queenswell Federation - 1689 - Maintained Nursery Class</v>
          </cell>
          <cell r="B54" t="str">
            <v>SCH057</v>
          </cell>
        </row>
        <row r="55">
          <cell r="A55" t="str">
            <v>Queenswell Infant School - 5312 - Playgroup Or Pre-School</v>
          </cell>
          <cell r="B55" t="str">
            <v>SCH058</v>
          </cell>
        </row>
        <row r="56">
          <cell r="A56" t="str">
            <v>Rosh Pinah Primary School - 5313 - Maintained Nursery Class</v>
          </cell>
          <cell r="B56" t="str">
            <v>SCH059</v>
          </cell>
        </row>
        <row r="57">
          <cell r="A57" t="str">
            <v>St Agnes Catholic School - 5314 - Maintained Nursery Class</v>
          </cell>
          <cell r="B57" t="str">
            <v>SCH060</v>
          </cell>
        </row>
        <row r="58">
          <cell r="A58" t="str">
            <v>St Catherine's Catholic - 5315 - Maintained Nursery Class</v>
          </cell>
          <cell r="B58" t="str">
            <v>SCH061</v>
          </cell>
        </row>
        <row r="59">
          <cell r="A59" t="str">
            <v>St Johns Ce - 5316 - Maintained Nursery Class</v>
          </cell>
          <cell r="B59" t="str">
            <v>SCH062</v>
          </cell>
        </row>
        <row r="60">
          <cell r="A60" t="str">
            <v>St Johns Ce N20 - 5317 - Primary School</v>
          </cell>
          <cell r="B60" t="str">
            <v>SCH063</v>
          </cell>
        </row>
        <row r="61">
          <cell r="A61" t="str">
            <v>St Joseph's Catholic School - 5329 - Maintained Nursery Class</v>
          </cell>
          <cell r="B61" t="str">
            <v>SCH064</v>
          </cell>
        </row>
        <row r="62">
          <cell r="A62" t="str">
            <v>St Margaret's Nursery School - 1776 - Nursery School</v>
          </cell>
          <cell r="B62" t="str">
            <v>SCH065</v>
          </cell>
        </row>
        <row r="63">
          <cell r="A63" t="str">
            <v>St Mary's &amp; John's Cofe Primary School - 5319 - Maintained Nursery Class</v>
          </cell>
          <cell r="B63" t="str">
            <v>SCH066</v>
          </cell>
        </row>
        <row r="64">
          <cell r="A64" t="str">
            <v>St Mary's Ce N3 - 5318 - Maintained Nursery Class</v>
          </cell>
          <cell r="B64" t="str">
            <v>SCH068</v>
          </cell>
        </row>
        <row r="65">
          <cell r="A65" t="str">
            <v>St Paul's Ce N11 - 5320 - Maintained Nursery Class</v>
          </cell>
          <cell r="B65" t="str">
            <v>SCH069</v>
          </cell>
        </row>
        <row r="66">
          <cell r="A66" t="str">
            <v>Summerside Academy - 5321 - Maintained Nursery Class</v>
          </cell>
          <cell r="B66" t="str">
            <v>SCH070</v>
          </cell>
        </row>
        <row r="67">
          <cell r="A67" t="str">
            <v>Sunnyfields - 5322 - Maintained Nursery Class</v>
          </cell>
          <cell r="B67" t="str">
            <v>SCH071</v>
          </cell>
        </row>
        <row r="68">
          <cell r="A68" t="str">
            <v>The Hyde - 5323 - Maintained Nursery Class</v>
          </cell>
          <cell r="B68" t="str">
            <v>SCH072</v>
          </cell>
        </row>
        <row r="69">
          <cell r="A69" t="str">
            <v>The Orion - 5324 - Maintained Nursery Class</v>
          </cell>
          <cell r="B69" t="str">
            <v>SCH073</v>
          </cell>
        </row>
        <row r="70">
          <cell r="A70" t="str">
            <v>Tudor Primary School - 5325 - Maintained Nursery Class</v>
          </cell>
          <cell r="B70" t="str">
            <v>SCH075</v>
          </cell>
        </row>
        <row r="71">
          <cell r="A71" t="str">
            <v>Underhill School &amp; Children''s Centre - 7956 - Maintained Nursery Class</v>
          </cell>
          <cell r="B71" t="str">
            <v>SCH078</v>
          </cell>
        </row>
        <row r="72">
          <cell r="A72" t="str">
            <v>Wessex Gardens - 5326 - Maintained Nursery Class</v>
          </cell>
          <cell r="B72" t="str">
            <v>SCH079</v>
          </cell>
        </row>
        <row r="73">
          <cell r="A73" t="str">
            <v>Whitings Hill - 5327 - Maintained Nursery Class</v>
          </cell>
          <cell r="B73" t="str">
            <v>SCH080</v>
          </cell>
        </row>
        <row r="74">
          <cell r="A74" t="str">
            <v>Woodcroft - 1766 - Maintained Nursery Class</v>
          </cell>
          <cell r="B74" t="str">
            <v>SCH081</v>
          </cell>
        </row>
        <row r="75">
          <cell r="A75" t="str">
            <v>Hendon Preparatory And Pre-School - 111 - Independent School</v>
          </cell>
          <cell r="B75" t="str">
            <v>SCH082</v>
          </cell>
        </row>
        <row r="76">
          <cell r="A76" t="str">
            <v>St Anthony's School For Girls - 8056 - Independent School</v>
          </cell>
          <cell r="B76" t="str">
            <v>SCH083</v>
          </cell>
        </row>
        <row r="77">
          <cell r="A77" t="str">
            <v>St Martin's School - 543 - Independant School - Nursery Unit</v>
          </cell>
          <cell r="B77" t="str">
            <v>SCH084</v>
          </cell>
        </row>
        <row r="88">
          <cell r="A88" t="str">
            <v>PVI's not to be included in the school heacounts</v>
          </cell>
        </row>
        <row r="89">
          <cell r="A89" t="str">
            <v>Akibola, Deirdre Bolanle - 6237 - Childminder</v>
          </cell>
        </row>
        <row r="90">
          <cell r="A90" t="str">
            <v>Blue Skies Nursery - 5203 - Day Nursery</v>
          </cell>
        </row>
        <row r="91">
          <cell r="A91" t="str">
            <v>MacKinnon, Lesley - 39 - Childminder</v>
          </cell>
        </row>
        <row r="92">
          <cell r="A92" t="str">
            <v>Milicevic, Ivana - 6257 - Childminder</v>
          </cell>
        </row>
        <row r="93">
          <cell r="A93" t="str">
            <v>Pardes House - 1443 - Day Nursery</v>
          </cell>
        </row>
        <row r="94">
          <cell r="A94" t="str">
            <v>St. Philips Pre-School - 1407 - Playgroup Or Pre-School</v>
          </cell>
        </row>
        <row r="95">
          <cell r="A95" t="str">
            <v>Twisty Tails Nursery Ltd - 5375 - Day Nursery</v>
          </cell>
        </row>
        <row r="96">
          <cell r="A96" t="str">
            <v>Fountain Montessori Nursery And Pre-School -edgware - 7837 - Day Nursery</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E2Sum 23 - 24"/>
      <sheetName val="FEE3Sum 23 - 24"/>
      <sheetName val="FEE3Spr 23 - 24"/>
      <sheetName val="FEE3Aut 23 - 24"/>
      <sheetName val="FEE2Spr 23 - 24"/>
      <sheetName val="FEE2Aut 23 - 24"/>
      <sheetName val="Supplier"/>
    </sheetNames>
    <sheetDataSet>
      <sheetData sheetId="0"/>
      <sheetData sheetId="1"/>
      <sheetData sheetId="2"/>
      <sheetData sheetId="3"/>
      <sheetData sheetId="4"/>
      <sheetData sheetId="5"/>
      <sheetData sheetId="6">
        <row r="1">
          <cell r="A1" t="str">
            <v>Provider</v>
          </cell>
          <cell r="B1" t="str">
            <v>ID</v>
          </cell>
        </row>
        <row r="2">
          <cell r="A2" t="str">
            <v>All Saints C Of E Primary School - 5282 - Maintained Nursery Class</v>
          </cell>
          <cell r="B2" t="str">
            <v>SCH001</v>
          </cell>
        </row>
        <row r="3">
          <cell r="A3" t="str">
            <v>Annuciation Catholic Infant School - 5331 - Maintained Nursery Class</v>
          </cell>
          <cell r="B3" t="str">
            <v>SCH002</v>
          </cell>
        </row>
        <row r="4">
          <cell r="A4" t="str">
            <v>Barnfield Primary School - 5281 - Maintained Nursery Class</v>
          </cell>
          <cell r="B4" t="str">
            <v>SCH003</v>
          </cell>
        </row>
        <row r="5">
          <cell r="A5" t="str">
            <v>Beis Yaakov Primary School - 5238 - Maintained Nursery Class</v>
          </cell>
          <cell r="B5" t="str">
            <v>SCH004</v>
          </cell>
        </row>
        <row r="6">
          <cell r="A6" t="str">
            <v>Beis Soroh Schneirer - 1832 - Independant School - Nursery Unit</v>
          </cell>
          <cell r="B6" t="str">
            <v>SCH005</v>
          </cell>
        </row>
        <row r="7">
          <cell r="A7" t="str">
            <v>Beit Shvidler Primary School - 5459 - Maintained Nursery Class</v>
          </cell>
          <cell r="B7" t="str">
            <v>SCH006</v>
          </cell>
        </row>
        <row r="8">
          <cell r="A8" t="str">
            <v>Bell Lane Children's Centre - 4176 - Children's Centre - Main Centre Site</v>
          </cell>
          <cell r="B8" t="str">
            <v>SCH007</v>
          </cell>
        </row>
        <row r="9">
          <cell r="A9" t="str">
            <v>Blessed Dominic Rc School - 5285 - Maintained Nursery Class</v>
          </cell>
          <cell r="B9" t="str">
            <v>SCH008</v>
          </cell>
        </row>
        <row r="10">
          <cell r="A10" t="str">
            <v>Broadfields Primary School - 5286 - Independent School</v>
          </cell>
          <cell r="B10" t="str">
            <v>SCH009</v>
          </cell>
        </row>
        <row r="11">
          <cell r="A11" t="str">
            <v>Broadfields Primary School - 1641 - Primary School</v>
          </cell>
          <cell r="B11" t="str">
            <v>SCH010</v>
          </cell>
        </row>
        <row r="12">
          <cell r="A12" t="str">
            <v>Brookhill Nursery School - 5352 - Nursery School</v>
          </cell>
          <cell r="B12" t="str">
            <v>SCH011</v>
          </cell>
        </row>
        <row r="13">
          <cell r="A13" t="str">
            <v>Brookland Infants &amp; Primary School - 5287 - Maintained Nursery Class</v>
          </cell>
          <cell r="B13" t="str">
            <v>SCH012</v>
          </cell>
        </row>
        <row r="14">
          <cell r="A14" t="str">
            <v>Brunswick Park - 5288 - Maintained Nursery Class</v>
          </cell>
          <cell r="B14" t="str">
            <v>SCH013</v>
          </cell>
        </row>
        <row r="15">
          <cell r="A15" t="str">
            <v>Childs Hill School - 5289 - Maintained Nursery Class</v>
          </cell>
          <cell r="B15" t="str">
            <v>SCH014</v>
          </cell>
        </row>
        <row r="16">
          <cell r="A16" t="str">
            <v>Christ Church Primary School - 5290 - Maintained Nursery Class</v>
          </cell>
          <cell r="B16" t="str">
            <v>SCH015</v>
          </cell>
        </row>
        <row r="17">
          <cell r="A17" t="str">
            <v>Claremont Primary School - 5291 - Maintained Nursery Class</v>
          </cell>
          <cell r="B17" t="str">
            <v>SCH016</v>
          </cell>
        </row>
        <row r="18">
          <cell r="A18" t="str">
            <v>Claremont Primary - 1650 - Maintained Nursery Class</v>
          </cell>
          <cell r="B18" t="str">
            <v>SCH017</v>
          </cell>
        </row>
        <row r="19">
          <cell r="A19" t="str">
            <v>Colindale Primary School - 5292 - Maintained Nursery Class</v>
          </cell>
          <cell r="B19" t="str">
            <v>SCH018</v>
          </cell>
        </row>
        <row r="20">
          <cell r="A20" t="str">
            <v>Coppetts Wood - 5293 - Maintained Nursery Class</v>
          </cell>
          <cell r="B20" t="str">
            <v>SCH019</v>
          </cell>
        </row>
        <row r="21">
          <cell r="A21" t="str">
            <v>Deansbrook Infant School - 5294 - Maintained Nursery Class</v>
          </cell>
          <cell r="B21" t="str">
            <v>SCH021</v>
          </cell>
        </row>
        <row r="22">
          <cell r="A22" t="str">
            <v>Dollis Infant - 1669 - Primary School</v>
          </cell>
          <cell r="B22" t="str">
            <v>SCH022</v>
          </cell>
        </row>
        <row r="23">
          <cell r="A23" t="str">
            <v>Edgware Jewish Girls - Beis Chinuch - 6671 - Independant School - Nursery Unit</v>
          </cell>
          <cell r="B23" t="str">
            <v>SCH023</v>
          </cell>
        </row>
        <row r="24">
          <cell r="A24" t="str">
            <v>Edgware Primary School - 5296 - Maintained Nursery Class</v>
          </cell>
          <cell r="B24" t="str">
            <v>SCH024</v>
          </cell>
        </row>
        <row r="25">
          <cell r="A25" t="str">
            <v>Etz Chaim Jewish Primary School - 5814 - Maintained Nursery Class</v>
          </cell>
          <cell r="B25" t="str">
            <v>SCH025</v>
          </cell>
        </row>
        <row r="26">
          <cell r="A26" t="str">
            <v>Fairway Primary School - 5297 - Maintained Nursery Class</v>
          </cell>
          <cell r="B26" t="str">
            <v>SCH027</v>
          </cell>
        </row>
        <row r="27">
          <cell r="A27" t="str">
            <v>Finchley Yochien - 82 - Independent School</v>
          </cell>
          <cell r="B27" t="str">
            <v>SCH028</v>
          </cell>
        </row>
        <row r="28">
          <cell r="A28" t="str">
            <v>Frith Manor - 5298 - Maintained Nursery Class</v>
          </cell>
          <cell r="B28" t="str">
            <v>SCH029</v>
          </cell>
        </row>
        <row r="29">
          <cell r="A29" t="str">
            <v>Goldbeaters - 5299 - Maintained Nursery Class</v>
          </cell>
          <cell r="B29" t="str">
            <v>SCH030</v>
          </cell>
        </row>
        <row r="30">
          <cell r="A30" t="str">
            <v>Hampden Way Nursery - 6163 - Nursery School</v>
          </cell>
          <cell r="B30" t="str">
            <v>SCH031</v>
          </cell>
        </row>
        <row r="31">
          <cell r="A31" t="str">
            <v>Hasmonean Primary School - 5330 - Maintained Nursery Class</v>
          </cell>
          <cell r="B31" t="str">
            <v>SCH032</v>
          </cell>
        </row>
        <row r="32">
          <cell r="A32" t="str">
            <v>Hollickwood Primary School - 5300 - Maintained Nursery Class</v>
          </cell>
          <cell r="B32" t="str">
            <v>SCH033</v>
          </cell>
        </row>
        <row r="33">
          <cell r="A33" t="str">
            <v>Holly Park - 5301 - Maintained Nursery Class</v>
          </cell>
          <cell r="B33" t="str">
            <v>SCH034</v>
          </cell>
        </row>
        <row r="34">
          <cell r="A34" t="str">
            <v>Holy Trinity Ce - 5302 - Maintained Nursery Class</v>
          </cell>
          <cell r="B34" t="str">
            <v>SCH035</v>
          </cell>
        </row>
        <row r="35">
          <cell r="A35" t="str">
            <v>Independent Jewish Day - 5303 - Maintained Nursery Class</v>
          </cell>
          <cell r="B35" t="str">
            <v>SCH036</v>
          </cell>
        </row>
        <row r="36">
          <cell r="A36" t="str">
            <v>King Alfred School - 537 - Independent School</v>
          </cell>
          <cell r="B36" t="str">
            <v>SCH037</v>
          </cell>
        </row>
        <row r="37">
          <cell r="A37" t="str">
            <v>Livingstone Primary and Nursery  School - 1676 - Primary School</v>
          </cell>
          <cell r="B37" t="str">
            <v>SCH038</v>
          </cell>
        </row>
        <row r="38">
          <cell r="A38" t="str">
            <v>Lyonsdown School - 419 - Independant School - Nursery Unit</v>
          </cell>
          <cell r="B38" t="str">
            <v>SCH083</v>
          </cell>
        </row>
        <row r="39">
          <cell r="A39" t="str">
            <v>Manorside Primary School - 5305 - Maintained Nursery Class</v>
          </cell>
          <cell r="B39" t="str">
            <v>SCH039</v>
          </cell>
        </row>
        <row r="40">
          <cell r="A40" t="str">
            <v>Martin Primary School - 5306 - Maintained Nursery Class</v>
          </cell>
          <cell r="B40" t="str">
            <v>SCH040</v>
          </cell>
        </row>
        <row r="41">
          <cell r="A41" t="str">
            <v>Mathilda Marks Kennedy - 5307 - Maintained Nursery Class</v>
          </cell>
          <cell r="B41" t="str">
            <v>SCH041</v>
          </cell>
        </row>
        <row r="42">
          <cell r="A42" t="str">
            <v>Menorah Foundation - 5308 - Maintained Nursery Class</v>
          </cell>
          <cell r="B42" t="str">
            <v>SCH042</v>
          </cell>
        </row>
        <row r="43">
          <cell r="A43" t="str">
            <v>Menorah Primary School - 5309 - Maintained Nursery Class</v>
          </cell>
          <cell r="B43" t="str">
            <v>SCH043</v>
          </cell>
        </row>
        <row r="44">
          <cell r="A44" t="str">
            <v>Millbrook Park Church Of England Primary School - 7026 - Maintained Nursery Class</v>
          </cell>
          <cell r="B44" t="str">
            <v>SCH044</v>
          </cell>
        </row>
        <row r="45">
          <cell r="A45" t="str">
            <v>Moss Hall Nursery School - 1764 - Nursery School</v>
          </cell>
          <cell r="B45" t="str">
            <v>SCH045</v>
          </cell>
        </row>
        <row r="46">
          <cell r="A46" t="str">
            <v>Nancy Reuben Primary School - 369 - Independent School</v>
          </cell>
          <cell r="B46" t="str">
            <v>SCH046</v>
          </cell>
        </row>
        <row r="47">
          <cell r="A47" t="str">
            <v>Newstead Children's Centre - 1343 - Day Nursery</v>
          </cell>
          <cell r="B47" t="str">
            <v>SCH047</v>
          </cell>
        </row>
        <row r="48">
          <cell r="A48" t="str">
            <v>Noam Primary School - 7761 - Primary School</v>
          </cell>
          <cell r="B48" t="str">
            <v>SCH048</v>
          </cell>
        </row>
        <row r="49">
          <cell r="A49" t="str">
            <v>Northside Primary School - 5310 - Maintained Nursery Class</v>
          </cell>
          <cell r="B49" t="str">
            <v>SCH049</v>
          </cell>
        </row>
        <row r="50">
          <cell r="A50" t="str">
            <v>Our Lady Of Lourdes Catholic Primary School - 5461 - Maintained Nursery Class</v>
          </cell>
          <cell r="B50" t="str">
            <v>SCH052</v>
          </cell>
        </row>
        <row r="51">
          <cell r="A51" t="str">
            <v>Parkfield Primary Academy - 5311 - Academy</v>
          </cell>
          <cell r="B51" t="str">
            <v>SCH053</v>
          </cell>
        </row>
        <row r="52">
          <cell r="A52" t="str">
            <v>Parkfield Primary Academy - 5311 - Independent School</v>
          </cell>
          <cell r="B52" t="str">
            <v>SCH055</v>
          </cell>
        </row>
        <row r="53">
          <cell r="A53" t="str">
            <v>Peninim - 5813 - Independant School - Nursery Unit</v>
          </cell>
          <cell r="B53" t="str">
            <v>SCH056</v>
          </cell>
        </row>
        <row r="54">
          <cell r="A54" t="str">
            <v>Queenswell Infant School - 1689 - Maintained Nursery Class</v>
          </cell>
          <cell r="B54" t="str">
            <v>SCH057</v>
          </cell>
        </row>
        <row r="55">
          <cell r="A55" t="str">
            <v>Queenswell Federation - 1689 - Maintained Nursery Class</v>
          </cell>
          <cell r="B55" t="str">
            <v>SCH058</v>
          </cell>
        </row>
        <row r="56">
          <cell r="A56" t="str">
            <v>Rosh Pinah Primary School - 5313 - Maintained Nursery Class</v>
          </cell>
          <cell r="B56" t="str">
            <v>SCH059</v>
          </cell>
        </row>
        <row r="57">
          <cell r="A57" t="str">
            <v>St Agnes Catholic School - 5314 - Maintained Nursery Class</v>
          </cell>
          <cell r="B57" t="str">
            <v>SCH060</v>
          </cell>
        </row>
        <row r="58">
          <cell r="A58" t="str">
            <v>St Catherine's Catholic - 5315 - Maintained Nursery Class</v>
          </cell>
          <cell r="B58" t="str">
            <v>SCH061</v>
          </cell>
        </row>
        <row r="59">
          <cell r="A59" t="str">
            <v>St Johns Ce - 5316 - Maintained Nursery Class</v>
          </cell>
          <cell r="B59" t="str">
            <v>SCH062</v>
          </cell>
        </row>
        <row r="60">
          <cell r="A60" t="str">
            <v>St Johns Ce N20 - 5317 - Primary School</v>
          </cell>
          <cell r="B60" t="str">
            <v>SCH063</v>
          </cell>
        </row>
        <row r="61">
          <cell r="A61" t="str">
            <v>St Joseph's Catholic School - 5329 - Maintained Nursery Class</v>
          </cell>
          <cell r="B61" t="str">
            <v>SCH064</v>
          </cell>
        </row>
        <row r="62">
          <cell r="A62" t="str">
            <v>St Margaret's Nursery School - 1776 - Nursery School</v>
          </cell>
          <cell r="B62" t="str">
            <v>SCH065</v>
          </cell>
        </row>
        <row r="63">
          <cell r="A63" t="str">
            <v>St Mary's &amp; John's Cofe Primary School - 5319 - Maintained Nursery Class</v>
          </cell>
          <cell r="B63" t="str">
            <v>SCH066</v>
          </cell>
        </row>
        <row r="64">
          <cell r="A64" t="str">
            <v>St Mary's Ce N3 - 5318 - Maintained Nursery Class</v>
          </cell>
          <cell r="B64" t="str">
            <v>SCH068</v>
          </cell>
        </row>
        <row r="65">
          <cell r="A65" t="str">
            <v>St Paul's Ce N11 - 5320 - Maintained Nursery Class</v>
          </cell>
          <cell r="B65" t="str">
            <v>SCH069</v>
          </cell>
        </row>
        <row r="66">
          <cell r="A66" t="str">
            <v>Summerside Academy - 5321 - Maintained Nursery Class</v>
          </cell>
          <cell r="B66" t="str">
            <v>SCH070</v>
          </cell>
        </row>
        <row r="67">
          <cell r="A67" t="str">
            <v>Sunnyfields - 5322 - Maintained Nursery Class</v>
          </cell>
          <cell r="B67" t="str">
            <v>SCH071</v>
          </cell>
        </row>
        <row r="68">
          <cell r="A68" t="str">
            <v>The Hyde - 5323 - Maintained Nursery Class</v>
          </cell>
          <cell r="B68" t="str">
            <v>SCH072</v>
          </cell>
        </row>
        <row r="69">
          <cell r="A69" t="str">
            <v>The Orion - 5324 - Maintained Nursery Class</v>
          </cell>
          <cell r="B69" t="str">
            <v>SCH073</v>
          </cell>
        </row>
        <row r="70">
          <cell r="A70" t="str">
            <v>Tudor Primary School - 5325 - Maintained Nursery Class</v>
          </cell>
          <cell r="B70" t="str">
            <v>SCH075</v>
          </cell>
        </row>
        <row r="71">
          <cell r="A71" t="str">
            <v>Underhill School &amp; Children''s Centre - 7956 - Maintained Nursery Class</v>
          </cell>
          <cell r="B71" t="str">
            <v>SCH078</v>
          </cell>
        </row>
        <row r="72">
          <cell r="A72" t="str">
            <v>Wessex Gardens - 5326 - Maintained Nursery Class</v>
          </cell>
          <cell r="B72" t="str">
            <v>SCH079</v>
          </cell>
        </row>
        <row r="73">
          <cell r="A73" t="str">
            <v>Whitings Hill - 5327 - Maintained Nursery Class</v>
          </cell>
          <cell r="B73" t="str">
            <v>SCH080</v>
          </cell>
        </row>
        <row r="74">
          <cell r="A74" t="str">
            <v>Woodcroft - 1766 - Maintained Nursery Class</v>
          </cell>
          <cell r="B74" t="str">
            <v>SCH081</v>
          </cell>
        </row>
        <row r="75">
          <cell r="A75" t="str">
            <v>Hendon Preparatory And Pre-School - 111 - Independent School</v>
          </cell>
          <cell r="B75" t="str">
            <v>SCH082</v>
          </cell>
        </row>
        <row r="76">
          <cell r="A76" t="str">
            <v>St Anthony's School For Girls - 8056 - Independent School</v>
          </cell>
          <cell r="B76" t="str">
            <v>SCH083</v>
          </cell>
        </row>
        <row r="77">
          <cell r="A77" t="str">
            <v>St Martin's School - 543 - Independant School - Nursery Unit</v>
          </cell>
          <cell r="B77" t="str">
            <v>SCH084</v>
          </cell>
        </row>
        <row r="88">
          <cell r="A88" t="str">
            <v>PVI's not to be included in the school heacounts</v>
          </cell>
        </row>
        <row r="89">
          <cell r="A89" t="str">
            <v>Akibola, Deirdre Bolanle - 6237 - Childminder</v>
          </cell>
        </row>
        <row r="90">
          <cell r="A90" t="str">
            <v>Blue Skies Nursery - 5203 - Day Nursery</v>
          </cell>
        </row>
        <row r="91">
          <cell r="A91" t="str">
            <v>MacKinnon, Lesley - 39 - Childminder</v>
          </cell>
        </row>
        <row r="92">
          <cell r="A92" t="str">
            <v>Milicevic, Ivana - 6257 - Childminder</v>
          </cell>
        </row>
        <row r="93">
          <cell r="A93" t="str">
            <v>Pardes House - 1443 - Day Nursery</v>
          </cell>
        </row>
        <row r="94">
          <cell r="A94" t="str">
            <v>St. Philips Pre-School - 1407 - Playgroup Or Pre-School</v>
          </cell>
        </row>
        <row r="95">
          <cell r="A95" t="str">
            <v>Twisty Tails Nursery Ltd - 5375 - Day Nursery</v>
          </cell>
        </row>
        <row r="96">
          <cell r="A96" t="str">
            <v>Fountain Montessori Nursery And Pre-School -edgware - 7837 - Day Nursery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15-16 submitted baselines"/>
      <sheetName val="15-16 submitted HN places"/>
      <sheetName val="Inputs &amp; Adjustments"/>
      <sheetName val="Local Factors"/>
      <sheetName val="Adjusted Factors"/>
      <sheetName val="15-16 final baselines"/>
      <sheetName val="Commentary"/>
      <sheetName val="Proforma"/>
      <sheetName val="De Delegation"/>
      <sheetName val="New ISB"/>
      <sheetName val="School level SB"/>
      <sheetName val="Recoupment"/>
      <sheetName val="Validation sheet"/>
      <sheetName val="Front_Sheet"/>
      <sheetName val="Schools_Block_Data"/>
      <sheetName val="15-16_submitted_baselines"/>
      <sheetName val="15-16_submitted_HN_places"/>
      <sheetName val="Inputs_&amp;_Adjustments"/>
      <sheetName val="Local_Factors"/>
      <sheetName val="Adjusted_Factors"/>
      <sheetName val="15-16_final_baselines"/>
      <sheetName val="De_Delegation"/>
      <sheetName val="New_ISB"/>
      <sheetName val="School_level_SB"/>
      <sheetName val="Validation_sheet"/>
    </sheetNames>
    <sheetDataSet>
      <sheetData sheetId="0"/>
      <sheetData sheetId="1"/>
      <sheetData sheetId="2">
        <row r="1">
          <cell r="A1" t="str">
            <v>October 2015 School Census data</v>
          </cell>
        </row>
      </sheetData>
      <sheetData sheetId="3"/>
      <sheetData sheetId="4"/>
      <sheetData sheetId="5">
        <row r="40">
          <cell r="Z40">
            <v>0</v>
          </cell>
        </row>
      </sheetData>
      <sheetData sheetId="6">
        <row r="5">
          <cell r="S5">
            <v>98</v>
          </cell>
          <cell r="AB5">
            <v>0</v>
          </cell>
        </row>
      </sheetData>
      <sheetData sheetId="7">
        <row r="5">
          <cell r="C5" t="str">
            <v>Total</v>
          </cell>
        </row>
      </sheetData>
      <sheetData sheetId="8"/>
      <sheetData sheetId="9"/>
      <sheetData sheetId="10"/>
      <sheetData sheetId="11"/>
      <sheetData sheetId="12">
        <row r="5">
          <cell r="B5" t="str">
            <v>Total</v>
          </cell>
        </row>
      </sheetData>
      <sheetData sheetId="13"/>
      <sheetData sheetId="14"/>
      <sheetData sheetId="15"/>
      <sheetData sheetId="16"/>
      <sheetData sheetId="17">
        <row r="1">
          <cell r="A1" t="str">
            <v>October 2015 School Census data</v>
          </cell>
        </row>
      </sheetData>
      <sheetData sheetId="18"/>
      <sheetData sheetId="19"/>
      <sheetData sheetId="20">
        <row r="40">
          <cell r="Z40">
            <v>0</v>
          </cell>
        </row>
      </sheetData>
      <sheetData sheetId="21">
        <row r="5">
          <cell r="S5">
            <v>98</v>
          </cell>
        </row>
      </sheetData>
      <sheetData sheetId="22">
        <row r="5">
          <cell r="C5" t="str">
            <v>Total</v>
          </cell>
        </row>
      </sheetData>
      <sheetData sheetId="23"/>
      <sheetData sheetId="24"/>
      <sheetData sheetId="25">
        <row r="5">
          <cell r="B5" t="str">
            <v>Total</v>
          </cell>
        </row>
      </sheetData>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Cover"/>
      <sheetName val="Schools Block Data"/>
      <sheetName val="19-20 submitted baselines"/>
      <sheetName val="Proposed Free Schools"/>
      <sheetName val="19-20 HN places"/>
      <sheetName val="Inputs &amp; Adjustments"/>
      <sheetName val="Local Factors"/>
      <sheetName val="Adjusted Factors"/>
      <sheetName val="19-20 final baselines"/>
      <sheetName val="Commentary"/>
      <sheetName val="ProformaAggregation"/>
      <sheetName val="Proforma"/>
      <sheetName val="Block transfers"/>
      <sheetName val="De Delegation"/>
      <sheetName val="Education Functions"/>
      <sheetName val="New ISB"/>
      <sheetName val="School level SB"/>
      <sheetName val="Recoupment"/>
      <sheetName val="Validation sheet"/>
    </sheetNames>
    <sheetDataSet>
      <sheetData sheetId="0"/>
      <sheetData sheetId="1">
        <row r="7">
          <cell r="T7" t="str">
            <v>20-21</v>
          </cell>
        </row>
      </sheetData>
      <sheetData sheetId="2"/>
      <sheetData sheetId="3"/>
      <sheetData sheetId="4"/>
      <sheetData sheetId="5"/>
      <sheetData sheetId="6">
        <row r="6">
          <cell r="DC6" t="str">
            <v>School closed prior to 1 April 2020</v>
          </cell>
        </row>
        <row r="7">
          <cell r="DC7" t="str">
            <v>New School opening prior to 1 April 2020</v>
          </cell>
        </row>
        <row r="8">
          <cell r="DC8" t="str">
            <v>New School opening after 1 April 2020</v>
          </cell>
        </row>
        <row r="9">
          <cell r="DC9" t="str">
            <v>Amalgamation of schools by 1 April 2020</v>
          </cell>
        </row>
        <row r="10">
          <cell r="DC10" t="str">
            <v>Change in pupil numbers/factors</v>
          </cell>
        </row>
        <row r="11">
          <cell r="DC11" t="str">
            <v>Conversion to academy status prior to 6 January 2020</v>
          </cell>
        </row>
        <row r="12">
          <cell r="DC12" t="str">
            <v>New Academy/Free School</v>
          </cell>
        </row>
        <row r="13">
          <cell r="DC13" t="str">
            <v>Other</v>
          </cell>
        </row>
      </sheetData>
      <sheetData sheetId="7">
        <row r="2">
          <cell r="AB2" t="str">
            <v>Please enter a description for the exceptional factors you choose to apply, which will appear in the Proforma sheet</v>
          </cell>
        </row>
        <row r="5">
          <cell r="AA5">
            <v>0</v>
          </cell>
        </row>
      </sheetData>
      <sheetData sheetId="8">
        <row r="4">
          <cell r="D4" t="str">
            <v>LAESTAB</v>
          </cell>
        </row>
      </sheetData>
      <sheetData sheetId="9">
        <row r="4">
          <cell r="H4" t="str">
            <v>LAESTAB</v>
          </cell>
        </row>
      </sheetData>
      <sheetData sheetId="10"/>
      <sheetData sheetId="11"/>
      <sheetData sheetId="12">
        <row r="9">
          <cell r="D9">
            <v>3750</v>
          </cell>
          <cell r="E9">
            <v>4800</v>
          </cell>
          <cell r="G9">
            <v>5300</v>
          </cell>
          <cell r="I9">
            <v>5000</v>
          </cell>
        </row>
        <row r="12">
          <cell r="E12" t="str">
            <v>No</v>
          </cell>
        </row>
        <row r="14">
          <cell r="E14">
            <v>3139.9001400000002</v>
          </cell>
          <cell r="L14">
            <v>4.4999999999999998E-2</v>
          </cell>
        </row>
        <row r="15">
          <cell r="E15">
            <v>4415.8623600000001</v>
          </cell>
          <cell r="L15">
            <v>4.4999999999999998E-2</v>
          </cell>
        </row>
        <row r="16">
          <cell r="E16">
            <v>5012.6302200000009</v>
          </cell>
          <cell r="L16">
            <v>4.4999999999999998E-2</v>
          </cell>
        </row>
        <row r="18">
          <cell r="E18">
            <v>494.56</v>
          </cell>
          <cell r="F18">
            <v>494.56</v>
          </cell>
          <cell r="L18">
            <v>0.2</v>
          </cell>
          <cell r="M18">
            <v>0.2</v>
          </cell>
        </row>
        <row r="19">
          <cell r="E19">
            <v>615.45000000000005</v>
          </cell>
          <cell r="F19">
            <v>895.7</v>
          </cell>
          <cell r="L19">
            <v>0.2</v>
          </cell>
          <cell r="M19">
            <v>0.2</v>
          </cell>
        </row>
        <row r="20">
          <cell r="E20">
            <v>230.79</v>
          </cell>
          <cell r="F20">
            <v>329.71</v>
          </cell>
          <cell r="L20">
            <v>0.2</v>
          </cell>
          <cell r="M20">
            <v>0.2</v>
          </cell>
        </row>
        <row r="21">
          <cell r="E21">
            <v>274.76</v>
          </cell>
          <cell r="F21">
            <v>445.1</v>
          </cell>
          <cell r="L21">
            <v>0.2</v>
          </cell>
          <cell r="M21">
            <v>0.2</v>
          </cell>
        </row>
        <row r="22">
          <cell r="E22">
            <v>412.13</v>
          </cell>
          <cell r="F22">
            <v>587.98</v>
          </cell>
          <cell r="L22">
            <v>0.2</v>
          </cell>
          <cell r="M22">
            <v>0.2</v>
          </cell>
        </row>
        <row r="23">
          <cell r="E23">
            <v>445.1</v>
          </cell>
          <cell r="F23">
            <v>637.42999999999995</v>
          </cell>
          <cell r="L23">
            <v>0.2</v>
          </cell>
          <cell r="M23">
            <v>0.2</v>
          </cell>
        </row>
        <row r="24">
          <cell r="E24">
            <v>478.07</v>
          </cell>
          <cell r="F24">
            <v>686.89</v>
          </cell>
          <cell r="L24">
            <v>0.2</v>
          </cell>
          <cell r="M24">
            <v>0.2</v>
          </cell>
        </row>
        <row r="25">
          <cell r="E25">
            <v>659.41</v>
          </cell>
          <cell r="F25">
            <v>923.18</v>
          </cell>
          <cell r="L25">
            <v>0.2</v>
          </cell>
          <cell r="M25">
            <v>0.2</v>
          </cell>
        </row>
        <row r="27">
          <cell r="E27">
            <v>0</v>
          </cell>
          <cell r="L27">
            <v>0</v>
          </cell>
        </row>
        <row r="28">
          <cell r="D28" t="str">
            <v>EAL 2 Primary</v>
          </cell>
          <cell r="E28">
            <v>587.98</v>
          </cell>
          <cell r="L28">
            <v>1</v>
          </cell>
        </row>
        <row r="29">
          <cell r="D29" t="str">
            <v>EAL 2 Secondary</v>
          </cell>
          <cell r="F29">
            <v>1582.59</v>
          </cell>
          <cell r="M29">
            <v>1</v>
          </cell>
        </row>
        <row r="30">
          <cell r="E30">
            <v>961.64</v>
          </cell>
          <cell r="F30">
            <v>1373.78</v>
          </cell>
          <cell r="L30">
            <v>1</v>
          </cell>
          <cell r="M30">
            <v>1</v>
          </cell>
        </row>
        <row r="32">
          <cell r="F32">
            <v>1170.46</v>
          </cell>
          <cell r="L32">
            <v>0.2</v>
          </cell>
        </row>
        <row r="33">
          <cell r="F33">
            <v>1769.42</v>
          </cell>
          <cell r="M33">
            <v>0.2</v>
          </cell>
        </row>
        <row r="43">
          <cell r="F43">
            <v>125727.89</v>
          </cell>
          <cell r="G43">
            <v>125727.89</v>
          </cell>
          <cell r="L43">
            <v>0</v>
          </cell>
          <cell r="M43">
            <v>0</v>
          </cell>
        </row>
        <row r="44">
          <cell r="F44"/>
          <cell r="G44"/>
          <cell r="H44"/>
          <cell r="I44"/>
          <cell r="L44">
            <v>0</v>
          </cell>
          <cell r="M44">
            <v>0</v>
          </cell>
        </row>
        <row r="46">
          <cell r="D46"/>
          <cell r="G46"/>
          <cell r="K46" t="str">
            <v>Fixed</v>
          </cell>
        </row>
        <row r="47">
          <cell r="D47"/>
          <cell r="G47"/>
          <cell r="K47" t="str">
            <v>Fixed</v>
          </cell>
        </row>
        <row r="48">
          <cell r="D48"/>
          <cell r="G48"/>
          <cell r="K48" t="str">
            <v>Fixed</v>
          </cell>
        </row>
        <row r="49">
          <cell r="D49"/>
          <cell r="G49"/>
          <cell r="K49" t="str">
            <v>Fixed</v>
          </cell>
        </row>
        <row r="51">
          <cell r="L51">
            <v>0</v>
          </cell>
        </row>
        <row r="52">
          <cell r="L52">
            <v>0</v>
          </cell>
        </row>
        <row r="53">
          <cell r="L53">
            <v>0</v>
          </cell>
        </row>
        <row r="57">
          <cell r="L57"/>
        </row>
        <row r="58">
          <cell r="L58"/>
        </row>
        <row r="59">
          <cell r="L59"/>
        </row>
        <row r="60">
          <cell r="L60"/>
        </row>
        <row r="61">
          <cell r="L61"/>
        </row>
        <row r="62">
          <cell r="L62"/>
        </row>
        <row r="66">
          <cell r="L66"/>
        </row>
        <row r="69">
          <cell r="H69">
            <v>1.84E-2</v>
          </cell>
        </row>
        <row r="71">
          <cell r="J71" t="str">
            <v>No</v>
          </cell>
        </row>
        <row r="72">
          <cell r="D72"/>
          <cell r="G72"/>
        </row>
        <row r="76">
          <cell r="L76"/>
        </row>
      </sheetData>
      <sheetData sheetId="13"/>
      <sheetData sheetId="14">
        <row r="1">
          <cell r="B1" t="str">
            <v>Please enter primary and secondary unit rates against appropriate indicators. For the sparsity factor only please enter percentages.  Academies cannot de-delegate.</v>
          </cell>
        </row>
        <row r="8">
          <cell r="X8">
            <v>17.224988382643687</v>
          </cell>
        </row>
        <row r="9">
          <cell r="Y9">
            <v>13.824257762587878</v>
          </cell>
        </row>
        <row r="10">
          <cell r="X10">
            <v>0</v>
          </cell>
          <cell r="Y10">
            <v>0</v>
          </cell>
        </row>
        <row r="11">
          <cell r="X11">
            <v>11.351369203409593</v>
          </cell>
          <cell r="Y11">
            <v>10.694863030102709</v>
          </cell>
        </row>
        <row r="12">
          <cell r="X12">
            <v>0</v>
          </cell>
          <cell r="Y12">
            <v>0</v>
          </cell>
        </row>
        <row r="13">
          <cell r="X13">
            <v>0</v>
          </cell>
          <cell r="Y13">
            <v>0</v>
          </cell>
        </row>
        <row r="14">
          <cell r="X14">
            <v>0</v>
          </cell>
          <cell r="Y14">
            <v>0</v>
          </cell>
        </row>
        <row r="15">
          <cell r="X15">
            <v>0</v>
          </cell>
          <cell r="Y15">
            <v>0</v>
          </cell>
        </row>
        <row r="16">
          <cell r="X16">
            <v>0</v>
          </cell>
          <cell r="Y16">
            <v>0</v>
          </cell>
        </row>
        <row r="17">
          <cell r="X17">
            <v>0</v>
          </cell>
          <cell r="Y17">
            <v>0</v>
          </cell>
        </row>
        <row r="18">
          <cell r="X18">
            <v>0</v>
          </cell>
          <cell r="Y18">
            <v>0</v>
          </cell>
        </row>
        <row r="19">
          <cell r="X19">
            <v>0</v>
          </cell>
        </row>
        <row r="20">
          <cell r="Y20">
            <v>0</v>
          </cell>
        </row>
        <row r="21">
          <cell r="X21">
            <v>0</v>
          </cell>
        </row>
        <row r="22">
          <cell r="Y22">
            <v>0</v>
          </cell>
        </row>
        <row r="23">
          <cell r="X23">
            <v>0</v>
          </cell>
          <cell r="Y23">
            <v>0</v>
          </cell>
        </row>
        <row r="24">
          <cell r="X24">
            <v>0</v>
          </cell>
          <cell r="Y24">
            <v>0</v>
          </cell>
        </row>
        <row r="26">
          <cell r="X26">
            <v>0</v>
          </cell>
          <cell r="Y26">
            <v>0</v>
          </cell>
        </row>
      </sheetData>
      <sheetData sheetId="15">
        <row r="11">
          <cell r="B11">
            <v>3022002</v>
          </cell>
        </row>
      </sheetData>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details"/>
      <sheetName val="Data Sources"/>
      <sheetName val="New Under Five Assumptions"/>
      <sheetName val="Assumptions"/>
      <sheetName val="Inputs to Inputs!"/>
      <sheetName val="Inputs for SWGE Forecasting"/>
      <sheetName val="Calculation of Repricing Factor"/>
      <sheetName val="Statemented Adjustment Factor "/>
      <sheetName val="PRC Model (Discretionary Comp)"/>
      <sheetName val="PRC Model (Mandatory Comp)"/>
      <sheetName val="Nursery Forecasting"/>
      <sheetName val="Primary Forecasting"/>
      <sheetName val="Secondary Forecasting"/>
      <sheetName val="Special Forecasting"/>
      <sheetName val="FE for Adult Education Forecast"/>
      <sheetName val="Other Forecasting"/>
      <sheetName val="Transport Forecasting"/>
      <sheetName val="Final Summary of all Forecasts"/>
      <sheetName val="Under Fives PVI Split"/>
      <sheetName val="Adding on Extra Grant 00-01"/>
      <sheetName val="Adding on Extra Grant 01-02"/>
      <sheetName val="SSG 2001-02"/>
      <sheetName val="TALL4"/>
      <sheetName val="TALL4 + Extra Grants Monies"/>
      <sheetName val="TALL5 + extra grant monies"/>
      <sheetName val="Tallies Summary"/>
      <sheetName val="Summary of tallies summary"/>
      <sheetName val="Database info"/>
      <sheetName val="Grants 2001-02"/>
      <sheetName val="Project A "/>
      <sheetName val="File_details"/>
      <sheetName val="Data_Sources"/>
      <sheetName val="New_Under_Five_Assumptions"/>
      <sheetName val="Inputs_to_Inputs!"/>
      <sheetName val="Inputs_for_SWGE_Forecasting"/>
      <sheetName val="Calculation_of_Repricing_Factor"/>
      <sheetName val="Statemented_Adjustment_Factor_"/>
      <sheetName val="PRC_Model_(Discretionary_Comp)"/>
      <sheetName val="PRC_Model_(Mandatory_Comp)"/>
      <sheetName val="Nursery_Forecasting"/>
      <sheetName val="Primary_Forecasting"/>
      <sheetName val="Secondary_Forecasting"/>
      <sheetName val="Special_Forecasting"/>
      <sheetName val="FE_for_Adult_Education_Forecast"/>
      <sheetName val="Other_Forecasting"/>
      <sheetName val="Transport_Forecasting"/>
      <sheetName val="Final_Summary_of_all_Forecasts"/>
      <sheetName val="Under_Fives_PVI_Split"/>
      <sheetName val="Adding_on_Extra_Grant_00-01"/>
      <sheetName val="Adding_on_Extra_Grant_01-02"/>
      <sheetName val="SSG_2001-02"/>
      <sheetName val="TALL4_+_Extra_Grants_Monies"/>
      <sheetName val="TALL5_+_extra_grant_monies"/>
      <sheetName val="Tallies_Summary"/>
      <sheetName val="Summary_of_tallies_summary"/>
      <sheetName val="Database_info"/>
      <sheetName val="Grants_2001-02"/>
      <sheetName val="Project_A_"/>
    </sheetNames>
    <sheetDataSet>
      <sheetData sheetId="0" refreshError="1"/>
      <sheetData sheetId="1" refreshError="1"/>
      <sheetData sheetId="2" refreshError="1"/>
      <sheetData sheetId="3" refreshError="1"/>
      <sheetData sheetId="4" refreshError="1"/>
      <sheetData sheetId="5" refreshError="1">
        <row r="3">
          <cell r="B3" t="str">
            <v>1998-99</v>
          </cell>
          <cell r="C3" t="str">
            <v>1999-00</v>
          </cell>
          <cell r="D3" t="str">
            <v>2000-01</v>
          </cell>
          <cell r="E3" t="str">
            <v>2001-02</v>
          </cell>
          <cell r="F3" t="str">
            <v>2002-03</v>
          </cell>
          <cell r="G3" t="str">
            <v>2003-04</v>
          </cell>
          <cell r="H3" t="str">
            <v>2004-05</v>
          </cell>
        </row>
        <row r="135">
          <cell r="C135">
            <v>1</v>
          </cell>
          <cell r="D135">
            <v>1</v>
          </cell>
          <cell r="E135">
            <v>1</v>
          </cell>
          <cell r="F135">
            <v>1</v>
          </cell>
          <cell r="G135">
            <v>1</v>
          </cell>
          <cell r="H135">
            <v>1</v>
          </cell>
        </row>
        <row r="139">
          <cell r="B139">
            <v>196.73915016476209</v>
          </cell>
          <cell r="C139">
            <v>198.91041828191936</v>
          </cell>
          <cell r="D139">
            <v>196.34162543485155</v>
          </cell>
          <cell r="E139">
            <v>200.53888396946479</v>
          </cell>
          <cell r="F139">
            <v>0</v>
          </cell>
          <cell r="G139">
            <v>0</v>
          </cell>
          <cell r="H139">
            <v>0</v>
          </cell>
        </row>
        <row r="144">
          <cell r="B144">
            <v>176.47783333333331</v>
          </cell>
          <cell r="C144">
            <v>175.59816666666666</v>
          </cell>
          <cell r="D144">
            <v>176.12516666666667</v>
          </cell>
          <cell r="E144">
            <v>182.84312520733187</v>
          </cell>
          <cell r="F144">
            <v>187.58534376191687</v>
          </cell>
          <cell r="G144">
            <v>188.49955934202816</v>
          </cell>
          <cell r="H144">
            <v>192.09838747650676</v>
          </cell>
        </row>
        <row r="145">
          <cell r="B145">
            <v>338.64333333333332</v>
          </cell>
          <cell r="C145">
            <v>337.47733333333332</v>
          </cell>
          <cell r="D145">
            <v>337.21066666666661</v>
          </cell>
          <cell r="E145">
            <v>338.74183524869261</v>
          </cell>
          <cell r="F145">
            <v>337.65375845555712</v>
          </cell>
          <cell r="G145">
            <v>333.20393248306664</v>
          </cell>
          <cell r="H145">
            <v>324.64034630614998</v>
          </cell>
        </row>
        <row r="146">
          <cell r="B146">
            <v>195.75183333333331</v>
          </cell>
          <cell r="C146">
            <v>193.28516666666667</v>
          </cell>
          <cell r="D146">
            <v>188.93583333333331</v>
          </cell>
          <cell r="E146">
            <v>191.79893975068418</v>
          </cell>
          <cell r="F146">
            <v>188.18907728269326</v>
          </cell>
          <cell r="G146">
            <v>185.66170830507383</v>
          </cell>
          <cell r="H146">
            <v>182.24230940105787</v>
          </cell>
        </row>
        <row r="147">
          <cell r="B147">
            <v>3589.6316666666667</v>
          </cell>
          <cell r="C147">
            <v>3579.2423333333331</v>
          </cell>
          <cell r="D147">
            <v>3559.9576666666667</v>
          </cell>
          <cell r="E147">
            <v>3514.2731665065708</v>
          </cell>
          <cell r="F147">
            <v>3463.6839864801459</v>
          </cell>
          <cell r="G147">
            <v>3409.9944006875144</v>
          </cell>
          <cell r="H147">
            <v>3363.4002547634286</v>
          </cell>
        </row>
        <row r="148">
          <cell r="B148">
            <v>4300.5046666666667</v>
          </cell>
          <cell r="C148">
            <v>4285.6030000000001</v>
          </cell>
          <cell r="D148">
            <v>4262.2293333333337</v>
          </cell>
          <cell r="E148">
            <v>4227.6570667132792</v>
          </cell>
          <cell r="F148">
            <v>4177.112165980313</v>
          </cell>
          <cell r="G148">
            <v>4117.3596008176828</v>
          </cell>
          <cell r="H148">
            <v>4062.3812979471431</v>
          </cell>
        </row>
        <row r="152">
          <cell r="B152">
            <v>1.1399999999999999</v>
          </cell>
          <cell r="C152">
            <v>0.85</v>
          </cell>
        </row>
        <row r="153">
          <cell r="B153">
            <v>15.68</v>
          </cell>
          <cell r="C153">
            <v>8.6</v>
          </cell>
        </row>
        <row r="154">
          <cell r="B154">
            <v>2.1800000000000002</v>
          </cell>
          <cell r="C154">
            <v>8.6</v>
          </cell>
        </row>
        <row r="155">
          <cell r="B155">
            <v>6.93</v>
          </cell>
          <cell r="C155">
            <v>8.6</v>
          </cell>
        </row>
        <row r="156">
          <cell r="B156">
            <v>1.4</v>
          </cell>
          <cell r="C156">
            <v>1</v>
          </cell>
        </row>
        <row r="157">
          <cell r="B157">
            <v>1.53</v>
          </cell>
          <cell r="C157">
            <v>1</v>
          </cell>
        </row>
        <row r="160">
          <cell r="C160" t="str">
            <v>-</v>
          </cell>
          <cell r="D160">
            <v>13.63</v>
          </cell>
          <cell r="E160">
            <v>14.452999999999999</v>
          </cell>
          <cell r="F160">
            <v>14.452999999999999</v>
          </cell>
          <cell r="G160">
            <v>14.452999999999999</v>
          </cell>
          <cell r="H160">
            <v>14.452999999999999</v>
          </cell>
        </row>
        <row r="161">
          <cell r="C161" t="str">
            <v>-</v>
          </cell>
          <cell r="D161">
            <v>12.96100000000024</v>
          </cell>
          <cell r="E161">
            <v>12.96100000000024</v>
          </cell>
          <cell r="F161">
            <v>12.96100000000024</v>
          </cell>
          <cell r="G161">
            <v>12.96100000000024</v>
          </cell>
          <cell r="H161">
            <v>12.96100000000024</v>
          </cell>
        </row>
      </sheetData>
      <sheetData sheetId="6" refreshError="1">
        <row r="240">
          <cell r="K240">
            <v>1</v>
          </cell>
          <cell r="L240">
            <v>1.0297601082031023</v>
          </cell>
          <cell r="M240">
            <v>1.0666882222224918</v>
          </cell>
          <cell r="N240">
            <v>1.1053587463911394</v>
          </cell>
          <cell r="O240">
            <v>1.1454539305977025</v>
          </cell>
          <cell r="P240">
            <v>1.1870387324689833</v>
          </cell>
        </row>
        <row r="348">
          <cell r="B348">
            <v>1</v>
          </cell>
          <cell r="C348">
            <v>1.0337125366442488</v>
          </cell>
          <cell r="D348">
            <v>1.0743617714194258</v>
          </cell>
          <cell r="E348">
            <v>1.1172222551126498</v>
          </cell>
          <cell r="F348">
            <v>1.1617809636840031</v>
          </cell>
          <cell r="G348">
            <v>1.2081168285019857</v>
          </cell>
        </row>
        <row r="349">
          <cell r="B349">
            <v>1</v>
          </cell>
          <cell r="C349">
            <v>1.0307207130923617</v>
          </cell>
          <cell r="D349">
            <v>1.0639031775845678</v>
          </cell>
          <cell r="E349">
            <v>1.1011428594325494</v>
          </cell>
          <cell r="F349">
            <v>1.1396814871433976</v>
          </cell>
          <cell r="G349">
            <v>1.1795641018229328</v>
          </cell>
        </row>
        <row r="350">
          <cell r="B350">
            <v>1</v>
          </cell>
          <cell r="C350">
            <v>1.0281536801164768</v>
          </cell>
          <cell r="D350">
            <v>1.0641390589205535</v>
          </cell>
          <cell r="E350">
            <v>1.1013891169050116</v>
          </cell>
          <cell r="F350">
            <v>1.1399317081967741</v>
          </cell>
          <cell r="G350">
            <v>1.179823079243741</v>
          </cell>
        </row>
        <row r="351">
          <cell r="B351">
            <v>1</v>
          </cell>
          <cell r="C351">
            <v>1.0281536801164768</v>
          </cell>
          <cell r="D351">
            <v>1.0641390589205535</v>
          </cell>
          <cell r="E351">
            <v>1.1013891169050116</v>
          </cell>
          <cell r="F351">
            <v>1.1399317081967741</v>
          </cell>
          <cell r="G351">
            <v>1.179823079243741</v>
          </cell>
        </row>
        <row r="352">
          <cell r="B352">
            <v>1</v>
          </cell>
          <cell r="C352">
            <v>1.0181536801164768</v>
          </cell>
          <cell r="D352">
            <v>1.0436075221193886</v>
          </cell>
          <cell r="E352">
            <v>1.0697028009407741</v>
          </cell>
          <cell r="F352">
            <v>1.0964395165806327</v>
          </cell>
          <cell r="G352">
            <v>1.1238445037839366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row r="3">
          <cell r="B3" t="str">
            <v>1998-99</v>
          </cell>
        </row>
      </sheetData>
      <sheetData sheetId="35">
        <row r="240">
          <cell r="K240">
            <v>1</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hyperlink" Target="https://view.officeapps.live.com/op/view.aspx?src=https%3A%2F%2Fassets.publishing.service.gov.uk%2Fgovernment%2Fuploads%2Fsystem%2Fuploads%2Fattachment_data%2Ffile%2F1145250%2FPupil_Premium_FY_2022_to_2023_final_allocations.ods&amp;wdOrigin=BROWSELINK" TargetMode="Externa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file:///\\lbbarnet.local\sharedareas\Accountancy\School%20Funding\Cycle%2012-2020-21\Pupil%20Numbers\Copy%20of%20Main-Acde%20pupil%20numbers%20jan%20census%202020%20CB.xls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hyperlink" Target="file:///\\lbbarnet.local\sharedareas\Accountancy\School%20Funding\Cycle%2012-2020-21\Pupil%20Premium\Dec%2020%20PP%20LA%20school%20level%20%20AP%20LA%20level-v2%20(version%201).xls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gov.uk/government/publications/pupil-premium-allocations-and-conditions-of-grant-2023-to-2024"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6"/>
  </sheetPr>
  <dimension ref="A1:AI529"/>
  <sheetViews>
    <sheetView tabSelected="1" zoomScaleNormal="100" workbookViewId="0">
      <pane xSplit="2" ySplit="7" topLeftCell="C8" activePane="bottomRight" state="frozen"/>
      <selection activeCell="A57" sqref="A57:IV57"/>
      <selection pane="topRight" activeCell="A57" sqref="A57:IV57"/>
      <selection pane="bottomLeft" activeCell="A57" sqref="A57:IV57"/>
      <selection pane="bottomRight" activeCell="C3" sqref="C3"/>
    </sheetView>
  </sheetViews>
  <sheetFormatPr defaultRowHeight="13.2"/>
  <cols>
    <col min="1" max="1" width="32.88671875" customWidth="1"/>
    <col min="2" max="2" width="35.33203125" customWidth="1"/>
    <col min="3" max="6" width="18.88671875" customWidth="1"/>
    <col min="7" max="9" width="14.33203125" bestFit="1" customWidth="1"/>
    <col min="10" max="12" width="15.5546875" bestFit="1" customWidth="1"/>
    <col min="30" max="33" width="11.33203125" customWidth="1"/>
  </cols>
  <sheetData>
    <row r="1" spans="1:35" ht="19.2" thickBot="1">
      <c r="A1" s="464" t="s">
        <v>891</v>
      </c>
      <c r="B1" s="212"/>
      <c r="C1" s="212"/>
      <c r="D1" s="212"/>
      <c r="E1" s="212"/>
      <c r="F1" s="212"/>
      <c r="G1" s="212"/>
      <c r="H1" s="212"/>
      <c r="I1" s="212"/>
      <c r="J1" s="212"/>
      <c r="K1" s="212"/>
      <c r="AE1" t="e">
        <f>VLOOKUP(C2,'All Schools Data view only'!A:EB,61,0)</f>
        <v>#N/A</v>
      </c>
    </row>
    <row r="2" spans="1:35" ht="18.600000000000001" thickTop="1" thickBot="1">
      <c r="B2" s="213" t="s">
        <v>333</v>
      </c>
      <c r="C2" s="1">
        <f>VLOOKUP(C3,$B$422:$C$537,2,0)</f>
        <v>9999</v>
      </c>
      <c r="D2" s="1">
        <f>VLOOKUP(D3,$B$422:$C$537,2,0)</f>
        <v>9999</v>
      </c>
      <c r="E2" s="1">
        <f>VLOOKUP(E3,$B$422:$C$537,2,0)</f>
        <v>9999</v>
      </c>
      <c r="F2" s="1">
        <f>VLOOKUP(F3,$B$422:$C$537,2,0)</f>
        <v>9999</v>
      </c>
      <c r="AD2" s="15" t="s">
        <v>503</v>
      </c>
      <c r="AE2" s="15" t="s">
        <v>504</v>
      </c>
      <c r="AF2" s="15" t="s">
        <v>505</v>
      </c>
      <c r="AG2" s="15" t="s">
        <v>506</v>
      </c>
      <c r="AH2" s="15" t="s">
        <v>507</v>
      </c>
      <c r="AI2" s="211" t="s">
        <v>692</v>
      </c>
    </row>
    <row r="3" spans="1:35" ht="42.75" customHeight="1" thickTop="1" thickBot="1">
      <c r="A3" s="628" t="s">
        <v>0</v>
      </c>
      <c r="B3" s="629"/>
      <c r="C3" s="476" t="s">
        <v>26</v>
      </c>
      <c r="D3" s="476" t="s">
        <v>26</v>
      </c>
      <c r="E3" s="476" t="s">
        <v>26</v>
      </c>
      <c r="F3" s="476" t="s">
        <v>26</v>
      </c>
      <c r="AD3" s="53">
        <v>1999</v>
      </c>
      <c r="AE3">
        <v>5999</v>
      </c>
      <c r="AF3">
        <v>6999</v>
      </c>
      <c r="AG3">
        <v>7999</v>
      </c>
      <c r="AH3">
        <v>8999</v>
      </c>
      <c r="AI3">
        <v>4999</v>
      </c>
    </row>
    <row r="4" spans="1:35" ht="13.5" hidden="1" customHeight="1" thickTop="1"/>
    <row r="5" spans="1:35" ht="17.25" customHeight="1" thickTop="1" thickBot="1">
      <c r="B5" s="214" t="s">
        <v>317</v>
      </c>
      <c r="C5" s="466" t="e">
        <f>VLOOKUP(C2,'All Schools Data view only'!$A$4:$EB$95,60,0)</f>
        <v>#N/A</v>
      </c>
      <c r="D5" s="466" t="e">
        <f>VLOOKUP(D2,'All Schools Data view only'!$A$4:$EB$95,60,0)</f>
        <v>#N/A</v>
      </c>
      <c r="E5" s="466" t="e">
        <f>VLOOKUP(E2,'All Schools Data view only'!$A$4:$EB$95,60,0)</f>
        <v>#N/A</v>
      </c>
      <c r="F5" s="466" t="e">
        <f>VLOOKUP(F2,'All Schools Data view only'!$A$4:$EB$95,60,0)</f>
        <v>#N/A</v>
      </c>
      <c r="M5" s="13"/>
      <c r="N5" s="13"/>
      <c r="O5" s="13"/>
      <c r="P5" s="13"/>
      <c r="Q5" s="13"/>
      <c r="R5" s="13"/>
      <c r="S5" s="13"/>
      <c r="T5" s="13"/>
      <c r="U5" s="13"/>
      <c r="V5" s="13"/>
      <c r="W5" s="13"/>
      <c r="X5" s="13"/>
      <c r="Y5" s="13"/>
      <c r="Z5" s="13"/>
    </row>
    <row r="6" spans="1:35" ht="16.8" thickTop="1" thickBot="1">
      <c r="A6" s="215"/>
      <c r="B6" s="216"/>
      <c r="C6" s="217"/>
      <c r="D6" s="217"/>
      <c r="E6" s="217"/>
      <c r="F6" s="217"/>
      <c r="G6" s="630" t="s">
        <v>334</v>
      </c>
      <c r="H6" s="631"/>
      <c r="I6" s="631"/>
      <c r="J6" s="631"/>
      <c r="K6" s="631"/>
      <c r="L6" s="632"/>
    </row>
    <row r="7" spans="1:35" ht="49.2" customHeight="1" thickTop="1" thickBot="1">
      <c r="A7" s="467" t="s">
        <v>1</v>
      </c>
      <c r="B7" s="468" t="s">
        <v>2</v>
      </c>
      <c r="C7" s="465" t="s">
        <v>3</v>
      </c>
      <c r="D7" s="465" t="s">
        <v>3</v>
      </c>
      <c r="E7" s="465" t="s">
        <v>3</v>
      </c>
      <c r="F7" s="465" t="s">
        <v>3</v>
      </c>
      <c r="G7" s="469" t="s">
        <v>4</v>
      </c>
      <c r="H7" s="470" t="s">
        <v>5</v>
      </c>
      <c r="I7" s="470" t="s">
        <v>6</v>
      </c>
      <c r="J7" s="471" t="s">
        <v>693</v>
      </c>
      <c r="K7" s="471" t="s">
        <v>7</v>
      </c>
      <c r="L7" s="471" t="s">
        <v>346</v>
      </c>
    </row>
    <row r="8" spans="1:35" ht="16.2" thickTop="1">
      <c r="A8" s="218" t="s">
        <v>8</v>
      </c>
      <c r="B8" s="219"/>
      <c r="C8" s="220"/>
      <c r="D8" s="220"/>
      <c r="E8" s="220"/>
      <c r="F8" s="220"/>
      <c r="G8" s="221"/>
      <c r="H8" s="222"/>
      <c r="I8" s="222"/>
      <c r="J8" s="223"/>
      <c r="K8" s="223"/>
    </row>
    <row r="9" spans="1:35" ht="15.6">
      <c r="A9" s="224" t="s">
        <v>253</v>
      </c>
      <c r="B9" s="225" t="s">
        <v>9</v>
      </c>
      <c r="C9" s="226" t="str">
        <f>IF(ISERROR(VLOOKUP(C$2,'All Schools Data view only'!$A:$ED,63,0)),"",VLOOKUP(C$2,'All Schools Data view only'!$A:$ED,63,0))</f>
        <v/>
      </c>
      <c r="D9" s="226" t="str">
        <f>IF(ISERROR(VLOOKUP(D$2,'All Schools Data view only'!$A:$ED,63,0)),"",VLOOKUP(D$2,'All Schools Data view only'!$A:$ED,63,0))</f>
        <v/>
      </c>
      <c r="E9" s="226" t="str">
        <f>IF(ISERROR(VLOOKUP(E$2,'All Schools Data view only'!$A:$ED,63,0)),"",VLOOKUP(E$2,'All Schools Data view only'!$A:$ED,63,0))</f>
        <v/>
      </c>
      <c r="F9" s="226" t="str">
        <f>IF(ISERROR(VLOOKUP(F$2,'All Schools Data view only'!$A:$ED,63,0)),"",VLOOKUP(F$2,'All Schools Data view only'!$A:$ED,63,0))</f>
        <v/>
      </c>
      <c r="G9" s="227">
        <f>VLOOKUP(AD$3,'All Schools Data view only'!A:ED,63,0)</f>
        <v>0.34277640337709758</v>
      </c>
      <c r="H9" s="228">
        <f>VLOOKUP(AE$3,'All Schools Data view only'!A:ED,63,0)</f>
        <v>0.75537544438460313</v>
      </c>
      <c r="I9" s="228">
        <f>VLOOKUP(AF$3,'All Schools Data view only'!A:ED,63,0)</f>
        <v>0.69220193769434102</v>
      </c>
      <c r="J9" s="228">
        <f>VLOOKUP(AI$3,'All Schools Data view only'!A:ED,63,0)</f>
        <v>0.78114321383151819</v>
      </c>
      <c r="K9" s="229">
        <f>VLOOKUP(AG$3,'All Schools Data view only'!A:ED,63,0)</f>
        <v>0.34543961631733477</v>
      </c>
      <c r="L9" s="229">
        <f>VLOOKUP(AH$3,'All Schools Data view only'!A:ED,63,0)</f>
        <v>0.56137564662689055</v>
      </c>
    </row>
    <row r="10" spans="1:35" ht="15.6">
      <c r="A10" s="218"/>
      <c r="B10" s="230" t="s">
        <v>10</v>
      </c>
      <c r="C10" s="231" t="str">
        <f>IF(ISERROR(VLOOKUP(C$2,'All Schools Data view only'!$A:$ED,64,0)),"",VLOOKUP(C$2,'All Schools Data view only'!$A:$ED,64,0))</f>
        <v/>
      </c>
      <c r="D10" s="231" t="str">
        <f>IF(ISERROR(VLOOKUP(D$2,'All Schools Data view only'!$A:$ED,64,0)),"",VLOOKUP(D$2,'All Schools Data view only'!$A:$ED,64,0))</f>
        <v/>
      </c>
      <c r="E10" s="231" t="str">
        <f>IF(ISERROR(VLOOKUP(E$2,'All Schools Data view only'!$A:$ED,64,0)),"",VLOOKUP(E$2,'All Schools Data view only'!$A:$ED,64,0))</f>
        <v/>
      </c>
      <c r="F10" s="231" t="str">
        <f>IF(ISERROR(VLOOKUP(F$2,'All Schools Data view only'!$A:$ED,64,0)),"",VLOOKUP(F$2,'All Schools Data view only'!$A:$ED,64,0))</f>
        <v/>
      </c>
      <c r="G10" s="232">
        <f>VLOOKUP(AD$3,'All Schools Data view only'!A:ED,64,0)</f>
        <v>9927.6373629385962</v>
      </c>
      <c r="H10" s="233">
        <f>VLOOKUP(AE$3,'All Schools Data view only'!A:ED,64,0)</f>
        <v>6311.9520230077169</v>
      </c>
      <c r="I10" s="233">
        <f>VLOOKUP(AF$3,'All Schools Data view only'!A:ED,64,0)</f>
        <v>7647.4049369676477</v>
      </c>
      <c r="J10" s="233">
        <f>VLOOKUP(AI$3,'All Schools Data view only'!A:ED,64,0)</f>
        <v>6939.7061595174264</v>
      </c>
      <c r="K10" s="234">
        <f>VLOOKUP(AG$3,'All Schools Data view only'!A:ED,64,0)</f>
        <v>14881.366867521368</v>
      </c>
      <c r="L10" s="234">
        <f>VLOOKUP(AH$3,'All Schools Data view only'!A:ED,64,0)</f>
        <v>58805.395499999999</v>
      </c>
    </row>
    <row r="11" spans="1:35" ht="15.6">
      <c r="A11" s="218"/>
      <c r="B11" s="219"/>
      <c r="C11" s="220"/>
      <c r="D11" s="220"/>
      <c r="E11" s="220"/>
      <c r="F11" s="220"/>
      <c r="G11" s="235"/>
      <c r="H11" s="236"/>
      <c r="I11" s="236"/>
      <c r="J11" s="237"/>
      <c r="K11" s="237"/>
      <c r="L11" s="237"/>
    </row>
    <row r="12" spans="1:35" ht="15.6">
      <c r="A12" s="224" t="s">
        <v>135</v>
      </c>
      <c r="B12" s="225" t="s">
        <v>9</v>
      </c>
      <c r="C12" s="226" t="str">
        <f>IF(ISERROR(VLOOKUP(C$2,'All Schools Data view only'!$A:$ED,65,0)),"",VLOOKUP(C$2,'All Schools Data view only'!$A:$ED,65,0))</f>
        <v/>
      </c>
      <c r="D12" s="226" t="str">
        <f>IF(ISERROR(VLOOKUP(D$2,'All Schools Data view only'!$A:$ED,65,0)),"",VLOOKUP(D$2,'All Schools Data view only'!$A:$ED,65,0))</f>
        <v/>
      </c>
      <c r="E12" s="226" t="str">
        <f>IF(ISERROR(VLOOKUP(E$2,'All Schools Data view only'!$A:$ED,65,0)),"",VLOOKUP(E$2,'All Schools Data view only'!$A:$ED,65,0))</f>
        <v/>
      </c>
      <c r="F12" s="226" t="str">
        <f>IF(ISERROR(VLOOKUP(F$2,'All Schools Data view only'!$A:$ED,65,0)),"",VLOOKUP(F$2,'All Schools Data view only'!$A:$ED,65,0))</f>
        <v/>
      </c>
      <c r="G12" s="238">
        <f>VLOOKUP(AD$3,'All Schools Data view only'!A:ED,65,0)</f>
        <v>0</v>
      </c>
      <c r="H12" s="239">
        <f>VLOOKUP(AE$3,'All Schools Data view only'!A:ED,65,0)</f>
        <v>0</v>
      </c>
      <c r="I12" s="239">
        <f>VLOOKUP(AF$3,'All Schools Data view only'!A:ED,65,0)</f>
        <v>0.13264910598831539</v>
      </c>
      <c r="J12" s="239">
        <f>VLOOKUP(AI$3,'All Schools Data view only'!A:ED,65,0)</f>
        <v>5.4313174210070266E-2</v>
      </c>
      <c r="K12" s="240">
        <f>VLOOKUP(AG$3,'All Schools Data view only'!A:ED,65,0)</f>
        <v>2.9925833289170829E-2</v>
      </c>
      <c r="L12" s="240">
        <f>VLOOKUP(AH$3,'All Schools Data view only'!A:ED,65,0)</f>
        <v>0</v>
      </c>
    </row>
    <row r="13" spans="1:35" ht="15.6">
      <c r="A13" s="224"/>
      <c r="B13" s="230" t="s">
        <v>10</v>
      </c>
      <c r="C13" s="231" t="str">
        <f>IF(ISERROR(VLOOKUP(C$2,'All Schools Data view only'!$A:$ED,66,0)),"",VLOOKUP(C$2,'All Schools Data view only'!$A:$ED,66,0))</f>
        <v/>
      </c>
      <c r="D13" s="231" t="str">
        <f>IF(ISERROR(VLOOKUP(D$2,'All Schools Data view only'!$A:$ED,66,0)),"",VLOOKUP(D$2,'All Schools Data view only'!$A:$ED,66,0))</f>
        <v/>
      </c>
      <c r="E13" s="231" t="str">
        <f>IF(ISERROR(VLOOKUP(E$2,'All Schools Data view only'!$A:$ED,66,0)),"",VLOOKUP(E$2,'All Schools Data view only'!$A:$ED,66,0))</f>
        <v/>
      </c>
      <c r="F13" s="231" t="str">
        <f>IF(ISERROR(VLOOKUP(F$2,'All Schools Data view only'!$A:$ED,66,0)),"",VLOOKUP(F$2,'All Schools Data view only'!$A:$ED,66,0))</f>
        <v/>
      </c>
      <c r="G13" s="241">
        <f>VLOOKUP(AD$3,'All Schools Data view only'!A:ED,66,0)</f>
        <v>0</v>
      </c>
      <c r="H13" s="242">
        <f>VLOOKUP(AE$3,'All Schools Data view only'!A:ED,66,0)</f>
        <v>0</v>
      </c>
      <c r="I13" s="242">
        <f>VLOOKUP(AF$3,'All Schools Data view only'!A:ED,66,0)</f>
        <v>1513.5173626605163</v>
      </c>
      <c r="J13" s="242">
        <f>VLOOKUP(AI$3,'All Schools Data view only'!A:ED,66,0)</f>
        <v>482.52031501340485</v>
      </c>
      <c r="K13" s="243">
        <f>VLOOKUP(AG$3,'All Schools Data view only'!A:ED,66,0)</f>
        <v>1898.148148148148</v>
      </c>
      <c r="L13" s="243">
        <f>VLOOKUP(AH$3,'All Schools Data view only'!A:ED,66,0)</f>
        <v>0</v>
      </c>
    </row>
    <row r="14" spans="1:35" ht="15.6">
      <c r="A14" s="224"/>
      <c r="B14" s="230"/>
      <c r="C14" s="220"/>
      <c r="D14" s="220"/>
      <c r="E14" s="220"/>
      <c r="F14" s="220"/>
      <c r="G14" s="235"/>
      <c r="H14" s="236"/>
      <c r="I14" s="236"/>
      <c r="J14" s="237"/>
      <c r="K14" s="237"/>
      <c r="L14" s="237"/>
    </row>
    <row r="15" spans="1:35" ht="15.6">
      <c r="A15" s="224" t="s">
        <v>136</v>
      </c>
      <c r="B15" s="225" t="s">
        <v>9</v>
      </c>
      <c r="C15" s="226" t="str">
        <f>IF(ISERROR(VLOOKUP(C$2,'All Schools Data view only'!$A:$ED,67,0)),"",VLOOKUP(C$2,'All Schools Data view only'!$A:$ED,67,0))</f>
        <v/>
      </c>
      <c r="D15" s="226" t="str">
        <f>IF(ISERROR(VLOOKUP(D$2,'All Schools Data view only'!$A:$ED,67,0)),"",VLOOKUP(D$2,'All Schools Data view only'!$A:$ED,67,0))</f>
        <v/>
      </c>
      <c r="E15" s="226" t="str">
        <f>IF(ISERROR(VLOOKUP(E$2,'All Schools Data view only'!$A:$ED,67,0)),"",VLOOKUP(E$2,'All Schools Data view only'!$A:$ED,67,0))</f>
        <v/>
      </c>
      <c r="F15" s="226" t="str">
        <f>IF(ISERROR(VLOOKUP(F$2,'All Schools Data view only'!$A:$ED,67,0)),"",VLOOKUP(F$2,'All Schools Data view only'!$A:$ED,67,0))</f>
        <v/>
      </c>
      <c r="G15" s="238">
        <f>VLOOKUP(AD$3,'All Schools Data view only'!A:ED,67,0)</f>
        <v>1.3224557805475977E-2</v>
      </c>
      <c r="H15" s="239">
        <f>VLOOKUP(AE$3,'All Schools Data view only'!A:ED,67,0)</f>
        <v>6.2668675623086631E-2</v>
      </c>
      <c r="I15" s="239">
        <f>VLOOKUP(AF$3,'All Schools Data view only'!A:ED,67,0)</f>
        <v>4.2433242004143591E-2</v>
      </c>
      <c r="J15" s="239">
        <f>VLOOKUP(AI$3,'All Schools Data view only'!A:ED,67,0)</f>
        <v>3.0242735068924831E-2</v>
      </c>
      <c r="K15" s="240">
        <f>VLOOKUP(AG$3,'All Schools Data view only'!A:ED,67,0)</f>
        <v>0.54391094455928812</v>
      </c>
      <c r="L15" s="240">
        <f>VLOOKUP(AH$3,'All Schools Data view only'!A:ED,67,0)</f>
        <v>0.16872806715151367</v>
      </c>
    </row>
    <row r="16" spans="1:35" ht="15.6">
      <c r="A16" s="224"/>
      <c r="B16" s="230" t="s">
        <v>10</v>
      </c>
      <c r="C16" s="231" t="str">
        <f>IF(ISERROR(VLOOKUP(C$2,'All Schools Data view only'!$A:$ED,68,0)),"",VLOOKUP(C$2,'All Schools Data view only'!$A:$ED,68,0))</f>
        <v/>
      </c>
      <c r="D16" s="231" t="str">
        <f>IF(ISERROR(VLOOKUP(D$2,'All Schools Data view only'!$A:$ED,68,0)),"",VLOOKUP(D$2,'All Schools Data view only'!$A:$ED,68,0))</f>
        <v/>
      </c>
      <c r="E16" s="231" t="str">
        <f>IF(ISERROR(VLOOKUP(E$2,'All Schools Data view only'!$A:$ED,68,0)),"",VLOOKUP(E$2,'All Schools Data view only'!$A:$ED,68,0))</f>
        <v/>
      </c>
      <c r="F16" s="231" t="str">
        <f>IF(ISERROR(VLOOKUP(F$2,'All Schools Data view only'!$A:$ED,68,0)),"",VLOOKUP(F$2,'All Schools Data view only'!$A:$ED,68,0))</f>
        <v/>
      </c>
      <c r="G16" s="241">
        <f>VLOOKUP(AD$3,'All Schools Data view only'!A:ED,68,0)</f>
        <v>458.88427083333335</v>
      </c>
      <c r="H16" s="242">
        <f>VLOOKUP(AE$3,'All Schools Data view only'!A:ED,68,0)</f>
        <v>552.86376772372455</v>
      </c>
      <c r="I16" s="242">
        <f>VLOOKUP(AF$3,'All Schools Data view only'!A:ED,68,0)</f>
        <v>528.05996922896691</v>
      </c>
      <c r="J16" s="242">
        <f>VLOOKUP(AI$3,'All Schools Data view only'!A:ED,68,0)</f>
        <v>268.67761394101876</v>
      </c>
      <c r="K16" s="243">
        <f>VLOOKUP(AG$3,'All Schools Data view only'!A:ED,68,0)</f>
        <v>25781.246319800568</v>
      </c>
      <c r="L16" s="243">
        <f>VLOOKUP(AH$3,'All Schools Data view only'!A:ED,68,0)</f>
        <v>14547.620111111111</v>
      </c>
    </row>
    <row r="17" spans="1:12" ht="15">
      <c r="A17" s="224"/>
      <c r="B17" s="230"/>
      <c r="C17" s="244"/>
      <c r="D17" s="244"/>
      <c r="E17" s="244"/>
      <c r="F17" s="244"/>
      <c r="G17" s="235"/>
      <c r="H17" s="236"/>
      <c r="I17" s="236"/>
      <c r="J17" s="237"/>
      <c r="K17" s="237"/>
      <c r="L17" s="237"/>
    </row>
    <row r="18" spans="1:12" ht="15.6">
      <c r="A18" s="224" t="s">
        <v>331</v>
      </c>
      <c r="B18" s="225" t="s">
        <v>9</v>
      </c>
      <c r="C18" s="226" t="str">
        <f>IF(ISERROR(VLOOKUP(C$2,'All Schools Data view only'!$A:$ED,71,0)),"",VLOOKUP(C$2,'All Schools Data view only'!$A:$ED,71,0))</f>
        <v/>
      </c>
      <c r="D18" s="226" t="str">
        <f>IF(ISERROR(VLOOKUP(D$2,'All Schools Data view only'!$A:$ED,71,0)),"",VLOOKUP(D$2,'All Schools Data view only'!$A:$ED,71,0))</f>
        <v/>
      </c>
      <c r="E18" s="226" t="str">
        <f>IF(ISERROR(VLOOKUP(E$2,'All Schools Data view only'!$A:$ED,71,0)),"",VLOOKUP(E$2,'All Schools Data view only'!$A:$ED,71,0))</f>
        <v/>
      </c>
      <c r="F18" s="226" t="str">
        <f>IF(ISERROR(VLOOKUP(F$2,'All Schools Data view only'!$A:$ED,71,0)),"",VLOOKUP(F$2,'All Schools Data view only'!$A:$ED,71,0))</f>
        <v/>
      </c>
      <c r="G18" s="238">
        <f>VLOOKUP(AD$3,'All Schools Data view only'!A:ED,71,0)</f>
        <v>0</v>
      </c>
      <c r="H18" s="239">
        <f>VLOOKUP(AE$3,'All Schools Data view only'!A:ED,71,0)</f>
        <v>3.5766608568264503E-2</v>
      </c>
      <c r="I18" s="239">
        <f>VLOOKUP(AF$3,'All Schools Data view only'!A:ED,71,0)</f>
        <v>1.8562958581625575E-2</v>
      </c>
      <c r="J18" s="239">
        <f>VLOOKUP(AI$3,'All Schools Data view only'!A:ED,71,0)</f>
        <v>3.8548289538955872E-2</v>
      </c>
      <c r="K18" s="240">
        <f>VLOOKUP(AG$3,'All Schools Data view only'!A:ED,71,0)</f>
        <v>1.4993766568647428E-2</v>
      </c>
      <c r="L18" s="240">
        <f>VLOOKUP(AH$3,'All Schools Data view only'!A:ED,71,0)</f>
        <v>7.2632468427012101E-3</v>
      </c>
    </row>
    <row r="19" spans="1:12" ht="15.6">
      <c r="A19" s="224"/>
      <c r="B19" s="230" t="s">
        <v>10</v>
      </c>
      <c r="C19" s="231" t="str">
        <f>IF(ISERROR(VLOOKUP(C$2,'All Schools Data view only'!$A:$ED,72,0)),"",VLOOKUP(C$2,'All Schools Data view only'!$A:$ED,72,0))</f>
        <v/>
      </c>
      <c r="D19" s="231" t="str">
        <f>IF(ISERROR(VLOOKUP(D$2,'All Schools Data view only'!$A:$ED,72,0)),"",VLOOKUP(D$2,'All Schools Data view only'!$A:$ED,72,0))</f>
        <v/>
      </c>
      <c r="E19" s="231" t="str">
        <f>IF(ISERROR(VLOOKUP(E$2,'All Schools Data view only'!$A:$ED,72,0)),"",VLOOKUP(E$2,'All Schools Data view only'!$A:$ED,72,0))</f>
        <v/>
      </c>
      <c r="F19" s="231" t="str">
        <f>IF(ISERROR(VLOOKUP(F$2,'All Schools Data view only'!$A:$ED,72,0)),"",VLOOKUP(F$2,'All Schools Data view only'!$A:$ED,72,0))</f>
        <v/>
      </c>
      <c r="G19" s="241">
        <f>VLOOKUP(AD$3,'All Schools Data view only'!A:ED,72,0)</f>
        <v>0</v>
      </c>
      <c r="H19" s="242">
        <f>VLOOKUP(AE$3,'All Schools Data view only'!A:ED,72,0)</f>
        <v>304.27453700468561</v>
      </c>
      <c r="I19" s="242">
        <f>VLOOKUP(AF$3,'All Schools Data view only'!A:ED,72,0)</f>
        <v>192.32552693523567</v>
      </c>
      <c r="J19" s="242">
        <f>VLOOKUP(AI$3,'All Schools Data view only'!A:ED,72,0)</f>
        <v>342.46447721179624</v>
      </c>
      <c r="K19" s="243">
        <f>VLOOKUP(AG$3,'All Schools Data view only'!A:ED,72,0)</f>
        <v>630.96017663817668</v>
      </c>
      <c r="L19" s="243">
        <f>VLOOKUP(AH$3,'All Schools Data view only'!A:ED,72,0)</f>
        <v>751.10416666666674</v>
      </c>
    </row>
    <row r="20" spans="1:12" ht="15.6">
      <c r="A20" s="224"/>
      <c r="B20" s="230"/>
      <c r="C20" s="220"/>
      <c r="D20" s="220"/>
      <c r="E20" s="220"/>
      <c r="F20" s="220"/>
      <c r="G20" s="235"/>
      <c r="H20" s="236"/>
      <c r="I20" s="236"/>
      <c r="J20" s="237"/>
      <c r="K20" s="237"/>
      <c r="L20" s="237"/>
    </row>
    <row r="21" spans="1:12" ht="15.6">
      <c r="A21" s="224" t="s">
        <v>138</v>
      </c>
      <c r="B21" s="225" t="s">
        <v>9</v>
      </c>
      <c r="C21" s="226" t="str">
        <f>IF(ISERROR(VLOOKUP(C$2,'All Schools Data view only'!$A:$ED,73,0)),"",VLOOKUP(C$2,'All Schools Data view only'!$A:$ED,73,0))</f>
        <v/>
      </c>
      <c r="D21" s="226" t="str">
        <f>IF(ISERROR(VLOOKUP(D$2,'All Schools Data view only'!$A:$ED,73,0)),"",VLOOKUP(D$2,'All Schools Data view only'!$A:$ED,73,0))</f>
        <v/>
      </c>
      <c r="E21" s="226" t="str">
        <f>IF(ISERROR(VLOOKUP(E$2,'All Schools Data view only'!$A:$ED,73,0)),"",VLOOKUP(E$2,'All Schools Data view only'!$A:$ED,73,0))</f>
        <v/>
      </c>
      <c r="F21" s="226" t="str">
        <f>IF(ISERROR(VLOOKUP(F$2,'All Schools Data view only'!$A:$ED,73,0)),"",VLOOKUP(F$2,'All Schools Data view only'!$A:$ED,73,0))</f>
        <v/>
      </c>
      <c r="G21" s="238">
        <f>VLOOKUP(AD$3,'All Schools Data view only'!A:ED,73,0)</f>
        <v>0</v>
      </c>
      <c r="H21" s="239">
        <f>VLOOKUP(AE$3,'All Schools Data view only'!A:ED,73,0)</f>
        <v>5.0127186464251688E-3</v>
      </c>
      <c r="I21" s="239">
        <f>VLOOKUP(AF$3,'All Schools Data view only'!A:ED,73,0)</f>
        <v>5.6342501429177362E-3</v>
      </c>
      <c r="J21" s="239">
        <f>VLOOKUP(AI$3,'All Schools Data view only'!A:ED,73,0)</f>
        <v>2.2632994286577465E-4</v>
      </c>
      <c r="K21" s="240">
        <f>VLOOKUP(AG$3,'All Schools Data view only'!A:ED,73,0)</f>
        <v>5.971308338113975E-3</v>
      </c>
      <c r="L21" s="240">
        <f>VLOOKUP(AH$3,'All Schools Data view only'!A:ED,73,0)</f>
        <v>0</v>
      </c>
    </row>
    <row r="22" spans="1:12" ht="15.6">
      <c r="A22" s="224"/>
      <c r="B22" s="230" t="s">
        <v>10</v>
      </c>
      <c r="C22" s="231" t="str">
        <f>IF(ISERROR(VLOOKUP(C$2,'All Schools Data view only'!$A:$ED,74,0)),"",VLOOKUP(C$2,'All Schools Data view only'!$A:$ED,74,0))</f>
        <v/>
      </c>
      <c r="D22" s="231" t="str">
        <f>IF(ISERROR(VLOOKUP(D$2,'All Schools Data view only'!$A:$ED,74,0)),"",VLOOKUP(D$2,'All Schools Data view only'!$A:$ED,74,0))</f>
        <v/>
      </c>
      <c r="E22" s="231" t="str">
        <f>IF(ISERROR(VLOOKUP(E$2,'All Schools Data view only'!$A:$ED,74,0)),"",VLOOKUP(E$2,'All Schools Data view only'!$A:$ED,74,0))</f>
        <v/>
      </c>
      <c r="F22" s="231" t="str">
        <f>IF(ISERROR(VLOOKUP(F$2,'All Schools Data view only'!$A:$ED,74,0)),"",VLOOKUP(F$2,'All Schools Data view only'!$A:$ED,74,0))</f>
        <v/>
      </c>
      <c r="G22" s="241">
        <f>VLOOKUP(AD$3,'All Schools Data view only'!A:ED,74,0)</f>
        <v>0</v>
      </c>
      <c r="H22" s="242">
        <f>VLOOKUP(AE$3,'All Schools Data view only'!A:ED,74,0)</f>
        <v>44.382798772149116</v>
      </c>
      <c r="I22" s="242">
        <f>VLOOKUP(AF$3,'All Schools Data view only'!A:ED,74,0)</f>
        <v>71.187942328953639</v>
      </c>
      <c r="J22" s="242">
        <f>VLOOKUP(AI$3,'All Schools Data view only'!A:ED,74,0)</f>
        <v>2.0107238605898123</v>
      </c>
      <c r="K22" s="243">
        <f>VLOOKUP(AG$3,'All Schools Data view only'!A:ED,74,0)</f>
        <v>377.02191239316238</v>
      </c>
      <c r="L22" s="243">
        <f>VLOOKUP(AH$3,'All Schools Data view only'!A:ED,74,0)</f>
        <v>0</v>
      </c>
    </row>
    <row r="23" spans="1:12" ht="15.6">
      <c r="A23" s="224"/>
      <c r="B23" s="230"/>
      <c r="C23" s="220"/>
      <c r="D23" s="220"/>
      <c r="E23" s="220"/>
      <c r="F23" s="220"/>
      <c r="G23" s="235"/>
      <c r="H23" s="236"/>
      <c r="I23" s="236"/>
      <c r="J23" s="237"/>
      <c r="K23" s="237"/>
      <c r="L23" s="237"/>
    </row>
    <row r="24" spans="1:12" ht="15.6">
      <c r="A24" s="224" t="s">
        <v>139</v>
      </c>
      <c r="B24" s="225" t="s">
        <v>9</v>
      </c>
      <c r="C24" s="226" t="str">
        <f>IF(ISERROR(VLOOKUP(C$2,'All Schools Data view only'!$A:$ED,75,0)),"",VLOOKUP(C$2,'All Schools Data view only'!$A:$ED,75,0))</f>
        <v/>
      </c>
      <c r="D24" s="226" t="str">
        <f>IF(ISERROR(VLOOKUP(D$2,'All Schools Data view only'!$A:$ED,75,0)),"",VLOOKUP(D$2,'All Schools Data view only'!$A:$ED,75,0))</f>
        <v/>
      </c>
      <c r="E24" s="226" t="str">
        <f>IF(ISERROR(VLOOKUP(E$2,'All Schools Data view only'!$A:$ED,75,0)),"",VLOOKUP(E$2,'All Schools Data view only'!$A:$ED,75,0))</f>
        <v/>
      </c>
      <c r="F24" s="226" t="str">
        <f>IF(ISERROR(VLOOKUP(F$2,'All Schools Data view only'!$A:$ED,75,0)),"",VLOOKUP(F$2,'All Schools Data view only'!$A:$ED,75,0))</f>
        <v/>
      </c>
      <c r="G24" s="238">
        <f>VLOOKUP(AD$3,'All Schools Data view only'!A:ED,75,0)</f>
        <v>3.0279458400167187E-3</v>
      </c>
      <c r="H24" s="239">
        <f>VLOOKUP(AE$3,'All Schools Data view only'!A:ED,75,0)</f>
        <v>3.5119076468359954E-2</v>
      </c>
      <c r="I24" s="239">
        <f>VLOOKUP(AF$3,'All Schools Data view only'!A:ED,75,0)</f>
        <v>5.1856123218079234E-4</v>
      </c>
      <c r="J24" s="239">
        <f>VLOOKUP(AI$3,'All Schools Data view only'!A:ED,75,0)</f>
        <v>1.9629480516477775E-2</v>
      </c>
      <c r="K24" s="240">
        <f>VLOOKUP(AG$3,'All Schools Data view only'!A:ED,75,0)</f>
        <v>5.1406862970654688E-3</v>
      </c>
      <c r="L24" s="240">
        <f>VLOOKUP(AH$3,'All Schools Data view only'!A:ED,75,0)</f>
        <v>3.5983148475694865E-2</v>
      </c>
    </row>
    <row r="25" spans="1:12" ht="15.6">
      <c r="A25" s="224"/>
      <c r="B25" s="230" t="s">
        <v>10</v>
      </c>
      <c r="C25" s="231" t="str">
        <f>IF(ISERROR(VLOOKUP(C$2,'All Schools Data view only'!$A:$ED,76,0)),"",VLOOKUP(C$2,'All Schools Data view only'!$A:$ED,76,0))</f>
        <v/>
      </c>
      <c r="D25" s="231" t="str">
        <f>IF(ISERROR(VLOOKUP(D$2,'All Schools Data view only'!$A:$ED,76,0)),"",VLOOKUP(D$2,'All Schools Data view only'!$A:$ED,76,0))</f>
        <v/>
      </c>
      <c r="E25" s="231" t="str">
        <f>IF(ISERROR(VLOOKUP(E$2,'All Schools Data view only'!$A:$ED,76,0)),"",VLOOKUP(E$2,'All Schools Data view only'!$A:$ED,76,0))</f>
        <v/>
      </c>
      <c r="F25" s="231" t="str">
        <f>IF(ISERROR(VLOOKUP(F$2,'All Schools Data view only'!$A:$ED,76,0)),"",VLOOKUP(F$2,'All Schools Data view only'!$A:$ED,76,0))</f>
        <v/>
      </c>
      <c r="G25" s="241">
        <f>VLOOKUP(AD$3,'All Schools Data view only'!A:ED,76,0)</f>
        <v>116.44008040935672</v>
      </c>
      <c r="H25" s="242">
        <f>VLOOKUP(AE$3,'All Schools Data view only'!A:ED,76,0)</f>
        <v>290.85100605357991</v>
      </c>
      <c r="I25" s="242">
        <f>VLOOKUP(AF$3,'All Schools Data view only'!A:ED,76,0)</f>
        <v>6.2982795785627106</v>
      </c>
      <c r="J25" s="242">
        <f>VLOOKUP(AI$3,'All Schools Data view only'!A:ED,76,0)</f>
        <v>174.38905495978551</v>
      </c>
      <c r="K25" s="243">
        <f>VLOOKUP(AG$3,'All Schools Data view only'!A:ED,76,0)</f>
        <v>242.86978846153849</v>
      </c>
      <c r="L25" s="243">
        <f>VLOOKUP(AH$3,'All Schools Data view only'!A:ED,76,0)</f>
        <v>4071.799597222222</v>
      </c>
    </row>
    <row r="26" spans="1:12" ht="15.6">
      <c r="A26" s="224"/>
      <c r="B26" s="230"/>
      <c r="C26" s="220"/>
      <c r="D26" s="220"/>
      <c r="E26" s="220"/>
      <c r="F26" s="220"/>
      <c r="G26" s="235"/>
      <c r="H26" s="236"/>
      <c r="I26" s="236"/>
      <c r="J26" s="237"/>
      <c r="K26" s="237"/>
      <c r="L26" s="237"/>
    </row>
    <row r="27" spans="1:12" ht="30.6">
      <c r="A27" s="245" t="s">
        <v>530</v>
      </c>
      <c r="B27" s="225" t="s">
        <v>9</v>
      </c>
      <c r="C27" s="226" t="str">
        <f>IF(ISERROR(VLOOKUP(C$2,'All Schools Data view only'!$A:$ED,77,0)),"",VLOOKUP(C$2,'All Schools Data view only'!$A:$ED,77,0))</f>
        <v/>
      </c>
      <c r="D27" s="226" t="str">
        <f>IF(ISERROR(VLOOKUP(D$2,'All Schools Data view only'!$A:$ED,77,0)),"",VLOOKUP(D$2,'All Schools Data view only'!$A:$ED,77,0))</f>
        <v/>
      </c>
      <c r="E27" s="226" t="str">
        <f>IF(ISERROR(VLOOKUP(E$2,'All Schools Data view only'!$A:$ED,77,0)),"",VLOOKUP(E$2,'All Schools Data view only'!$A:$ED,77,0))</f>
        <v/>
      </c>
      <c r="F27" s="226" t="str">
        <f>IF(ISERROR(VLOOKUP(F$2,'All Schools Data view only'!$A:$ED,77,0)),"",VLOOKUP(F$2,'All Schools Data view only'!$A:$ED,77,0))</f>
        <v/>
      </c>
      <c r="G27" s="238">
        <f>VLOOKUP(AD$3,'All Schools Data view only'!A:ED,77,0)</f>
        <v>2.271902663432752E-3</v>
      </c>
      <c r="H27" s="239">
        <f>VLOOKUP(AE$3,'All Schools Data view only'!A:ED,77,0)</f>
        <v>2.5541930645542041E-2</v>
      </c>
      <c r="I27" s="239">
        <f>VLOOKUP(AF$3,'All Schools Data view only'!A:ED,77,0)</f>
        <v>2.915783712175787E-3</v>
      </c>
      <c r="J27" s="239">
        <f>VLOOKUP(AI$3,'All Schools Data view only'!A:ED,77,0)</f>
        <v>1.1525453245306988E-2</v>
      </c>
      <c r="K27" s="240">
        <f>VLOOKUP(AG$3,'All Schools Data view only'!A:ED,77,0)</f>
        <v>4.4469534140662563E-2</v>
      </c>
      <c r="L27" s="240">
        <f>VLOOKUP(AH$3,'All Schools Data view only'!A:ED,77,0)</f>
        <v>0.22224383576469384</v>
      </c>
    </row>
    <row r="28" spans="1:12" ht="15.6">
      <c r="A28" s="224"/>
      <c r="B28" s="230" t="s">
        <v>10</v>
      </c>
      <c r="C28" s="231" t="str">
        <f>IF(ISERROR(VLOOKUP(C$2,'All Schools Data view only'!$A:$ED,78,0)),"",VLOOKUP(C$2,'All Schools Data view only'!$A:$ED,78,0))</f>
        <v/>
      </c>
      <c r="D28" s="231" t="str">
        <f>IF(ISERROR(VLOOKUP(D$2,'All Schools Data view only'!$A:$ED,78,0)),"",VLOOKUP(D$2,'All Schools Data view only'!$A:$ED,78,0))</f>
        <v/>
      </c>
      <c r="E28" s="231" t="str">
        <f>IF(ISERROR(VLOOKUP(E$2,'All Schools Data view only'!$A:$ED,78,0)),"",VLOOKUP(E$2,'All Schools Data view only'!$A:$ED,78,0))</f>
        <v/>
      </c>
      <c r="F28" s="231" t="str">
        <f>IF(ISERROR(VLOOKUP(F$2,'All Schools Data view only'!$A:$ED,78,0)),"",VLOOKUP(F$2,'All Schools Data view only'!$A:$ED,78,0))</f>
        <v/>
      </c>
      <c r="G28" s="241">
        <f>VLOOKUP(AD$3,'All Schools Data view only'!A:ED,78,0)</f>
        <v>92.488055555555562</v>
      </c>
      <c r="H28" s="242">
        <f>VLOOKUP(AE$3,'All Schools Data view only'!A:ED,78,0)</f>
        <v>212.93419469301514</v>
      </c>
      <c r="I28" s="242">
        <f>VLOOKUP(AF$3,'All Schools Data view only'!A:ED,78,0)</f>
        <v>32.299716956531419</v>
      </c>
      <c r="J28" s="242">
        <f>VLOOKUP(AI$3,'All Schools Data view only'!A:ED,78,0)</f>
        <v>102.39256702412868</v>
      </c>
      <c r="K28" s="243">
        <f>VLOOKUP(AG$3,'All Schools Data view only'!A:ED,78,0)</f>
        <v>1962.5916666666665</v>
      </c>
      <c r="L28" s="243">
        <f>VLOOKUP(AH$3,'All Schools Data view only'!A:ED,78,0)</f>
        <v>26919.36036111111</v>
      </c>
    </row>
    <row r="29" spans="1:12" ht="15.6">
      <c r="A29" s="224"/>
      <c r="B29" s="230"/>
      <c r="C29" s="220"/>
      <c r="D29" s="220"/>
      <c r="E29" s="220"/>
      <c r="F29" s="220"/>
      <c r="G29" s="235"/>
      <c r="H29" s="236"/>
      <c r="I29" s="236"/>
      <c r="J29" s="237"/>
      <c r="K29" s="237"/>
      <c r="L29" s="237"/>
    </row>
    <row r="30" spans="1:12" ht="15.6">
      <c r="A30" s="224" t="s">
        <v>143</v>
      </c>
      <c r="B30" s="225" t="s">
        <v>9</v>
      </c>
      <c r="C30" s="226" t="str">
        <f>IF(ISERROR(VLOOKUP(C$2,'All Schools Data view only'!$A:$ED,79,0)),"",VLOOKUP(C$2,'All Schools Data view only'!$A:$ED,79,0))</f>
        <v/>
      </c>
      <c r="D30" s="226" t="str">
        <f>IF(ISERROR(VLOOKUP(D$2,'All Schools Data view only'!$A:$ED,79,0)),"",VLOOKUP(D$2,'All Schools Data view only'!$A:$ED,79,0))</f>
        <v/>
      </c>
      <c r="E30" s="226" t="str">
        <f>IF(ISERROR(VLOOKUP(E$2,'All Schools Data view only'!$A:$ED,79,0)),"",VLOOKUP(E$2,'All Schools Data view only'!$A:$ED,79,0))</f>
        <v/>
      </c>
      <c r="F30" s="226" t="str">
        <f>IF(ISERROR(VLOOKUP(F$2,'All Schools Data view only'!$A:$ED,79,0)),"",VLOOKUP(F$2,'All Schools Data view only'!$A:$ED,79,0))</f>
        <v/>
      </c>
      <c r="G30" s="238">
        <f>VLOOKUP(AD$3,'All Schools Data view only'!A:ED,79,0)</f>
        <v>0.13082670336816535</v>
      </c>
      <c r="H30" s="239">
        <f>VLOOKUP(AE$3,'All Schools Data view only'!A:ED,79,0)</f>
        <v>1.9001996193765205E-2</v>
      </c>
      <c r="I30" s="239">
        <f>VLOOKUP(AF$3,'All Schools Data view only'!A:ED,79,0)</f>
        <v>1.9955885042300801E-2</v>
      </c>
      <c r="J30" s="239">
        <f>VLOOKUP(AI$3,'All Schools Data view only'!A:ED,79,0)</f>
        <v>1.8947838855383207E-2</v>
      </c>
      <c r="K30" s="240">
        <f>VLOOKUP(AG$3,'All Schools Data view only'!A:ED,79,0)</f>
        <v>1.2115474498040457E-4</v>
      </c>
      <c r="L30" s="240">
        <f>VLOOKUP(AH$3,'All Schools Data view only'!A:ED,79,0)</f>
        <v>2.365527070363958E-4</v>
      </c>
    </row>
    <row r="31" spans="1:12" ht="15.6">
      <c r="A31" s="224"/>
      <c r="B31" s="230" t="s">
        <v>10</v>
      </c>
      <c r="C31" s="231" t="str">
        <f>IF(ISERROR(VLOOKUP(C$2,'All Schools Data view only'!$A:$ED,80,0)),"",VLOOKUP(C$2,'All Schools Data view only'!$A:$ED,80,0))</f>
        <v/>
      </c>
      <c r="D31" s="231" t="str">
        <f>IF(ISERROR(VLOOKUP(D$2,'All Schools Data view only'!$A:$ED,80,0)),"",VLOOKUP(D$2,'All Schools Data view only'!$A:$ED,80,0))</f>
        <v/>
      </c>
      <c r="E31" s="231" t="str">
        <f>IF(ISERROR(VLOOKUP(E$2,'All Schools Data view only'!$A:$ED,80,0)),"",VLOOKUP(E$2,'All Schools Data view only'!$A:$ED,80,0))</f>
        <v/>
      </c>
      <c r="F31" s="231" t="str">
        <f>IF(ISERROR(VLOOKUP(F$2,'All Schools Data view only'!$A:$ED,80,0)),"",VLOOKUP(F$2,'All Schools Data view only'!$A:$ED,80,0))</f>
        <v/>
      </c>
      <c r="G31" s="241">
        <f>VLOOKUP(AD$3,'All Schools Data view only'!A:ED,80,0)</f>
        <v>3123.5549506578946</v>
      </c>
      <c r="H31" s="242">
        <f>VLOOKUP(AE$3,'All Schools Data view only'!A:ED,80,0)</f>
        <v>159.64298089513045</v>
      </c>
      <c r="I31" s="242">
        <f>VLOOKUP(AF$3,'All Schools Data view only'!A:ED,80,0)</f>
        <v>282.53066397145022</v>
      </c>
      <c r="J31" s="242">
        <f>VLOOKUP(AI$3,'All Schools Data view only'!A:ED,80,0)</f>
        <v>168.33332439678284</v>
      </c>
      <c r="K31" s="243">
        <f>VLOOKUP(AG$3,'All Schools Data view only'!A:ED,80,0)</f>
        <v>6.1653703703703711</v>
      </c>
      <c r="L31" s="243">
        <f>VLOOKUP(AH$3,'All Schools Data view only'!A:ED,80,0)</f>
        <v>23.0625</v>
      </c>
    </row>
    <row r="32" spans="1:12" ht="15.6">
      <c r="A32" s="224"/>
      <c r="B32" s="230"/>
      <c r="C32" s="220"/>
      <c r="D32" s="220"/>
      <c r="E32" s="220"/>
      <c r="F32" s="220"/>
      <c r="G32" s="235"/>
      <c r="H32" s="236"/>
      <c r="I32" s="236"/>
      <c r="J32" s="237"/>
      <c r="K32" s="237"/>
      <c r="L32" s="237"/>
    </row>
    <row r="33" spans="1:12" ht="15.6">
      <c r="A33" s="224" t="s">
        <v>144</v>
      </c>
      <c r="B33" s="225" t="s">
        <v>9</v>
      </c>
      <c r="C33" s="226" t="str">
        <f>IF(ISERROR(VLOOKUP(C$2,'All Schools Data view only'!$A:$ED,81,0)),"",VLOOKUP(C$2,'All Schools Data view only'!$A:$ED,81,0))</f>
        <v/>
      </c>
      <c r="D33" s="226" t="str">
        <f>IF(ISERROR(VLOOKUP(D$2,'All Schools Data view only'!$A:$ED,81,0)),"",VLOOKUP(D$2,'All Schools Data view only'!$A:$ED,81,0))</f>
        <v/>
      </c>
      <c r="E33" s="226" t="str">
        <f>IF(ISERROR(VLOOKUP(E$2,'All Schools Data view only'!$A:$ED,81,0)),"",VLOOKUP(E$2,'All Schools Data view only'!$A:$ED,81,0))</f>
        <v/>
      </c>
      <c r="F33" s="226" t="str">
        <f>IF(ISERROR(VLOOKUP(F$2,'All Schools Data view only'!$A:$ED,81,0)),"",VLOOKUP(F$2,'All Schools Data view only'!$A:$ED,81,0))</f>
        <v/>
      </c>
      <c r="G33" s="238">
        <f>VLOOKUP(AD$3,'All Schools Data view only'!A:ED,81,0)</f>
        <v>2.7997410916428575E-3</v>
      </c>
      <c r="H33" s="239">
        <f>VLOOKUP(AE$3,'All Schools Data view only'!A:ED,81,0)</f>
        <v>2.8914768023999109E-2</v>
      </c>
      <c r="I33" s="239">
        <f>VLOOKUP(AF$3,'All Schools Data view only'!A:ED,81,0)</f>
        <v>6.5121837487690515E-2</v>
      </c>
      <c r="J33" s="239">
        <f>VLOOKUP(AI$3,'All Schools Data view only'!A:ED,81,0)</f>
        <v>1.4821159726079537E-2</v>
      </c>
      <c r="K33" s="240">
        <f>VLOOKUP(AG$3,'All Schools Data view only'!A:ED,81,0)</f>
        <v>1.0986689903337669E-3</v>
      </c>
      <c r="L33" s="240">
        <f>VLOOKUP(AH$3,'All Schools Data view only'!A:ED,81,0)</f>
        <v>7.4721967491494254E-4</v>
      </c>
    </row>
    <row r="34" spans="1:12" ht="15.6">
      <c r="A34" s="224"/>
      <c r="B34" s="230" t="s">
        <v>10</v>
      </c>
      <c r="C34" s="231" t="str">
        <f>IF(ISERROR(VLOOKUP(C$2,'All Schools Data view only'!$A:$ED,82,0)),"",VLOOKUP(C$2,'All Schools Data view only'!$A:$ED,82,0))</f>
        <v/>
      </c>
      <c r="D34" s="231" t="str">
        <f>IF(ISERROR(VLOOKUP(D$2,'All Schools Data view only'!$A:$ED,82,0)),"",VLOOKUP(D$2,'All Schools Data view only'!$A:$ED,82,0))</f>
        <v/>
      </c>
      <c r="E34" s="231" t="str">
        <f>IF(ISERROR(VLOOKUP(E$2,'All Schools Data view only'!$A:$ED,82,0)),"",VLOOKUP(E$2,'All Schools Data view only'!$A:$ED,82,0))</f>
        <v/>
      </c>
      <c r="F34" s="231" t="str">
        <f>IF(ISERROR(VLOOKUP(F$2,'All Schools Data view only'!$A:$ED,82,0)),"",VLOOKUP(F$2,'All Schools Data view only'!$A:$ED,82,0))</f>
        <v/>
      </c>
      <c r="G34" s="241">
        <f>VLOOKUP(AD$3,'All Schools Data view only'!A:ED,82,0)</f>
        <v>74.019095394736837</v>
      </c>
      <c r="H34" s="242">
        <f>VLOOKUP(AE$3,'All Schools Data view only'!A:ED,82,0)</f>
        <v>266.47711499717389</v>
      </c>
      <c r="I34" s="242">
        <f>VLOOKUP(AF$3,'All Schools Data view only'!A:ED,82,0)</f>
        <v>816.61604614556757</v>
      </c>
      <c r="J34" s="242">
        <f>VLOOKUP(AI$3,'All Schools Data view only'!A:ED,82,0)</f>
        <v>131.67174932975871</v>
      </c>
      <c r="K34" s="243">
        <f>VLOOKUP(AG$3,'All Schools Data view only'!A:ED,82,0)</f>
        <v>54.05237535612536</v>
      </c>
      <c r="L34" s="243">
        <f>VLOOKUP(AH$3,'All Schools Data view only'!A:ED,82,0)</f>
        <v>60.6</v>
      </c>
    </row>
    <row r="35" spans="1:12" ht="15.6">
      <c r="A35" s="224"/>
      <c r="B35" s="230"/>
      <c r="C35" s="220"/>
      <c r="D35" s="220"/>
      <c r="E35" s="220"/>
      <c r="F35" s="220"/>
      <c r="G35" s="235"/>
      <c r="H35" s="236"/>
      <c r="I35" s="236"/>
      <c r="J35" s="237"/>
      <c r="K35" s="237"/>
      <c r="L35" s="237"/>
    </row>
    <row r="36" spans="1:12" ht="15" customHeight="1">
      <c r="A36" s="218" t="s">
        <v>11</v>
      </c>
      <c r="B36" s="246"/>
      <c r="C36" s="220"/>
      <c r="D36" s="220"/>
      <c r="E36" s="220"/>
      <c r="F36" s="220"/>
      <c r="G36" s="235"/>
      <c r="H36" s="236"/>
      <c r="I36" s="236"/>
      <c r="J36" s="237"/>
      <c r="K36" s="237"/>
      <c r="L36" s="237"/>
    </row>
    <row r="37" spans="1:12" ht="15" customHeight="1">
      <c r="A37" s="247" t="s">
        <v>12</v>
      </c>
      <c r="B37" s="230" t="s">
        <v>13</v>
      </c>
      <c r="C37" s="226" t="str">
        <f>IF(ISERROR(VLOOKUP(C$2,'All Schools Data view only'!$A:$ED,83,0)),"",VLOOKUP(C$2,'All Schools Data view only'!$A:$ED,83,0))</f>
        <v/>
      </c>
      <c r="D37" s="226" t="str">
        <f>IF(ISERROR(VLOOKUP(D$2,'All Schools Data view only'!$A:$ED,83,0)),"",VLOOKUP(D$2,'All Schools Data view only'!$A:$ED,83,0))</f>
        <v/>
      </c>
      <c r="E37" s="226" t="str">
        <f>IF(ISERROR(VLOOKUP(E$2,'All Schools Data view only'!$A:$ED,83,0)),"",VLOOKUP(E$2,'All Schools Data view only'!$A:$ED,83,0))</f>
        <v/>
      </c>
      <c r="F37" s="226" t="str">
        <f>IF(ISERROR(VLOOKUP(F$2,'All Schools Data view only'!$A:$ED,83,0)),"",VLOOKUP(F$2,'All Schools Data view only'!$A:$ED,83,0))</f>
        <v/>
      </c>
      <c r="G37" s="238">
        <f>VLOOKUP(AD$3,'All Schools Data view only'!A:ED,83,0)</f>
        <v>0.13703985069316521</v>
      </c>
      <c r="H37" s="239">
        <f>VLOOKUP(AE$3,'All Schools Data view only'!A:ED,83,0)</f>
        <v>0.57252611813033194</v>
      </c>
      <c r="I37" s="239">
        <f>VLOOKUP(AF$3,'All Schools Data view only'!A:ED,83,0)</f>
        <v>0.71850295571996969</v>
      </c>
      <c r="J37" s="239">
        <f>VLOOKUP(AI$3,'All Schools Data view only'!A:ED,83,0)</f>
        <v>0.62811938398488887</v>
      </c>
      <c r="K37" s="240">
        <f>VLOOKUP(AG$3,'All Schools Data view only'!A:ED,83,0)</f>
        <v>0.38875594160806431</v>
      </c>
      <c r="L37" s="240">
        <f>VLOOKUP(AH$3,'All Schools Data view only'!A:ED,83,0)</f>
        <v>0.85915123942070237</v>
      </c>
    </row>
    <row r="38" spans="1:12" ht="15" customHeight="1">
      <c r="A38" s="247"/>
      <c r="B38" s="230" t="s">
        <v>531</v>
      </c>
      <c r="C38" s="226" t="str">
        <f>IF(ISERROR(VLOOKUP(C$2,'All Schools Data view only'!$A:$ED,84,0)),"",VLOOKUP(C$2,'All Schools Data view only'!$A:$ED,84,0))</f>
        <v/>
      </c>
      <c r="D38" s="226" t="str">
        <f>IF(ISERROR(VLOOKUP(D$2,'All Schools Data view only'!$A:$ED,84,0)),"",VLOOKUP(D$2,'All Schools Data view only'!$A:$ED,84,0))</f>
        <v/>
      </c>
      <c r="E38" s="226" t="str">
        <f>IF(ISERROR(VLOOKUP(E$2,'All Schools Data view only'!$A:$ED,84,0)),"",VLOOKUP(E$2,'All Schools Data view only'!$A:$ED,84,0))</f>
        <v/>
      </c>
      <c r="F38" s="226" t="str">
        <f>IF(ISERROR(VLOOKUP(F$2,'All Schools Data view only'!$A:$ED,84,0)),"",VLOOKUP(F$2,'All Schools Data view only'!$A:$ED,84,0))</f>
        <v/>
      </c>
      <c r="G38" s="238">
        <f>VLOOKUP(AD$3,'All Schools Data view only'!A:ED,84,0)</f>
        <v>9.4187242044692504E-2</v>
      </c>
      <c r="H38" s="239">
        <f>VLOOKUP(AE$3,'All Schools Data view only'!A:ED,84,0)</f>
        <v>0.4655054294987242</v>
      </c>
      <c r="I38" s="239">
        <f>VLOOKUP(AF$3,'All Schools Data view only'!A:ED,84,0)</f>
        <v>0.61838577064708244</v>
      </c>
      <c r="J38" s="239">
        <f>VLOOKUP(AI$3,'All Schools Data view only'!A:ED,84,0)</f>
        <v>0.54376239992443409</v>
      </c>
      <c r="K38" s="240">
        <f>VLOOKUP(AG$3,'All Schools Data view only'!A:ED,84,0)</f>
        <v>0.35502172816097693</v>
      </c>
      <c r="L38" s="240">
        <f>VLOOKUP(AH$3,'All Schools Data view only'!A:ED,84,0)</f>
        <v>0.60400993884566967</v>
      </c>
    </row>
    <row r="39" spans="1:12" ht="15" customHeight="1">
      <c r="A39" s="247"/>
      <c r="B39" s="230" t="s">
        <v>14</v>
      </c>
      <c r="C39" s="226" t="str">
        <f>IF(ISERROR(VLOOKUP(C$2,'All Schools Data view only'!$A:$ED,85,0)),"",VLOOKUP(C$2,'All Schools Data view only'!$A:$ED,85,0))</f>
        <v/>
      </c>
      <c r="D39" s="226" t="str">
        <f>IF(ISERROR(VLOOKUP(D$2,'All Schools Data view only'!$A:$ED,85,0)),"",VLOOKUP(D$2,'All Schools Data view only'!$A:$ED,85,0))</f>
        <v/>
      </c>
      <c r="E39" s="226" t="str">
        <f>IF(ISERROR(VLOOKUP(E$2,'All Schools Data view only'!$A:$ED,85,0)),"",VLOOKUP(E$2,'All Schools Data view only'!$A:$ED,85,0))</f>
        <v/>
      </c>
      <c r="F39" s="226" t="str">
        <f>IF(ISERROR(VLOOKUP(F$2,'All Schools Data view only'!$A:$ED,85,0)),"",VLOOKUP(F$2,'All Schools Data view only'!$A:$ED,85,0))</f>
        <v/>
      </c>
      <c r="G39" s="238">
        <f>VLOOKUP(AD$3,'All Schools Data view only'!A:ED,85,0)</f>
        <v>0.10506698486684768</v>
      </c>
      <c r="H39" s="239">
        <f>VLOOKUP(AE$3,'All Schools Data view only'!A:ED,85,0)</f>
        <v>0.45841397769737191</v>
      </c>
      <c r="I39" s="239">
        <f>VLOOKUP(AF$3,'All Schools Data view only'!A:ED,85,0)</f>
        <v>0.61305910830891575</v>
      </c>
      <c r="J39" s="239">
        <f>VLOOKUP(AI$3,'All Schools Data view only'!A:ED,85,0)</f>
        <v>0.5435761013590118</v>
      </c>
      <c r="K39" s="240">
        <f>VLOOKUP(AG$3,'All Schools Data view only'!A:ED,85,0)</f>
        <v>0.35458868018244694</v>
      </c>
      <c r="L39" s="240">
        <f>VLOOKUP(AH$3,'All Schools Data view only'!A:ED,85,0)</f>
        <v>0.58135439468639927</v>
      </c>
    </row>
    <row r="40" spans="1:12" ht="15" customHeight="1">
      <c r="A40" s="247"/>
      <c r="B40" s="230" t="s">
        <v>15</v>
      </c>
      <c r="C40" s="231" t="str">
        <f>IF(ISERROR(VLOOKUP(C$2,'All Schools Data view only'!$A:$ED,86,0)),"",VLOOKUP(C$2,'All Schools Data view only'!$A:$ED,86,0))</f>
        <v/>
      </c>
      <c r="D40" s="231" t="str">
        <f>IF(ISERROR(VLOOKUP(D$2,'All Schools Data view only'!$A:$ED,86,0)),"",VLOOKUP(D$2,'All Schools Data view only'!$A:$ED,86,0))</f>
        <v/>
      </c>
      <c r="E40" s="231" t="str">
        <f>IF(ISERROR(VLOOKUP(E$2,'All Schools Data view only'!$A:$ED,86,0)),"",VLOOKUP(E$2,'All Schools Data view only'!$A:$ED,86,0))</f>
        <v/>
      </c>
      <c r="F40" s="231" t="str">
        <f>IF(ISERROR(VLOOKUP(F$2,'All Schools Data view only'!$A:$ED,86,0)),"",VLOOKUP(F$2,'All Schools Data view only'!$A:$ED,86,0))</f>
        <v/>
      </c>
      <c r="G40" s="241">
        <f>VLOOKUP(AD$3,'All Schools Data view only'!A:ED,86,0)</f>
        <v>2357.0554093567252</v>
      </c>
      <c r="H40" s="242">
        <f>VLOOKUP(AE$3,'All Schools Data view only'!A:ED,86,0)</f>
        <v>3888.2202672324884</v>
      </c>
      <c r="I40" s="242">
        <f>VLOOKUP(AF$3,'All Schools Data view only'!A:ED,86,0)</f>
        <v>6958.256273204127</v>
      </c>
      <c r="J40" s="242">
        <f>VLOOKUP(AI$3,'All Schools Data view only'!A:ED,86,0)</f>
        <v>4830.8059383378013</v>
      </c>
      <c r="K40" s="242">
        <f>VLOOKUP(AG$3,'All Schools Data view only'!A:ED,86,0)</f>
        <v>16655.25475925926</v>
      </c>
      <c r="L40" s="243">
        <f>VLOOKUP(AH$3,'All Schools Data view only'!A:ED,86,0)</f>
        <v>63306.599916666666</v>
      </c>
    </row>
    <row r="41" spans="1:12" ht="15" customHeight="1">
      <c r="A41" s="247"/>
      <c r="B41" s="246"/>
      <c r="C41" s="248"/>
      <c r="D41" s="248"/>
      <c r="E41" s="248"/>
      <c r="F41" s="248"/>
      <c r="G41" s="249"/>
      <c r="H41" s="250"/>
      <c r="I41" s="250"/>
      <c r="J41" s="251"/>
      <c r="K41" s="251"/>
      <c r="L41" s="251"/>
    </row>
    <row r="42" spans="1:12" ht="15" customHeight="1">
      <c r="A42" s="245" t="s">
        <v>16</v>
      </c>
      <c r="B42" s="230" t="s">
        <v>13</v>
      </c>
      <c r="C42" s="226" t="str">
        <f>IF(ISERROR(VLOOKUP(C$2,'All Schools Data view only'!$A:$ED,87,0)),"",VLOOKUP(C$2,'All Schools Data view only'!$A:$ED,87,0))</f>
        <v/>
      </c>
      <c r="D42" s="226" t="str">
        <f>IF(ISERROR(VLOOKUP(D$2,'All Schools Data view only'!$A:$ED,87,0)),"",VLOOKUP(D$2,'All Schools Data view only'!$A:$ED,87,0))</f>
        <v/>
      </c>
      <c r="E42" s="226" t="str">
        <f>IF(ISERROR(VLOOKUP(E$2,'All Schools Data view only'!$A:$ED,87,0)),"",VLOOKUP(E$2,'All Schools Data view only'!$A:$ED,87,0))</f>
        <v/>
      </c>
      <c r="F42" s="226" t="str">
        <f>IF(ISERROR(VLOOKUP(F$2,'All Schools Data view only'!$A:$ED,87,0)),"",VLOOKUP(F$2,'All Schools Data view only'!$A:$ED,87,0))</f>
        <v/>
      </c>
      <c r="G42" s="238">
        <f>VLOOKUP(AD$3,'All Schools Data view only'!A:ED,87,0)</f>
        <v>0.29978917960611401</v>
      </c>
      <c r="H42" s="239">
        <f>VLOOKUP(AE$3,'All Schools Data view only'!A:ED,87,0)</f>
        <v>0.24361930049152808</v>
      </c>
      <c r="I42" s="239">
        <f>VLOOKUP(AF$3,'All Schools Data view only'!A:ED,87,0)</f>
        <v>0.12319108094786541</v>
      </c>
      <c r="J42" s="239">
        <f>VLOOKUP(AI$3,'All Schools Data view only'!A:ED,87,0)</f>
        <v>0.12021540207889286</v>
      </c>
      <c r="K42" s="240">
        <f>VLOOKUP(AG$3,'All Schools Data view only'!A:ED,87,0)</f>
        <v>0.39599157031345333</v>
      </c>
      <c r="L42" s="240">
        <f>VLOOKUP(AH$3,'All Schools Data view only'!A:ED,87,0)</f>
        <v>0.1153741883836526</v>
      </c>
    </row>
    <row r="43" spans="1:12" ht="15" customHeight="1">
      <c r="A43" s="247"/>
      <c r="B43" s="230" t="s">
        <v>531</v>
      </c>
      <c r="C43" s="226" t="str">
        <f>IF(ISERROR(VLOOKUP(C$2,'All Schools Data view only'!$A:$ED,88,0)),"",VLOOKUP(C$2,'All Schools Data view only'!$A:$ED,88,0))</f>
        <v/>
      </c>
      <c r="D43" s="226" t="str">
        <f>IF(ISERROR(VLOOKUP(D$2,'All Schools Data view only'!$A:$ED,88,0)),"",VLOOKUP(D$2,'All Schools Data view only'!$A:$ED,88,0))</f>
        <v/>
      </c>
      <c r="E43" s="226" t="str">
        <f>IF(ISERROR(VLOOKUP(E$2,'All Schools Data view only'!$A:$ED,88,0)),"",VLOOKUP(E$2,'All Schools Data view only'!$A:$ED,88,0))</f>
        <v/>
      </c>
      <c r="F43" s="226" t="str">
        <f>IF(ISERROR(VLOOKUP(F$2,'All Schools Data view only'!$A:$ED,88,0)),"",VLOOKUP(F$2,'All Schools Data view only'!$A:$ED,88,0))</f>
        <v/>
      </c>
      <c r="G43" s="238">
        <f>VLOOKUP(AD$3,'All Schools Data view only'!A:ED,88,0)</f>
        <v>0.21493553159015027</v>
      </c>
      <c r="H43" s="239">
        <f>VLOOKUP(AE$3,'All Schools Data view only'!A:ED,88,0)</f>
        <v>0.19722868734584373</v>
      </c>
      <c r="I43" s="239">
        <f>VLOOKUP(AF$3,'All Schools Data view only'!A:ED,88,0)</f>
        <v>0.10615946171935596</v>
      </c>
      <c r="J43" s="239">
        <f>VLOOKUP(AI$3,'All Schools Data view only'!A:ED,88,0)</f>
        <v>0.10407036816407533</v>
      </c>
      <c r="K43" s="240">
        <f>VLOOKUP(AG$3,'All Schools Data view only'!A:ED,88,0)</f>
        <v>0.36253868642101494</v>
      </c>
      <c r="L43" s="240">
        <f>VLOOKUP(AH$3,'All Schools Data view only'!A:ED,88,0)</f>
        <v>9.0198804325080817E-2</v>
      </c>
    </row>
    <row r="44" spans="1:12" ht="15" customHeight="1">
      <c r="A44" s="247"/>
      <c r="B44" s="230" t="s">
        <v>14</v>
      </c>
      <c r="C44" s="226" t="str">
        <f>IF(ISERROR(VLOOKUP(C$2,'All Schools Data view only'!$A:$ED,89,0)),"",VLOOKUP(C$2,'All Schools Data view only'!$A:$ED,89,0))</f>
        <v/>
      </c>
      <c r="D44" s="226" t="str">
        <f>IF(ISERROR(VLOOKUP(D$2,'All Schools Data view only'!$A:$ED,89,0)),"",VLOOKUP(D$2,'All Schools Data view only'!$A:$ED,89,0))</f>
        <v/>
      </c>
      <c r="E44" s="226" t="str">
        <f>IF(ISERROR(VLOOKUP(E$2,'All Schools Data view only'!$A:$ED,89,0)),"",VLOOKUP(E$2,'All Schools Data view only'!$A:$ED,89,0))</f>
        <v/>
      </c>
      <c r="F44" s="226" t="str">
        <f>IF(ISERROR(VLOOKUP(F$2,'All Schools Data view only'!$A:$ED,89,0)),"",VLOOKUP(F$2,'All Schools Data view only'!$A:$ED,89,0))</f>
        <v/>
      </c>
      <c r="G44" s="238">
        <f>VLOOKUP(AD$3,'All Schools Data view only'!A:ED,89,0)</f>
        <v>0.24143238680775522</v>
      </c>
      <c r="H44" s="239">
        <f>VLOOKUP(AE$3,'All Schools Data view only'!A:ED,89,0)</f>
        <v>0.19389640320024057</v>
      </c>
      <c r="I44" s="239">
        <f>VLOOKUP(AF$3,'All Schools Data view only'!A:ED,89,0)</f>
        <v>0.10551695359623771</v>
      </c>
      <c r="J44" s="239">
        <f>VLOOKUP(AI$3,'All Schools Data view only'!A:ED,89,0)</f>
        <v>0.10403471259043759</v>
      </c>
      <c r="K44" s="240">
        <f>VLOOKUP(AG$3,'All Schools Data view only'!A:ED,89,0)</f>
        <v>0.36183057250248057</v>
      </c>
      <c r="L44" s="240">
        <f>VLOOKUP(AH$3,'All Schools Data view only'!A:ED,89,0)</f>
        <v>8.9269636873592517E-2</v>
      </c>
    </row>
    <row r="45" spans="1:12" ht="15" customHeight="1">
      <c r="A45" s="247"/>
      <c r="B45" s="230" t="s">
        <v>15</v>
      </c>
      <c r="C45" s="231" t="str">
        <f>IF(ISERROR(VLOOKUP(C$2,'All Schools Data view only'!$A:$ED,90,0)),"",VLOOKUP(C$2,'All Schools Data view only'!$A:$ED,90,0))</f>
        <v/>
      </c>
      <c r="D45" s="231" t="str">
        <f>IF(ISERROR(VLOOKUP(D$2,'All Schools Data view only'!$A:$ED,90,0)),"",VLOOKUP(D$2,'All Schools Data view only'!$A:$ED,90,0))</f>
        <v/>
      </c>
      <c r="E45" s="231" t="str">
        <f>IF(ISERROR(VLOOKUP(E$2,'All Schools Data view only'!$A:$ED,90,0)),"",VLOOKUP(E$2,'All Schools Data view only'!$A:$ED,90,0))</f>
        <v/>
      </c>
      <c r="F45" s="231" t="str">
        <f>IF(ISERROR(VLOOKUP(F$2,'All Schools Data view only'!$A:$ED,90,0)),"",VLOOKUP(F$2,'All Schools Data view only'!$A:$ED,90,0))</f>
        <v/>
      </c>
      <c r="G45" s="241">
        <f>VLOOKUP(AD$3,'All Schools Data view only'!A:ED,90,0)</f>
        <v>6442.339519371345</v>
      </c>
      <c r="H45" s="242">
        <f>VLOOKUP(AE$3,'All Schools Data view only'!A:ED,90,0)</f>
        <v>1698.2587150633126</v>
      </c>
      <c r="I45" s="242">
        <f>VLOOKUP(AF$3,'All Schools Data view only'!A:ED,90,0)</f>
        <v>1213.0075359556454</v>
      </c>
      <c r="J45" s="242">
        <f>VLOOKUP(AI$3,'All Schools Data view only'!A:ED,90,0)</f>
        <v>924.56512734584442</v>
      </c>
      <c r="K45" s="243">
        <f>VLOOKUP(AG$3,'All Schools Data view only'!A:ED,90,0)</f>
        <v>17375.910163817662</v>
      </c>
      <c r="L45" s="243">
        <f>VLOOKUP(AH$3,'All Schools Data view only'!A:ED,90,0)</f>
        <v>8389.903430555556</v>
      </c>
    </row>
    <row r="46" spans="1:12" ht="15" customHeight="1">
      <c r="A46" s="247"/>
      <c r="B46" s="246"/>
      <c r="C46" s="248"/>
      <c r="D46" s="248"/>
      <c r="E46" s="248"/>
      <c r="F46" s="248"/>
      <c r="G46" s="249"/>
      <c r="H46" s="250"/>
      <c r="I46" s="250"/>
      <c r="J46" s="251"/>
      <c r="K46" s="251"/>
      <c r="L46" s="251"/>
    </row>
    <row r="47" spans="1:12" ht="15" customHeight="1">
      <c r="A47" s="247" t="s">
        <v>17</v>
      </c>
      <c r="B47" s="230" t="s">
        <v>13</v>
      </c>
      <c r="C47" s="226" t="str">
        <f>IF(ISERROR(VLOOKUP(C$2,'All Schools Data view only'!$A:$ED,91,0)),"",VLOOKUP(C$2,'All Schools Data view only'!$A:$ED,91,0))</f>
        <v/>
      </c>
      <c r="D47" s="226" t="str">
        <f>IF(ISERROR(VLOOKUP(D$2,'All Schools Data view only'!$A:$ED,91,0)),"",VLOOKUP(D$2,'All Schools Data view only'!$A:$ED,91,0))</f>
        <v/>
      </c>
      <c r="E47" s="226" t="str">
        <f>IF(ISERROR(VLOOKUP(E$2,'All Schools Data view only'!$A:$ED,91,0)),"",VLOOKUP(E$2,'All Schools Data view only'!$A:$ED,91,0))</f>
        <v/>
      </c>
      <c r="F47" s="226" t="str">
        <f>IF(ISERROR(VLOOKUP(F$2,'All Schools Data view only'!$A:$ED,91,0)),"",VLOOKUP(F$2,'All Schools Data view only'!$A:$ED,91,0))</f>
        <v/>
      </c>
      <c r="G47" s="238">
        <f>VLOOKUP(AD$3,'All Schools Data view only'!A:ED,91,0)</f>
        <v>2.2343443916326276E-2</v>
      </c>
      <c r="H47" s="239">
        <f>VLOOKUP(AE$3,'All Schools Data view only'!A:ED,91,0)</f>
        <v>2.7965829688443734E-2</v>
      </c>
      <c r="I47" s="239">
        <f>VLOOKUP(AF$3,'All Schools Data view only'!A:ED,91,0)</f>
        <v>1.634957027839562E-2</v>
      </c>
      <c r="J47" s="239">
        <f>VLOOKUP(AI$3,'All Schools Data view only'!A:ED,91,0)</f>
        <v>2.2859510349648872E-2</v>
      </c>
      <c r="K47" s="240">
        <f>VLOOKUP(AG$3,'All Schools Data view only'!A:ED,91,0)</f>
        <v>1.4844118692198455E-2</v>
      </c>
      <c r="L47" s="240">
        <f>VLOOKUP(AH$3,'All Schools Data view only'!A:ED,91,0)</f>
        <v>7.925014004701211E-3</v>
      </c>
    </row>
    <row r="48" spans="1:12" ht="15" customHeight="1">
      <c r="A48" s="247"/>
      <c r="B48" s="230" t="s">
        <v>531</v>
      </c>
      <c r="C48" s="226" t="str">
        <f>IF(ISERROR(VLOOKUP(C$2,'All Schools Data view only'!$A:$ED,92,0)),"",VLOOKUP(C$2,'All Schools Data view only'!$A:$ED,92,0))</f>
        <v/>
      </c>
      <c r="D48" s="226" t="str">
        <f>IF(ISERROR(VLOOKUP(D$2,'All Schools Data view only'!$A:$ED,92,0)),"",VLOOKUP(D$2,'All Schools Data view only'!$A:$ED,92,0))</f>
        <v/>
      </c>
      <c r="E48" s="226" t="str">
        <f>IF(ISERROR(VLOOKUP(E$2,'All Schools Data view only'!$A:$ED,92,0)),"",VLOOKUP(E$2,'All Schools Data view only'!$A:$ED,92,0))</f>
        <v/>
      </c>
      <c r="F48" s="226" t="str">
        <f>IF(ISERROR(VLOOKUP(F$2,'All Schools Data view only'!$A:$ED,92,0)),"",VLOOKUP(F$2,'All Schools Data view only'!$A:$ED,92,0))</f>
        <v/>
      </c>
      <c r="G48" s="238">
        <f>VLOOKUP(AD$3,'All Schools Data view only'!A:ED,92,0)</f>
        <v>1.5350376214735452E-2</v>
      </c>
      <c r="H48" s="239">
        <f>VLOOKUP(AE$3,'All Schools Data view only'!A:ED,92,0)</f>
        <v>2.2946201125579293E-2</v>
      </c>
      <c r="I48" s="239">
        <f>VLOOKUP(AF$3,'All Schools Data view only'!A:ED,92,0)</f>
        <v>1.4108236578216993E-2</v>
      </c>
      <c r="J48" s="239">
        <f>VLOOKUP(AI$3,'All Schools Data view only'!A:ED,92,0)</f>
        <v>1.9789458064426731E-2</v>
      </c>
      <c r="K48" s="240">
        <f>VLOOKUP(AG$3,'All Schools Data view only'!A:ED,92,0)</f>
        <v>1.3870442048210183E-2</v>
      </c>
      <c r="L48" s="240">
        <f>VLOOKUP(AH$3,'All Schools Data view only'!A:ED,92,0)</f>
        <v>6.9864094277125614E-3</v>
      </c>
    </row>
    <row r="49" spans="1:12" ht="15" customHeight="1">
      <c r="A49" s="247"/>
      <c r="B49" s="230" t="s">
        <v>14</v>
      </c>
      <c r="C49" s="226" t="str">
        <f>IF(ISERROR(VLOOKUP(C$2,'All Schools Data view only'!$A:$ED,93,0)),"",VLOOKUP(C$2,'All Schools Data view only'!$A:$ED,93,0))</f>
        <v/>
      </c>
      <c r="D49" s="226" t="str">
        <f>IF(ISERROR(VLOOKUP(D$2,'All Schools Data view only'!$A:$ED,93,0)),"",VLOOKUP(D$2,'All Schools Data view only'!$A:$ED,93,0))</f>
        <v/>
      </c>
      <c r="E49" s="226" t="str">
        <f>IF(ISERROR(VLOOKUP(E$2,'All Schools Data view only'!$A:$ED,93,0)),"",VLOOKUP(E$2,'All Schools Data view only'!$A:$ED,93,0))</f>
        <v/>
      </c>
      <c r="F49" s="226" t="str">
        <f>IF(ISERROR(VLOOKUP(F$2,'All Schools Data view only'!$A:$ED,93,0)),"",VLOOKUP(F$2,'All Schools Data view only'!$A:$ED,93,0))</f>
        <v/>
      </c>
      <c r="G49" s="238">
        <f>VLOOKUP(AD$3,'All Schools Data view only'!A:ED,93,0)</f>
        <v>1.7122356483032834E-2</v>
      </c>
      <c r="H49" s="239">
        <f>VLOOKUP(AE$3,'All Schools Data view only'!A:ED,93,0)</f>
        <v>2.2668084792574691E-2</v>
      </c>
      <c r="I49" s="239">
        <f>VLOOKUP(AF$3,'All Schools Data view only'!A:ED,93,0)</f>
        <v>1.3987834310232971E-2</v>
      </c>
      <c r="J49" s="239">
        <f>VLOOKUP(AI$3,'All Schools Data view only'!A:ED,93,0)</f>
        <v>1.9782677993483246E-2</v>
      </c>
      <c r="K49" s="240">
        <f>VLOOKUP(AG$3,'All Schools Data view only'!A:ED,93,0)</f>
        <v>1.3805160909328254E-2</v>
      </c>
      <c r="L49" s="240">
        <f>VLOOKUP(AH$3,'All Schools Data view only'!A:ED,93,0)</f>
        <v>7.1064579727319688E-3</v>
      </c>
    </row>
    <row r="50" spans="1:12" ht="15" customHeight="1">
      <c r="A50" s="247"/>
      <c r="B50" s="230" t="s">
        <v>15</v>
      </c>
      <c r="C50" s="231" t="str">
        <f>IF(ISERROR(VLOOKUP(C$2,'All Schools Data view only'!$A:$ED,94,0)),"",VLOOKUP(C$2,'All Schools Data view only'!$A:$ED,94,0))</f>
        <v/>
      </c>
      <c r="D50" s="231" t="str">
        <f>IF(ISERROR(VLOOKUP(D$2,'All Schools Data view only'!$A:$ED,94,0)),"",VLOOKUP(D$2,'All Schools Data view only'!$A:$ED,94,0))</f>
        <v/>
      </c>
      <c r="E50" s="231" t="str">
        <f>IF(ISERROR(VLOOKUP(E$2,'All Schools Data view only'!$A:$ED,94,0)),"",VLOOKUP(E$2,'All Schools Data view only'!$A:$ED,94,0))</f>
        <v/>
      </c>
      <c r="F50" s="231" t="str">
        <f>IF(ISERROR(VLOOKUP(F$2,'All Schools Data view only'!$A:$ED,94,0)),"",VLOOKUP(F$2,'All Schools Data view only'!$A:$ED,94,0))</f>
        <v/>
      </c>
      <c r="G50" s="241">
        <f>VLOOKUP(AD$3,'All Schools Data view only'!A:ED,94,0)</f>
        <v>383.40084795321638</v>
      </c>
      <c r="H50" s="242">
        <f>VLOOKUP(AE$3,'All Schools Data view only'!A:ED,94,0)</f>
        <v>193.08226545229402</v>
      </c>
      <c r="I50" s="242">
        <f>VLOOKUP(AF$3,'All Schools Data view only'!A:ED,94,0)</f>
        <v>158.52177940936588</v>
      </c>
      <c r="J50" s="242">
        <f>VLOOKUP(AI$3,'All Schools Data view only'!A:ED,94,0)</f>
        <v>175.81030160857907</v>
      </c>
      <c r="K50" s="243">
        <f>VLOOKUP(AG$3,'All Schools Data view only'!A:ED,94,0)</f>
        <v>693.91804131054141</v>
      </c>
      <c r="L50" s="243">
        <f>VLOOKUP(AH$3,'All Schools Data view only'!A:ED,94,0)</f>
        <v>566.60233333333338</v>
      </c>
    </row>
    <row r="51" spans="1:12" ht="15" customHeight="1">
      <c r="A51" s="247"/>
      <c r="B51" s="246"/>
      <c r="C51" s="248"/>
      <c r="D51" s="248"/>
      <c r="E51" s="248"/>
      <c r="F51" s="248"/>
      <c r="G51" s="249"/>
      <c r="H51" s="250"/>
      <c r="I51" s="250"/>
      <c r="J51" s="251"/>
      <c r="K51" s="251"/>
      <c r="L51" s="251"/>
    </row>
    <row r="52" spans="1:12" ht="15" customHeight="1">
      <c r="A52" s="247" t="s">
        <v>18</v>
      </c>
      <c r="B52" s="230" t="s">
        <v>13</v>
      </c>
      <c r="C52" s="226" t="str">
        <f>IF(ISERROR(VLOOKUP(C$2,'All Schools Data view only'!$A:$ED,95,0)),"",VLOOKUP(C$2,'All Schools Data view only'!$A:$ED,95,0))</f>
        <v/>
      </c>
      <c r="D52" s="226" t="str">
        <f>IF(ISERROR(VLOOKUP(D$2,'All Schools Data view only'!$A:$ED,95,0)),"",VLOOKUP(D$2,'All Schools Data view only'!$A:$ED,95,0))</f>
        <v/>
      </c>
      <c r="E52" s="226" t="str">
        <f>IF(ISERROR(VLOOKUP(E$2,'All Schools Data view only'!$A:$ED,95,0)),"",VLOOKUP(E$2,'All Schools Data view only'!$A:$ED,95,0))</f>
        <v/>
      </c>
      <c r="F52" s="226" t="str">
        <f>IF(ISERROR(VLOOKUP(F$2,'All Schools Data view only'!$A:$ED,95,0)),"",VLOOKUP(F$2,'All Schools Data view only'!$A:$ED,95,0))</f>
        <v/>
      </c>
      <c r="G52" s="238">
        <f>VLOOKUP(AD$3,'All Schools Data view only'!A:ED,95,0)</f>
        <v>4.0909725988811194E-2</v>
      </c>
      <c r="H52" s="239">
        <f>VLOOKUP(AE$3,'All Schools Data view only'!A:ED,95,0)</f>
        <v>5.0131611346254157E-2</v>
      </c>
      <c r="I52" s="239">
        <f>VLOOKUP(AF$3,'All Schools Data view only'!A:ED,95,0)</f>
        <v>7.0244440971584707E-2</v>
      </c>
      <c r="J52" s="239">
        <f>VLOOKUP(AI$3,'All Schools Data view only'!A:ED,95,0)</f>
        <v>7.9923562956132607E-2</v>
      </c>
      <c r="K52" s="240">
        <f>VLOOKUP(AG$3,'All Schools Data view only'!A:ED,95,0)</f>
        <v>3.8106127589794182E-2</v>
      </c>
      <c r="L52" s="240">
        <f>VLOOKUP(AH$3,'All Schools Data view only'!A:ED,95,0)</f>
        <v>5.7275092154876098E-2</v>
      </c>
    </row>
    <row r="53" spans="1:12" ht="15" customHeight="1">
      <c r="A53" s="247"/>
      <c r="B53" s="230" t="s">
        <v>531</v>
      </c>
      <c r="C53" s="226" t="str">
        <f>IF(ISERROR(VLOOKUP(C$2,'All Schools Data view only'!$A:$ED,96,0)),"",VLOOKUP(C$2,'All Schools Data view only'!$A:$ED,96,0))</f>
        <v/>
      </c>
      <c r="D53" s="226" t="str">
        <f>IF(ISERROR(VLOOKUP(D$2,'All Schools Data view only'!$A:$ED,96,0)),"",VLOOKUP(D$2,'All Schools Data view only'!$A:$ED,96,0))</f>
        <v/>
      </c>
      <c r="E53" s="226" t="str">
        <f>IF(ISERROR(VLOOKUP(E$2,'All Schools Data view only'!$A:$ED,96,0)),"",VLOOKUP(E$2,'All Schools Data view only'!$A:$ED,96,0))</f>
        <v/>
      </c>
      <c r="F53" s="226" t="str">
        <f>IF(ISERROR(VLOOKUP(F$2,'All Schools Data view only'!$A:$ED,96,0)),"",VLOOKUP(F$2,'All Schools Data view only'!$A:$ED,96,0))</f>
        <v/>
      </c>
      <c r="G53" s="238">
        <f>VLOOKUP(AD$3,'All Schools Data view only'!A:ED,96,0)</f>
        <v>2.8023013311634988E-2</v>
      </c>
      <c r="H53" s="239">
        <f>VLOOKUP(AE$3,'All Schools Data view only'!A:ED,96,0)</f>
        <v>4.0369386984384602E-2</v>
      </c>
      <c r="I53" s="239">
        <f>VLOOKUP(AF$3,'All Schools Data view only'!A:ED,96,0)</f>
        <v>6.0654037042570629E-2</v>
      </c>
      <c r="J53" s="239">
        <f>VLOOKUP(AI$3,'All Schools Data view only'!A:ED,96,0)</f>
        <v>6.9189758366991913E-2</v>
      </c>
      <c r="K53" s="240">
        <f>VLOOKUP(AG$3,'All Schools Data view only'!A:ED,96,0)</f>
        <v>3.555612462704235E-2</v>
      </c>
      <c r="L53" s="240">
        <f>VLOOKUP(AH$3,'All Schools Data view only'!A:ED,96,0)</f>
        <v>4.2872882656872266E-2</v>
      </c>
    </row>
    <row r="54" spans="1:12" ht="15" customHeight="1">
      <c r="A54" s="247"/>
      <c r="B54" s="230" t="s">
        <v>14</v>
      </c>
      <c r="C54" s="226" t="str">
        <f>IF(ISERROR(VLOOKUP(C$2,'All Schools Data view only'!$A:$ED,97,0)),"",VLOOKUP(C$2,'All Schools Data view only'!$A:$ED,97,0))</f>
        <v/>
      </c>
      <c r="D54" s="226" t="str">
        <f>IF(ISERROR(VLOOKUP(D$2,'All Schools Data view only'!$A:$ED,97,0)),"",VLOOKUP(D$2,'All Schools Data view only'!$A:$ED,97,0))</f>
        <v/>
      </c>
      <c r="E54" s="226" t="str">
        <f>IF(ISERROR(VLOOKUP(E$2,'All Schools Data view only'!$A:$ED,97,0)),"",VLOOKUP(E$2,'All Schools Data view only'!$A:$ED,97,0))</f>
        <v/>
      </c>
      <c r="F54" s="226" t="str">
        <f>IF(ISERROR(VLOOKUP(F$2,'All Schools Data view only'!$A:$ED,97,0)),"",VLOOKUP(F$2,'All Schools Data view only'!$A:$ED,97,0))</f>
        <v/>
      </c>
      <c r="G54" s="238">
        <f>VLOOKUP(AD$3,'All Schools Data view only'!A:ED,97,0)</f>
        <v>3.1242323815483551E-2</v>
      </c>
      <c r="H54" s="239">
        <f>VLOOKUP(AE$3,'All Schools Data view only'!A:ED,97,0)</f>
        <v>3.9832092300316264E-2</v>
      </c>
      <c r="I54" s="239">
        <f>VLOOKUP(AF$3,'All Schools Data view only'!A:ED,97,0)</f>
        <v>6.0244620776386558E-2</v>
      </c>
      <c r="J54" s="239">
        <f>VLOOKUP(AI$3,'All Schools Data view only'!A:ED,97,0)</f>
        <v>6.9166053247389156E-2</v>
      </c>
      <c r="K54" s="240">
        <f>VLOOKUP(AG$3,'All Schools Data view only'!A:ED,97,0)</f>
        <v>3.5484562471616569E-2</v>
      </c>
      <c r="L54" s="240">
        <f>VLOOKUP(AH$3,'All Schools Data view only'!A:ED,97,0)</f>
        <v>4.1968746372250496E-2</v>
      </c>
    </row>
    <row r="55" spans="1:12" ht="15" customHeight="1">
      <c r="A55" s="247"/>
      <c r="B55" s="230" t="s">
        <v>15</v>
      </c>
      <c r="C55" s="231" t="str">
        <f>IF(ISERROR(VLOOKUP(C$2,'All Schools Data view only'!$A:$ED,98,0)),"",VLOOKUP(C$2,'All Schools Data view only'!$A:$ED,98,0))</f>
        <v/>
      </c>
      <c r="D55" s="231" t="str">
        <f>IF(ISERROR(VLOOKUP(D$2,'All Schools Data view only'!$A:$ED,98,0)),"",VLOOKUP(D$2,'All Schools Data view only'!$A:$ED,98,0))</f>
        <v/>
      </c>
      <c r="E55" s="231" t="str">
        <f>IF(ISERROR(VLOOKUP(E$2,'All Schools Data view only'!$A:$ED,98,0)),"",VLOOKUP(E$2,'All Schools Data view only'!$A:$ED,98,0))</f>
        <v/>
      </c>
      <c r="F55" s="231" t="str">
        <f>IF(ISERROR(VLOOKUP(F$2,'All Schools Data view only'!$A:$ED,98,0)),"",VLOOKUP(F$2,'All Schools Data view only'!$A:$ED,98,0))</f>
        <v/>
      </c>
      <c r="G55" s="241">
        <f>VLOOKUP(AD$3,'All Schools Data view only'!A:ED,98,0)</f>
        <v>690.01749451754392</v>
      </c>
      <c r="H55" s="242">
        <f>VLOOKUP(AE$3,'All Schools Data view only'!A:ED,98,0)</f>
        <v>339.4215299218165</v>
      </c>
      <c r="I55" s="242">
        <f>VLOOKUP(AF$3,'All Schools Data view only'!A:ED,98,0)</f>
        <v>686.868964253846</v>
      </c>
      <c r="J55" s="242">
        <f>VLOOKUP(AI$3,'All Schools Data view only'!A:ED,98,0)</f>
        <v>614.68445710455762</v>
      </c>
      <c r="K55" s="243">
        <f>VLOOKUP(AG$3,'All Schools Data view only'!A:ED,98,0)</f>
        <v>1601.9765712250712</v>
      </c>
      <c r="L55" s="243">
        <f>VLOOKUP(AH$3,'All Schools Data view only'!A:ED,98,0)</f>
        <v>4188.3479444444438</v>
      </c>
    </row>
    <row r="56" spans="1:12" ht="15" customHeight="1">
      <c r="A56" s="247"/>
      <c r="B56" s="246"/>
      <c r="C56" s="248"/>
      <c r="D56" s="248"/>
      <c r="E56" s="248"/>
      <c r="F56" s="248"/>
      <c r="G56" s="249"/>
      <c r="H56" s="250"/>
      <c r="I56" s="250"/>
      <c r="J56" s="251"/>
      <c r="K56" s="251"/>
      <c r="L56" s="251"/>
    </row>
    <row r="57" spans="1:12" ht="15" customHeight="1">
      <c r="A57" s="252" t="s">
        <v>19</v>
      </c>
      <c r="B57" s="230" t="s">
        <v>13</v>
      </c>
      <c r="C57" s="226" t="str">
        <f>IF(ISERROR(VLOOKUP(C$2,'All Schools Data view only'!$A:$ED,99,0)),"",VLOOKUP(C$2,'All Schools Data view only'!$A:$ED,99,0))</f>
        <v/>
      </c>
      <c r="D57" s="226" t="str">
        <f>IF(ISERROR(VLOOKUP(D$2,'All Schools Data view only'!$A:$ED,99,0)),"",VLOOKUP(D$2,'All Schools Data view only'!$A:$ED,99,0))</f>
        <v/>
      </c>
      <c r="E57" s="226" t="str">
        <f>IF(ISERROR(VLOOKUP(E$2,'All Schools Data view only'!$A:$ED,99,0)),"",VLOOKUP(E$2,'All Schools Data view only'!$A:$ED,99,0))</f>
        <v/>
      </c>
      <c r="F57" s="226" t="str">
        <f>IF(ISERROR(VLOOKUP(F$2,'All Schools Data view only'!$A:$ED,99,0)),"",VLOOKUP(F$2,'All Schools Data view only'!$A:$ED,99,0))</f>
        <v/>
      </c>
      <c r="G57" s="238">
        <f>VLOOKUP(AD$3,'All Schools Data view only'!A:ED,99,0)</f>
        <v>0.52544531934375138</v>
      </c>
      <c r="H57" s="239">
        <f>VLOOKUP(AE$3,'All Schools Data view only'!A:ED,99,0)</f>
        <v>0.89537095181237358</v>
      </c>
      <c r="I57" s="239">
        <f>VLOOKUP(AF$3,'All Schools Data view only'!A:ED,99,0)</f>
        <v>0.92779409820797853</v>
      </c>
      <c r="J57" s="239">
        <f>VLOOKUP(AI$3,'All Schools Data view only'!A:ED,99,0)</f>
        <v>0.83537584338185655</v>
      </c>
      <c r="K57" s="240">
        <f>VLOOKUP(AG$3,'All Schools Data view only'!A:ED,99,0)</f>
        <v>0.84887704097310535</v>
      </c>
      <c r="L57" s="240">
        <f>VLOOKUP(AH$3,'All Schools Data view only'!A:ED,99,0)</f>
        <v>1.0194754271287829</v>
      </c>
    </row>
    <row r="58" spans="1:12" ht="15" customHeight="1">
      <c r="A58" s="247"/>
      <c r="B58" s="230" t="s">
        <v>531</v>
      </c>
      <c r="C58" s="226" t="str">
        <f>IF(ISERROR(VLOOKUP(C$2,'All Schools Data view only'!$A:$ED,100,0)),"",VLOOKUP(C$2,'All Schools Data view only'!$A:$ED,100,0))</f>
        <v/>
      </c>
      <c r="D58" s="226" t="str">
        <f>IF(ISERROR(VLOOKUP(D$2,'All Schools Data view only'!$A:$ED,100,0)),"",VLOOKUP(D$2,'All Schools Data view only'!$A:$ED,100,0))</f>
        <v/>
      </c>
      <c r="E58" s="226" t="str">
        <f>IF(ISERROR(VLOOKUP(E$2,'All Schools Data view only'!$A:$ED,100,0)),"",VLOOKUP(E$2,'All Schools Data view only'!$A:$ED,100,0))</f>
        <v/>
      </c>
      <c r="F58" s="226" t="str">
        <f>IF(ISERROR(VLOOKUP(F$2,'All Schools Data view only'!$A:$ED,100,0)),"",VLOOKUP(F$2,'All Schools Data view only'!$A:$ED,100,0))</f>
        <v/>
      </c>
      <c r="G58" s="238">
        <f>VLOOKUP(AD$3,'All Schools Data view only'!A:ED,100,0)</f>
        <v>0.36978708293145834</v>
      </c>
      <c r="H58" s="239">
        <f>VLOOKUP(AE$3,'All Schools Data view only'!A:ED,100,0)</f>
        <v>0.7268683391891585</v>
      </c>
      <c r="I58" s="239">
        <f>VLOOKUP(AF$3,'All Schools Data view only'!A:ED,100,0)</f>
        <v>0.79855009980695657</v>
      </c>
      <c r="J58" s="239">
        <f>VLOOKUP(AI$3,'All Schools Data view only'!A:ED,100,0)</f>
        <v>0.72318413508337875</v>
      </c>
      <c r="K58" s="240">
        <f>VLOOKUP(AG$3,'All Schools Data view only'!A:ED,100,0)</f>
        <v>0.77672499635792003</v>
      </c>
      <c r="L58" s="240">
        <f>VLOOKUP(AH$3,'All Schools Data view only'!A:ED,100,0)</f>
        <v>0.72486757613082964</v>
      </c>
    </row>
    <row r="59" spans="1:12" ht="15" customHeight="1">
      <c r="A59" s="247"/>
      <c r="B59" s="230" t="s">
        <v>14</v>
      </c>
      <c r="C59" s="226" t="str">
        <f>IF(ISERROR(VLOOKUP(C$2,'All Schools Data view only'!$A:$ED,101,0)),"",VLOOKUP(C$2,'All Schools Data view only'!$A:$ED,101,0))</f>
        <v/>
      </c>
      <c r="D59" s="226" t="str">
        <f>IF(ISERROR(VLOOKUP(D$2,'All Schools Data view only'!$A:$ED,101,0)),"",VLOOKUP(D$2,'All Schools Data view only'!$A:$ED,101,0))</f>
        <v/>
      </c>
      <c r="E59" s="226" t="str">
        <f>IF(ISERROR(VLOOKUP(E$2,'All Schools Data view only'!$A:$ED,101,0)),"",VLOOKUP(E$2,'All Schools Data view only'!$A:$ED,101,0))</f>
        <v/>
      </c>
      <c r="F59" s="226" t="str">
        <f>IF(ISERROR(VLOOKUP(F$2,'All Schools Data view only'!$A:$ED,101,0)),"",VLOOKUP(F$2,'All Schools Data view only'!$A:$ED,101,0))</f>
        <v/>
      </c>
      <c r="G59" s="238">
        <f>VLOOKUP(AD$3,'All Schools Data view only'!A:ED,101,0)</f>
        <v>0.41412578563232055</v>
      </c>
      <c r="H59" s="239">
        <f>VLOOKUP(AE$3,'All Schools Data view only'!A:ED,101,0)</f>
        <v>0.71558280602515267</v>
      </c>
      <c r="I59" s="239">
        <f>VLOOKUP(AF$3,'All Schools Data view only'!A:ED,101,0)</f>
        <v>0.79205857552703007</v>
      </c>
      <c r="J59" s="239">
        <f>VLOOKUP(AI$3,'All Schools Data view only'!A:ED,101,0)</f>
        <v>0.72293636479451551</v>
      </c>
      <c r="K59" s="240">
        <f>VLOOKUP(AG$3,'All Schools Data view only'!A:ED,101,0)</f>
        <v>0.77546531591733825</v>
      </c>
      <c r="L59" s="240">
        <f>VLOOKUP(AH$3,'All Schools Data view only'!A:ED,101,0)</f>
        <v>0.69987839111314876</v>
      </c>
    </row>
    <row r="60" spans="1:12" ht="15" customHeight="1">
      <c r="A60" s="247"/>
      <c r="B60" s="230" t="s">
        <v>15</v>
      </c>
      <c r="C60" s="231" t="str">
        <f>IF(ISERROR(VLOOKUP(C$2,'All Schools Data view only'!$A:$ED,102,0)),"",VLOOKUP(C$2,'All Schools Data view only'!$A:$ED,102,0))</f>
        <v/>
      </c>
      <c r="D60" s="231" t="str">
        <f>IF(ISERROR(VLOOKUP(D$2,'All Schools Data view only'!$A:$ED,102,0)),"",VLOOKUP(D$2,'All Schools Data view only'!$A:$ED,102,0))</f>
        <v/>
      </c>
      <c r="E60" s="231" t="str">
        <f>IF(ISERROR(VLOOKUP(E$2,'All Schools Data view only'!$A:$ED,102,0)),"",VLOOKUP(E$2,'All Schools Data view only'!$A:$ED,102,0))</f>
        <v/>
      </c>
      <c r="F60" s="231" t="str">
        <f>IF(ISERROR(VLOOKUP(F$2,'All Schools Data view only'!$A:$ED,102,0)),"",VLOOKUP(F$2,'All Schools Data view only'!$A:$ED,102,0))</f>
        <v/>
      </c>
      <c r="G60" s="241">
        <f>VLOOKUP(AD$3,'All Schools Data view only'!A:ED,102,0)</f>
        <v>10288.643099415203</v>
      </c>
      <c r="H60" s="242">
        <f>VLOOKUP(AE$3,'All Schools Data view only'!A:ED,102,0)</f>
        <v>6128.5364810285173</v>
      </c>
      <c r="I60" s="242">
        <f>VLOOKUP(AF$3,'All Schools Data view only'!A:ED,102,0)</f>
        <v>9015.5434091810112</v>
      </c>
      <c r="J60" s="242">
        <f>VLOOKUP(AI$3,'All Schools Data view only'!A:ED,102,0)</f>
        <v>6424.79548927614</v>
      </c>
      <c r="K60" s="243">
        <f>VLOOKUP(AG$3,'All Schools Data view only'!A:ED,102,0)</f>
        <v>36800.66438319088</v>
      </c>
      <c r="L60" s="243">
        <f>VLOOKUP(AH$3,'All Schools Data view only'!A:ED,102,0)</f>
        <v>75020.204305555555</v>
      </c>
    </row>
    <row r="61" spans="1:12" ht="15" customHeight="1">
      <c r="A61" s="247"/>
      <c r="B61" s="230"/>
      <c r="C61" s="231"/>
      <c r="D61" s="231"/>
      <c r="E61" s="231"/>
      <c r="F61" s="231"/>
      <c r="G61" s="253"/>
      <c r="H61" s="254"/>
      <c r="I61" s="254"/>
      <c r="J61" s="255"/>
      <c r="K61" s="255"/>
      <c r="L61" s="255"/>
    </row>
    <row r="62" spans="1:12" ht="15" customHeight="1">
      <c r="A62" s="247" t="s">
        <v>20</v>
      </c>
      <c r="B62" s="230" t="s">
        <v>13</v>
      </c>
      <c r="C62" s="226" t="str">
        <f>IF(ISERROR(VLOOKUP(C$2,'All Schools Data view only'!$A:$ED,103,0)),"",VLOOKUP(C$2,'All Schools Data view only'!$A:$ED,103,0))</f>
        <v/>
      </c>
      <c r="D62" s="226" t="str">
        <f>IF(ISERROR(VLOOKUP(D$2,'All Schools Data view only'!$A:$ED,103,0)),"",VLOOKUP(D$2,'All Schools Data view only'!$A:$ED,103,0))</f>
        <v/>
      </c>
      <c r="E62" s="226" t="str">
        <f>IF(ISERROR(VLOOKUP(E$2,'All Schools Data view only'!$A:$ED,103,0)),"",VLOOKUP(E$2,'All Schools Data view only'!$A:$ED,103,0))</f>
        <v/>
      </c>
      <c r="F62" s="226" t="str">
        <f>IF(ISERROR(VLOOKUP(F$2,'All Schools Data view only'!$A:$ED,103,0)),"",VLOOKUP(F$2,'All Schools Data view only'!$A:$ED,103,0))</f>
        <v/>
      </c>
      <c r="G62" s="238">
        <f>VLOOKUP(AD$3,'All Schools Data view only'!A:ED,103,0)</f>
        <v>8.5288025410540386E-3</v>
      </c>
      <c r="H62" s="239">
        <f>VLOOKUP(AE$3,'All Schools Data view only'!A:ED,103,0)</f>
        <v>1.5896158636355115E-2</v>
      </c>
      <c r="I62" s="239">
        <f>VLOOKUP(AF$3,'All Schools Data view only'!A:ED,103,0)</f>
        <v>1.6579163461535412E-2</v>
      </c>
      <c r="J62" s="239">
        <f>VLOOKUP(AI$3,'All Schools Data view only'!A:ED,103,0)</f>
        <v>9.9883877135632047E-3</v>
      </c>
      <c r="K62" s="240">
        <f>VLOOKUP(AG$3,'All Schools Data view only'!A:ED,103,0)</f>
        <v>1.1692796204017704E-2</v>
      </c>
      <c r="L62" s="240">
        <f>VLOOKUP(AH$3,'All Schools Data view only'!A:ED,103,0)</f>
        <v>1.6517202736417965E-3</v>
      </c>
    </row>
    <row r="63" spans="1:12" ht="15" customHeight="1">
      <c r="A63" s="247"/>
      <c r="B63" s="230" t="s">
        <v>14</v>
      </c>
      <c r="C63" s="226" t="str">
        <f>IF(ISERROR(VLOOKUP(C$2,'All Schools Data view only'!$A:$ED,104,0)),"",VLOOKUP(C$2,'All Schools Data view only'!$A:$ED,104,0))</f>
        <v/>
      </c>
      <c r="D63" s="226" t="str">
        <f>IF(ISERROR(VLOOKUP(D$2,'All Schools Data view only'!$A:$ED,104,0)),"",VLOOKUP(D$2,'All Schools Data view only'!$A:$ED,104,0))</f>
        <v/>
      </c>
      <c r="E63" s="226" t="str">
        <f>IF(ISERROR(VLOOKUP(E$2,'All Schools Data view only'!$A:$ED,104,0)),"",VLOOKUP(E$2,'All Schools Data view only'!$A:$ED,104,0))</f>
        <v/>
      </c>
      <c r="F63" s="226" t="str">
        <f>IF(ISERROR(VLOOKUP(F$2,'All Schools Data view only'!$A:$ED,104,0)),"",VLOOKUP(F$2,'All Schools Data view only'!$A:$ED,104,0))</f>
        <v/>
      </c>
      <c r="G63" s="238">
        <f>VLOOKUP(AD$3,'All Schools Data view only'!A:ED,104,0)</f>
        <v>6.6939779770460043E-3</v>
      </c>
      <c r="H63" s="239">
        <f>VLOOKUP(AE$3,'All Schools Data view only'!A:ED,104,0)</f>
        <v>1.2648027083811329E-2</v>
      </c>
      <c r="I63" s="239">
        <f>VLOOKUP(AF$3,'All Schools Data view only'!A:ED,104,0)</f>
        <v>1.3959705581997143E-2</v>
      </c>
      <c r="J63" s="239">
        <f>VLOOKUP(AI$3,'All Schools Data view only'!A:ED,104,0)</f>
        <v>8.6439759552645185E-3</v>
      </c>
      <c r="K63" s="240">
        <f>VLOOKUP(AG$3,'All Schools Data view only'!A:ED,104,0)</f>
        <v>1.0766456424143282E-2</v>
      </c>
      <c r="L63" s="240">
        <f>VLOOKUP(AH$3,'All Schools Data view only'!A:ED,104,0)</f>
        <v>1.1131512898498569E-3</v>
      </c>
    </row>
    <row r="64" spans="1:12" ht="15" customHeight="1">
      <c r="A64" s="247"/>
      <c r="B64" s="230" t="s">
        <v>15</v>
      </c>
      <c r="C64" s="231" t="str">
        <f>IF(ISERROR(VLOOKUP(C$2,'All Schools Data view only'!$A:$ED,105,0)),"",VLOOKUP(C$2,'All Schools Data view only'!$A:$ED,105,0))</f>
        <v/>
      </c>
      <c r="D64" s="231" t="str">
        <f>IF(ISERROR(VLOOKUP(D$2,'All Schools Data view only'!$A:$ED,105,0)),"",VLOOKUP(D$2,'All Schools Data view only'!$A:$ED,105,0))</f>
        <v/>
      </c>
      <c r="E64" s="231" t="str">
        <f>IF(ISERROR(VLOOKUP(E$2,'All Schools Data view only'!$A:$ED,105,0)),"",VLOOKUP(E$2,'All Schools Data view only'!$A:$ED,105,0))</f>
        <v/>
      </c>
      <c r="F64" s="231" t="str">
        <f>IF(ISERROR(VLOOKUP(F$2,'All Schools Data view only'!$A:$ED,105,0)),"",VLOOKUP(F$2,'All Schools Data view only'!$A:$ED,105,0))</f>
        <v/>
      </c>
      <c r="G64" s="241">
        <f>VLOOKUP(AD$3,'All Schools Data view only'!A:ED,105,0)</f>
        <v>163.90055190058479</v>
      </c>
      <c r="H64" s="242">
        <f>VLOOKUP(AE$3,'All Schools Data view only'!A:ED,105,0)</f>
        <v>107.35541373950097</v>
      </c>
      <c r="I64" s="242">
        <f>VLOOKUP(AF$3,'All Schools Data view only'!A:ED,105,0)</f>
        <v>161.99400271931879</v>
      </c>
      <c r="J64" s="242">
        <f>VLOOKUP(AI$3,'All Schools Data view only'!A:ED,105,0)</f>
        <v>76.819731903485248</v>
      </c>
      <c r="K64" s="243">
        <f>VLOOKUP(AG$3,'All Schools Data view only'!A:ED,105,0)</f>
        <v>545.19096225071223</v>
      </c>
      <c r="L64" s="243">
        <f>VLOOKUP(AH$3,'All Schools Data view only'!A:ED,105,0)</f>
        <v>121.75190277777779</v>
      </c>
    </row>
    <row r="65" spans="1:12" ht="15" customHeight="1">
      <c r="A65" s="247"/>
      <c r="B65" s="230"/>
      <c r="C65" s="248"/>
      <c r="D65" s="248"/>
      <c r="E65" s="248"/>
      <c r="F65" s="248"/>
      <c r="G65" s="249"/>
      <c r="H65" s="250"/>
      <c r="I65" s="250"/>
      <c r="J65" s="251"/>
      <c r="K65" s="251"/>
      <c r="L65" s="251"/>
    </row>
    <row r="66" spans="1:12" ht="15" customHeight="1">
      <c r="A66" s="247" t="s">
        <v>21</v>
      </c>
      <c r="B66" s="230" t="s">
        <v>14</v>
      </c>
      <c r="C66" s="226" t="str">
        <f>IF(ISERROR(VLOOKUP(C$2,'All Schools Data view only'!$A:$ED,106,0)),"",VLOOKUP(C$2,'All Schools Data view only'!$A:$ED,106,0))</f>
        <v/>
      </c>
      <c r="D66" s="226" t="str">
        <f>IF(ISERROR(VLOOKUP(D$2,'All Schools Data view only'!$A:$ED,106,0)),"",VLOOKUP(D$2,'All Schools Data view only'!$A:$ED,106,0))</f>
        <v/>
      </c>
      <c r="E66" s="226" t="str">
        <f>IF(ISERROR(VLOOKUP(E$2,'All Schools Data view only'!$A:$ED,106,0)),"",VLOOKUP(E$2,'All Schools Data view only'!$A:$ED,106,0))</f>
        <v/>
      </c>
      <c r="F66" s="226" t="str">
        <f>IF(ISERROR(VLOOKUP(F$2,'All Schools Data view only'!$A:$ED,106,0)),"",VLOOKUP(F$2,'All Schools Data view only'!$A:$ED,106,0))</f>
        <v/>
      </c>
      <c r="G66" s="238">
        <f>VLOOKUP(AD$3,'All Schools Data view only'!A:ED,106,0)</f>
        <v>7.0234471620308516E-4</v>
      </c>
      <c r="H66" s="239">
        <f>VLOOKUP(AE$3,'All Schools Data view only'!A:ED,106,0)</f>
        <v>2.4637270746676381E-3</v>
      </c>
      <c r="I66" s="239">
        <f>VLOOKUP(AF$3,'All Schools Data view only'!A:ED,106,0)</f>
        <v>1.1929332393603017E-3</v>
      </c>
      <c r="J66" s="239">
        <f>VLOOKUP(AI$3,'All Schools Data view only'!A:ED,106,0)</f>
        <v>2.3192922345879065E-3</v>
      </c>
      <c r="K66" s="240">
        <f>VLOOKUP(AG$3,'All Schools Data view only'!A:ED,106,0)</f>
        <v>1.6203973198203822E-3</v>
      </c>
      <c r="L66" s="240">
        <f>VLOOKUP(AH$3,'All Schools Data view only'!A:ED,106,0)</f>
        <v>1.5988001331516811E-4</v>
      </c>
    </row>
    <row r="67" spans="1:12" ht="15" customHeight="1">
      <c r="A67" s="247"/>
      <c r="B67" s="230" t="s">
        <v>15</v>
      </c>
      <c r="C67" s="231" t="str">
        <f>IF(ISERROR(VLOOKUP(C$2,'All Schools Data view only'!$A:$ED,107,0)),"",VLOOKUP(C$2,'All Schools Data view only'!$A:$ED,107,0))</f>
        <v/>
      </c>
      <c r="D67" s="231" t="str">
        <f>IF(ISERROR(VLOOKUP(D$2,'All Schools Data view only'!$A:$ED,107,0)),"",VLOOKUP(D$2,'All Schools Data view only'!$A:$ED,107,0))</f>
        <v/>
      </c>
      <c r="E67" s="231" t="str">
        <f>IF(ISERROR(VLOOKUP(E$2,'All Schools Data view only'!$A:$ED,107,0)),"",VLOOKUP(E$2,'All Schools Data view only'!$A:$ED,107,0))</f>
        <v/>
      </c>
      <c r="F67" s="231" t="str">
        <f>IF(ISERROR(VLOOKUP(F$2,'All Schools Data view only'!$A:$ED,107,0)),"",VLOOKUP(F$2,'All Schools Data view only'!$A:$ED,107,0))</f>
        <v/>
      </c>
      <c r="G67" s="241">
        <f>VLOOKUP(AD$3,'All Schools Data view only'!A:ED,107,0)</f>
        <v>18.198793859649122</v>
      </c>
      <c r="H67" s="242">
        <f>VLOOKUP(AE$3,'All Schools Data view only'!A:ED,107,0)</f>
        <v>21.555400048607439</v>
      </c>
      <c r="I67" s="242">
        <f>VLOOKUP(AF$3,'All Schools Data view only'!A:ED,107,0)</f>
        <v>13.551081802034998</v>
      </c>
      <c r="J67" s="242">
        <f>VLOOKUP(AI$3,'All Schools Data view only'!A:ED,107,0)</f>
        <v>20.611742627345844</v>
      </c>
      <c r="K67" s="243">
        <f>VLOOKUP(AG$3,'All Schools Data view only'!A:ED,107,0)</f>
        <v>69.069126780626789</v>
      </c>
      <c r="L67" s="243">
        <f>VLOOKUP(AH$3,'All Schools Data view only'!A:ED,107,0)</f>
        <v>12.747333333333334</v>
      </c>
    </row>
    <row r="68" spans="1:12" ht="15" customHeight="1">
      <c r="A68" s="247"/>
      <c r="B68" s="230"/>
      <c r="C68" s="248"/>
      <c r="D68" s="248"/>
      <c r="E68" s="248"/>
      <c r="F68" s="248"/>
      <c r="G68" s="249"/>
      <c r="H68" s="250"/>
      <c r="I68" s="250"/>
      <c r="J68" s="251"/>
      <c r="K68" s="251"/>
      <c r="L68" s="251"/>
    </row>
    <row r="69" spans="1:12" ht="15" customHeight="1">
      <c r="A69" s="247" t="s">
        <v>22</v>
      </c>
      <c r="B69" s="230" t="s">
        <v>13</v>
      </c>
      <c r="C69" s="226" t="str">
        <f>IF(ISERROR(VLOOKUP(C$2,'All Schools Data view only'!$A:$ED,108,0)),"",VLOOKUP(C$2,'All Schools Data view only'!$A:$ED,108,0))</f>
        <v/>
      </c>
      <c r="D69" s="226" t="str">
        <f>IF(ISERROR(VLOOKUP(D$2,'All Schools Data view only'!$A:$ED,108,0)),"",VLOOKUP(D$2,'All Schools Data view only'!$A:$ED,108,0))</f>
        <v/>
      </c>
      <c r="E69" s="226" t="str">
        <f>IF(ISERROR(VLOOKUP(E$2,'All Schools Data view only'!$A:$ED,108,0)),"",VLOOKUP(E$2,'All Schools Data view only'!$A:$ED,108,0))</f>
        <v/>
      </c>
      <c r="F69" s="226" t="str">
        <f>IF(ISERROR(VLOOKUP(F$2,'All Schools Data view only'!$A:$ED,108,0)),"",VLOOKUP(F$2,'All Schools Data view only'!$A:$ED,108,0))</f>
        <v/>
      </c>
      <c r="G69" s="238">
        <f>VLOOKUP(AD$3,'All Schools Data view only'!A:ED,108,0)</f>
        <v>9.7744676736353855E-3</v>
      </c>
      <c r="H69" s="239">
        <f>VLOOKUP(AE$3,'All Schools Data view only'!A:ED,108,0)</f>
        <v>2.3689304570839859E-2</v>
      </c>
      <c r="I69" s="239">
        <f>VLOOKUP(AF$3,'All Schools Data view only'!A:ED,108,0)</f>
        <v>2.2150482228672445E-2</v>
      </c>
      <c r="J69" s="239">
        <f>VLOOKUP(AI$3,'All Schools Data view only'!A:ED,108,0)</f>
        <v>2.0491085492351003E-2</v>
      </c>
      <c r="K69" s="240">
        <f>VLOOKUP(AG$3,'All Schools Data view only'!A:ED,108,0)</f>
        <v>1.560035041798905E-2</v>
      </c>
      <c r="L69" s="240">
        <f>VLOOKUP(AH$3,'All Schools Data view only'!A:ED,108,0)</f>
        <v>8.3209056299578012E-3</v>
      </c>
    </row>
    <row r="70" spans="1:12" ht="15" customHeight="1">
      <c r="A70" s="247"/>
      <c r="B70" s="230" t="s">
        <v>14</v>
      </c>
      <c r="C70" s="226" t="str">
        <f>IF(ISERROR(VLOOKUP(C$2,'All Schools Data view only'!$A:$ED,109,0)),"",VLOOKUP(C$2,'All Schools Data view only'!$A:$ED,109,0))</f>
        <v/>
      </c>
      <c r="D70" s="226" t="str">
        <f>IF(ISERROR(VLOOKUP(D$2,'All Schools Data view only'!$A:$ED,109,0)),"",VLOOKUP(D$2,'All Schools Data view only'!$A:$ED,109,0))</f>
        <v/>
      </c>
      <c r="E70" s="226" t="str">
        <f>IF(ISERROR(VLOOKUP(E$2,'All Schools Data view only'!$A:$ED,109,0)),"",VLOOKUP(E$2,'All Schools Data view only'!$A:$ED,109,0))</f>
        <v/>
      </c>
      <c r="F70" s="226" t="str">
        <f>IF(ISERROR(VLOOKUP(F$2,'All Schools Data view only'!$A:$ED,109,0)),"",VLOOKUP(F$2,'All Schools Data view only'!$A:$ED,109,0))</f>
        <v/>
      </c>
      <c r="G70" s="238">
        <f>VLOOKUP(AD$3,'All Schools Data view only'!A:ED,109,0)</f>
        <v>7.4140975277596083E-3</v>
      </c>
      <c r="H70" s="239">
        <f>VLOOKUP(AE$3,'All Schools Data view only'!A:ED,109,0)</f>
        <v>1.8938420607484997E-2</v>
      </c>
      <c r="I70" s="239">
        <f>VLOOKUP(AF$3,'All Schools Data view only'!A:ED,109,0)</f>
        <v>1.9459954179586063E-2</v>
      </c>
      <c r="J70" s="239">
        <f>VLOOKUP(AI$3,'All Schools Data view only'!A:ED,109,0)</f>
        <v>1.7733037139981544E-2</v>
      </c>
      <c r="K70" s="240">
        <f>VLOOKUP(AG$3,'All Schools Data view only'!A:ED,109,0)</f>
        <v>1.452088307652491E-2</v>
      </c>
      <c r="L70" s="240">
        <f>VLOOKUP(AH$3,'All Schools Data view only'!A:ED,109,0)</f>
        <v>7.4614588843989488E-3</v>
      </c>
    </row>
    <row r="71" spans="1:12" ht="15" customHeight="1">
      <c r="A71" s="247"/>
      <c r="B71" s="230" t="s">
        <v>15</v>
      </c>
      <c r="C71" s="231" t="str">
        <f>IF(ISERROR(VLOOKUP(C$2,'All Schools Data view only'!$A:$ED,110,0)),"",VLOOKUP(C$2,'All Schools Data view only'!$A:$ED,110,0))</f>
        <v/>
      </c>
      <c r="D71" s="231" t="str">
        <f>IF(ISERROR(VLOOKUP(D$2,'All Schools Data view only'!$A:$ED,110,0)),"",VLOOKUP(D$2,'All Schools Data view only'!$A:$ED,110,0))</f>
        <v/>
      </c>
      <c r="E71" s="231" t="str">
        <f>IF(ISERROR(VLOOKUP(E$2,'All Schools Data view only'!$A:$ED,110,0)),"",VLOOKUP(E$2,'All Schools Data view only'!$A:$ED,110,0))</f>
        <v/>
      </c>
      <c r="F71" s="231" t="str">
        <f>IF(ISERROR(VLOOKUP(F$2,'All Schools Data view only'!$A:$ED,110,0)),"",VLOOKUP(F$2,'All Schools Data view only'!$A:$ED,110,0))</f>
        <v/>
      </c>
      <c r="G71" s="241">
        <f>VLOOKUP(AD$3,'All Schools Data view only'!A:ED,110,0)</f>
        <v>159.25283808479531</v>
      </c>
      <c r="H71" s="242">
        <f>VLOOKUP(AE$3,'All Schools Data view only'!A:ED,110,0)</f>
        <v>162.24465232019608</v>
      </c>
      <c r="I71" s="242">
        <f>VLOOKUP(AF$3,'All Schools Data view only'!A:ED,110,0)</f>
        <v>213.20069284440999</v>
      </c>
      <c r="J71" s="242">
        <f>VLOOKUP(AI$3,'All Schools Data view only'!A:ED,110,0)</f>
        <v>157.59497319034853</v>
      </c>
      <c r="K71" s="243">
        <f>VLOOKUP(AG$3,'All Schools Data view only'!A:ED,110,0)</f>
        <v>596.35408831908831</v>
      </c>
      <c r="L71" s="243">
        <f>VLOOKUP(AH$3,'All Schools Data view only'!A:ED,110,0)</f>
        <v>594.90677777777773</v>
      </c>
    </row>
    <row r="72" spans="1:12" ht="15" customHeight="1">
      <c r="A72" s="247"/>
      <c r="B72" s="230"/>
      <c r="C72" s="231"/>
      <c r="D72" s="231"/>
      <c r="E72" s="231"/>
      <c r="F72" s="231"/>
      <c r="G72" s="241"/>
      <c r="H72" s="242"/>
      <c r="I72" s="242"/>
      <c r="J72" s="243"/>
      <c r="K72" s="243"/>
      <c r="L72" s="243"/>
    </row>
    <row r="73" spans="1:12" ht="15" customHeight="1">
      <c r="A73" s="247" t="s">
        <v>690</v>
      </c>
      <c r="B73" s="230" t="s">
        <v>14</v>
      </c>
      <c r="C73" s="256" t="str">
        <f>IF(ISERROR(VLOOKUP(C$2,'All Schools Data view only'!$A:$ED,126,0)),"",VLOOKUP(C$2,'All Schools Data view only'!$A:$ED,126,0))</f>
        <v/>
      </c>
      <c r="D73" s="256" t="str">
        <f>IF(ISERROR(VLOOKUP(D$2,'All Schools Data view only'!$A:$ED,126,0)),"",VLOOKUP(D$2,'All Schools Data view only'!$A:$ED,126,0))</f>
        <v/>
      </c>
      <c r="E73" s="256" t="str">
        <f>IF(ISERROR(VLOOKUP(E$2,'All Schools Data view only'!$A:$ED,126,0)),"",VLOOKUP(E$2,'All Schools Data view only'!$A:$ED,126,0))</f>
        <v/>
      </c>
      <c r="F73" s="256" t="str">
        <f>IF(ISERROR(VLOOKUP(F$2,'All Schools Data view only'!$A:$ED,126,0)),"",VLOOKUP(F$2,'All Schools Data view only'!$A:$ED,126,0))</f>
        <v/>
      </c>
      <c r="G73" s="238">
        <f>VLOOKUP(AD$3,'All Schools Data view only'!A:ED,126,0)</f>
        <v>3.1899167496565054E-3</v>
      </c>
      <c r="H73" s="239">
        <f>VLOOKUP(AE$3,'All Schools Data view only'!A:ED,126,0)</f>
        <v>1.3461847451226618E-2</v>
      </c>
      <c r="I73" s="239">
        <f>VLOOKUP(AF$3,'All Schools Data view only'!A:ED,126,0)</f>
        <v>1.6794847390638429E-2</v>
      </c>
      <c r="J73" s="239">
        <f>VLOOKUP(AI$3,'All Schools Data view only'!A:ED,126,0)</f>
        <v>1.4973220170148653E-2</v>
      </c>
      <c r="K73" s="240">
        <f>VLOOKUP(AG$3,'All Schools Data view only'!A:ED,126,0)</f>
        <v>7.499725561774459E-3</v>
      </c>
      <c r="L73" s="240">
        <f>VLOOKUP(AH$3,'All Schools Data view only'!A:ED,126,0)</f>
        <v>5.1408303869296011E-3</v>
      </c>
    </row>
    <row r="74" spans="1:12" ht="15" customHeight="1">
      <c r="A74" s="247"/>
      <c r="B74" s="230" t="s">
        <v>15</v>
      </c>
      <c r="C74" s="257" t="str">
        <f>IF(ISERROR(VLOOKUP(C$2,'All Schools Data view only'!$A:$ED,127,0)),"",VLOOKUP(C$2,'All Schools Data view only'!$A:$ED,127,0))</f>
        <v/>
      </c>
      <c r="D74" s="257" t="str">
        <f>IF(ISERROR(VLOOKUP(D$2,'All Schools Data view only'!$A:$ED,127,0)),"",VLOOKUP(D$2,'All Schools Data view only'!$A:$ED,127,0))</f>
        <v/>
      </c>
      <c r="E74" s="257" t="str">
        <f>IF(ISERROR(VLOOKUP(E$2,'All Schools Data view only'!$A:$ED,127,0)),"",VLOOKUP(E$2,'All Schools Data view only'!$A:$ED,127,0))</f>
        <v/>
      </c>
      <c r="F74" s="257" t="str">
        <f>IF(ISERROR(VLOOKUP(F$2,'All Schools Data view only'!$A:$ED,127,0)),"",VLOOKUP(F$2,'All Schools Data view only'!$A:$ED,127,0))</f>
        <v/>
      </c>
      <c r="G74" s="241">
        <f>VLOOKUP(AD$3,'All Schools Data view only'!A:ED,127,0)</f>
        <v>53.492008406432745</v>
      </c>
      <c r="H74" s="242">
        <f>VLOOKUP(AE$3,'All Schools Data view only'!A:ED,127,0)</f>
        <v>114.81206319087622</v>
      </c>
      <c r="I74" s="242">
        <f>VLOOKUP(AF$3,'All Schools Data view only'!A:ED,127,0)</f>
        <v>188.33328576933968</v>
      </c>
      <c r="J74" s="242">
        <f>VLOOKUP(AI$3,'All Schools Data view only'!A:ED,127,0)</f>
        <v>133.06825067024127</v>
      </c>
      <c r="K74" s="243">
        <f>VLOOKUP(AG$3,'All Schools Data view only'!A:ED,127,0)</f>
        <v>268.51786823361823</v>
      </c>
      <c r="L74" s="243">
        <f>VLOOKUP(AH$3,'All Schools Data view only'!A:ED,127,0)</f>
        <v>410.68715277777778</v>
      </c>
    </row>
    <row r="75" spans="1:12" ht="15" customHeight="1">
      <c r="A75" s="247"/>
      <c r="B75" s="230"/>
      <c r="C75" s="231"/>
      <c r="D75" s="231"/>
      <c r="E75" s="231"/>
      <c r="F75" s="231"/>
      <c r="G75" s="241"/>
      <c r="H75" s="242"/>
      <c r="I75" s="242"/>
      <c r="J75" s="243"/>
      <c r="K75" s="243"/>
      <c r="L75" s="243"/>
    </row>
    <row r="76" spans="1:12" ht="15" customHeight="1">
      <c r="A76" s="247" t="s">
        <v>691</v>
      </c>
      <c r="B76" s="230" t="s">
        <v>14</v>
      </c>
      <c r="C76" s="256" t="str">
        <f>IF(ISERROR(VLOOKUP(C$2,'All Schools Data view only'!$A:$ED,124,0)),"",VLOOKUP(C$2,'All Schools Data view only'!$A:$ED,124,0))</f>
        <v/>
      </c>
      <c r="D76" s="256" t="str">
        <f>IF(ISERROR(VLOOKUP(D$2,'All Schools Data view only'!$A:$ED,124,0)),"",VLOOKUP(D$2,'All Schools Data view only'!$A:$ED,124,0))</f>
        <v/>
      </c>
      <c r="E76" s="256" t="str">
        <f>IF(ISERROR(VLOOKUP(E$2,'All Schools Data view only'!$A:$ED,124,0)),"",VLOOKUP(E$2,'All Schools Data view only'!$A:$ED,124,0))</f>
        <v/>
      </c>
      <c r="F76" s="256" t="str">
        <f>IF(ISERROR(VLOOKUP(F$2,'All Schools Data view only'!$A:$ED,124,0)),"",VLOOKUP(F$2,'All Schools Data view only'!$A:$ED,124,0))</f>
        <v/>
      </c>
      <c r="G76" s="238">
        <f>VLOOKUP(AD$3,'All Schools Data view only'!A:ED,124,0)</f>
        <v>6.309430568393116E-3</v>
      </c>
      <c r="H76" s="239">
        <f>VLOOKUP(AE$3,'All Schools Data view only'!A:ED,124,0)</f>
        <v>4.7353965662246755E-2</v>
      </c>
      <c r="I76" s="239">
        <f>VLOOKUP(AF$3,'All Schools Data view only'!A:ED,124,0)</f>
        <v>1.6126485801003319E-2</v>
      </c>
      <c r="J76" s="239">
        <f>VLOOKUP(AI$3,'All Schools Data view only'!A:ED,124,0)</f>
        <v>4.8804598989695851E-2</v>
      </c>
      <c r="K76" s="240">
        <f>VLOOKUP(AG$3,'All Schools Data view only'!A:ED,124,0)</f>
        <v>9.5398491821643925E-3</v>
      </c>
      <c r="L76" s="240">
        <f>VLOOKUP(AH$3,'All Schools Data view only'!A:ED,124,0)</f>
        <v>3.9083116495243651E-3</v>
      </c>
    </row>
    <row r="77" spans="1:12" ht="15" customHeight="1">
      <c r="A77" s="247"/>
      <c r="B77" s="230" t="s">
        <v>15</v>
      </c>
      <c r="C77" s="257" t="str">
        <f>IF(ISERROR(VLOOKUP(C$2,'All Schools Data view only'!$A:$ED,125,0)),"",VLOOKUP(C$2,'All Schools Data view only'!$A:$ED,125,0))</f>
        <v/>
      </c>
      <c r="D77" s="257" t="str">
        <f>IF(ISERROR(VLOOKUP(D$2,'All Schools Data view only'!$A:$ED,125,0)),"",VLOOKUP(D$2,'All Schools Data view only'!$A:$ED,125,0))</f>
        <v/>
      </c>
      <c r="E77" s="257" t="str">
        <f>IF(ISERROR(VLOOKUP(E$2,'All Schools Data view only'!$A:$ED,125,0)),"",VLOOKUP(E$2,'All Schools Data view only'!$A:$ED,125,0))</f>
        <v/>
      </c>
      <c r="F77" s="257" t="str">
        <f>IF(ISERROR(VLOOKUP(F$2,'All Schools Data view only'!$A:$ED,125,0)),"",VLOOKUP(F$2,'All Schools Data view only'!$A:$ED,125,0))</f>
        <v/>
      </c>
      <c r="G77" s="241">
        <f>VLOOKUP(AD$3,'All Schools Data view only'!A:ED,125,0)</f>
        <v>101.03686951754386</v>
      </c>
      <c r="H77" s="242">
        <f>VLOOKUP(AE$3,'All Schools Data view only'!A:ED,125,0)</f>
        <v>396.10639164341859</v>
      </c>
      <c r="I77" s="242">
        <f>VLOOKUP(AF$3,'All Schools Data view only'!A:ED,125,0)</f>
        <v>170.33987696061271</v>
      </c>
      <c r="J77" s="242">
        <f>VLOOKUP(AI$3,'All Schools Data view only'!A:ED,125,0)</f>
        <v>433.7305227882037</v>
      </c>
      <c r="K77" s="243">
        <f>VLOOKUP(AG$3,'All Schools Data view only'!A:ED,125,0)</f>
        <v>412.53968945868945</v>
      </c>
      <c r="L77" s="243">
        <f>VLOOKUP(AH$3,'All Schools Data view only'!A:ED,125,0)</f>
        <v>329.22509722222219</v>
      </c>
    </row>
    <row r="78" spans="1:12" ht="15" customHeight="1">
      <c r="A78" s="247"/>
      <c r="B78" s="230"/>
      <c r="C78" s="248"/>
      <c r="D78" s="248"/>
      <c r="E78" s="248"/>
      <c r="F78" s="248"/>
      <c r="G78" s="249"/>
      <c r="H78" s="250"/>
      <c r="I78" s="250"/>
      <c r="J78" s="251"/>
      <c r="K78" s="251"/>
      <c r="L78" s="251"/>
    </row>
    <row r="79" spans="1:12" ht="15" customHeight="1">
      <c r="A79" s="247" t="s">
        <v>23</v>
      </c>
      <c r="B79" s="230" t="s">
        <v>13</v>
      </c>
      <c r="C79" s="226" t="str">
        <f>IF(ISERROR(VLOOKUP(C$2,'All Schools Data view only'!$A:$ED,111,0)),"",VLOOKUP(C$2,'All Schools Data view only'!$A:$ED,111,0))</f>
        <v/>
      </c>
      <c r="D79" s="226" t="str">
        <f>IF(ISERROR(VLOOKUP(D$2,'All Schools Data view only'!$A:$ED,111,0)),"",VLOOKUP(D$2,'All Schools Data view only'!$A:$ED,111,0))</f>
        <v/>
      </c>
      <c r="E79" s="226" t="str">
        <f>IF(ISERROR(VLOOKUP(E$2,'All Schools Data view only'!$A:$ED,111,0)),"",VLOOKUP(E$2,'All Schools Data view only'!$A:$ED,111,0))</f>
        <v/>
      </c>
      <c r="F79" s="226" t="str">
        <f>IF(ISERROR(VLOOKUP(F$2,'All Schools Data view only'!$A:$ED,111,0)),"",VLOOKUP(F$2,'All Schools Data view only'!$A:$ED,111,0))</f>
        <v/>
      </c>
      <c r="G79" s="238">
        <f>VLOOKUP(AD$3,'All Schools Data view only'!A:ED,111,0)</f>
        <v>4.0051006359170908E-3</v>
      </c>
      <c r="H79" s="239">
        <f>VLOOKUP(AE$3,'All Schools Data view only'!A:ED,111,0)</f>
        <v>1.1317526997010895E-2</v>
      </c>
      <c r="I79" s="239">
        <f>VLOOKUP(AF$3,'All Schools Data view only'!A:ED,111,0)</f>
        <v>1.3673102481031721E-2</v>
      </c>
      <c r="J79" s="239">
        <f>VLOOKUP(AI$3,'All Schools Data view only'!A:ED,111,0)</f>
        <v>3.6241446702529917E-3</v>
      </c>
      <c r="K79" s="240">
        <f>VLOOKUP(AG$3,'All Schools Data view only'!A:ED,111,0)</f>
        <v>5.1662460013947526E-3</v>
      </c>
      <c r="L79" s="240">
        <f>VLOOKUP(AH$3,'All Schools Data view only'!A:ED,111,0)</f>
        <v>0.29833350534622444</v>
      </c>
    </row>
    <row r="80" spans="1:12" ht="15" customHeight="1">
      <c r="A80" s="247"/>
      <c r="B80" s="230" t="s">
        <v>14</v>
      </c>
      <c r="C80" s="226" t="str">
        <f>IF(ISERROR(VLOOKUP(C$2,'All Schools Data view only'!$A:$ED,112,0)),"",VLOOKUP(C$2,'All Schools Data view only'!$A:$ED,112,0))</f>
        <v/>
      </c>
      <c r="D80" s="226" t="str">
        <f>IF(ISERROR(VLOOKUP(D$2,'All Schools Data view only'!$A:$ED,112,0)),"",VLOOKUP(D$2,'All Schools Data view only'!$A:$ED,112,0))</f>
        <v/>
      </c>
      <c r="E80" s="226" t="str">
        <f>IF(ISERROR(VLOOKUP(E$2,'All Schools Data view only'!$A:$ED,112,0)),"",VLOOKUP(E$2,'All Schools Data view only'!$A:$ED,112,0))</f>
        <v/>
      </c>
      <c r="F80" s="226" t="str">
        <f>IF(ISERROR(VLOOKUP(F$2,'All Schools Data view only'!$A:$ED,112,0)),"",VLOOKUP(F$2,'All Schools Data view only'!$A:$ED,112,0))</f>
        <v/>
      </c>
      <c r="G80" s="238">
        <f>VLOOKUP(AD$3,'All Schools Data view only'!A:ED,112,0)</f>
        <v>3.1999370493992949E-3</v>
      </c>
      <c r="H80" s="239">
        <f>VLOOKUP(AE$3,'All Schools Data view only'!A:ED,112,0)</f>
        <v>8.5006910260643134E-3</v>
      </c>
      <c r="I80" s="239">
        <f>VLOOKUP(AF$3,'All Schools Data view only'!A:ED,112,0)</f>
        <v>1.1200346467407175E-2</v>
      </c>
      <c r="J80" s="239">
        <f>VLOOKUP(AI$3,'All Schools Data view only'!A:ED,112,0)</f>
        <v>3.1363439512393019E-3</v>
      </c>
      <c r="K80" s="240">
        <f>VLOOKUP(AG$3,'All Schools Data view only'!A:ED,112,0)</f>
        <v>4.6946333908670984E-3</v>
      </c>
      <c r="L80" s="240">
        <f>VLOOKUP(AH$3,'All Schools Data view only'!A:ED,112,0)</f>
        <v>0.15681908013998105</v>
      </c>
    </row>
    <row r="81" spans="1:12" ht="15.6">
      <c r="A81" s="247"/>
      <c r="B81" s="230" t="s">
        <v>15</v>
      </c>
      <c r="C81" s="231" t="str">
        <f>IF(ISERROR(VLOOKUP(C$2,'All Schools Data view only'!$A:$ED,113,0)),"",VLOOKUP(C$2,'All Schools Data view only'!$A:$ED,113,0))</f>
        <v/>
      </c>
      <c r="D81" s="231" t="str">
        <f>IF(ISERROR(VLOOKUP(D$2,'All Schools Data view only'!$A:$ED,113,0)),"",VLOOKUP(D$2,'All Schools Data view only'!$A:$ED,113,0))</f>
        <v/>
      </c>
      <c r="E81" s="231" t="str">
        <f>IF(ISERROR(VLOOKUP(E$2,'All Schools Data view only'!$A:$ED,113,0)),"",VLOOKUP(E$2,'All Schools Data view only'!$A:$ED,113,0))</f>
        <v/>
      </c>
      <c r="F81" s="231" t="str">
        <f>IF(ISERROR(VLOOKUP(F$2,'All Schools Data view only'!$A:$ED,113,0)),"",VLOOKUP(F$2,'All Schools Data view only'!$A:$ED,113,0))</f>
        <v/>
      </c>
      <c r="G81" s="241">
        <f>VLOOKUP(AD$3,'All Schools Data view only'!A:ED,113,0)</f>
        <v>29.834908249238389</v>
      </c>
      <c r="H81" s="242">
        <f>VLOOKUP(AE$3,'All Schools Data view only'!A:ED,113,0)</f>
        <v>74.595488148207238</v>
      </c>
      <c r="I81" s="242">
        <f>VLOOKUP(AF$3,'All Schools Data view only'!A:ED,113,0)</f>
        <v>131.8113536464233</v>
      </c>
      <c r="J81" s="242">
        <f>VLOOKUP(AI$3,'All Schools Data view only'!A:ED,113,0)</f>
        <v>27.872949061662201</v>
      </c>
      <c r="K81" s="243">
        <f>VLOOKUP(AG$3,'All Schools Data view only'!A:ED,113,0)</f>
        <v>221.26654772079772</v>
      </c>
      <c r="L81" s="243">
        <f>VLOOKUP(AH$3,'All Schools Data view only'!A:ED,113,0)</f>
        <v>22431.003666666667</v>
      </c>
    </row>
    <row r="82" spans="1:12" ht="15" customHeight="1">
      <c r="A82" s="247"/>
      <c r="B82" s="230"/>
      <c r="C82" s="248"/>
      <c r="D82" s="248"/>
      <c r="E82" s="248"/>
      <c r="F82" s="248"/>
      <c r="G82" s="249"/>
      <c r="H82" s="250"/>
      <c r="I82" s="250"/>
      <c r="J82" s="251"/>
      <c r="K82" s="251"/>
      <c r="L82" s="251"/>
    </row>
    <row r="83" spans="1:12" ht="15" customHeight="1">
      <c r="A83" s="247" t="s">
        <v>24</v>
      </c>
      <c r="B83" s="230" t="s">
        <v>13</v>
      </c>
      <c r="C83" s="226" t="str">
        <f>IF(ISERROR(VLOOKUP(C$2,'All Schools Data view only'!$A:$ED,114,0)),"",VLOOKUP(C$2,'All Schools Data view only'!$A:$ED,114,0))</f>
        <v/>
      </c>
      <c r="D83" s="226" t="str">
        <f>IF(ISERROR(VLOOKUP(D$2,'All Schools Data view only'!$A:$ED,114,0)),"",VLOOKUP(D$2,'All Schools Data view only'!$A:$ED,114,0))</f>
        <v/>
      </c>
      <c r="E83" s="226" t="str">
        <f>IF(ISERROR(VLOOKUP(E$2,'All Schools Data view only'!$A:$ED,114,0)),"",VLOOKUP(E$2,'All Schools Data view only'!$A:$ED,114,0))</f>
        <v/>
      </c>
      <c r="F83" s="226" t="str">
        <f>IF(ISERROR(VLOOKUP(F$2,'All Schools Data view only'!$A:$ED,114,0)),"",VLOOKUP(F$2,'All Schools Data view only'!$A:$ED,114,0))</f>
        <v/>
      </c>
      <c r="G83" s="238">
        <f>VLOOKUP(AD$3,'All Schools Data view only'!A:ED,114,0)</f>
        <v>9.8069463634769989E-3</v>
      </c>
      <c r="H83" s="239">
        <f>VLOOKUP(AE$3,'All Schools Data view only'!A:ED,114,0)</f>
        <v>4.1354136123243131E-2</v>
      </c>
      <c r="I83" s="239">
        <f>VLOOKUP(AF$3,'All Schools Data view only'!A:ED,114,0)</f>
        <v>2.421697541904004E-2</v>
      </c>
      <c r="J83" s="239">
        <f>VLOOKUP(AI$3,'All Schools Data view only'!A:ED,114,0)</f>
        <v>4.1145543355334907E-2</v>
      </c>
      <c r="K83" s="240">
        <f>VLOOKUP(AG$3,'All Schools Data view only'!A:ED,114,0)</f>
        <v>1.2533348016073672E-2</v>
      </c>
      <c r="L83" s="240">
        <f>VLOOKUP(AH$3,'All Schools Data view only'!A:ED,114,0)</f>
        <v>1.3328572313154308E-2</v>
      </c>
    </row>
    <row r="84" spans="1:12" ht="15" customHeight="1">
      <c r="A84" s="247"/>
      <c r="B84" s="230" t="s">
        <v>531</v>
      </c>
      <c r="C84" s="226" t="str">
        <f>IF(ISERROR(VLOOKUP(C$2,'All Schools Data view only'!$A:$ED,115,0)),"",VLOOKUP(C$2,'All Schools Data view only'!$A:$ED,115,0))</f>
        <v/>
      </c>
      <c r="D84" s="226" t="str">
        <f>IF(ISERROR(VLOOKUP(D$2,'All Schools Data view only'!$A:$ED,115,0)),"",VLOOKUP(D$2,'All Schools Data view only'!$A:$ED,115,0))</f>
        <v/>
      </c>
      <c r="E84" s="226" t="str">
        <f>IF(ISERROR(VLOOKUP(E$2,'All Schools Data view only'!$A:$ED,115,0)),"",VLOOKUP(E$2,'All Schools Data view only'!$A:$ED,115,0))</f>
        <v/>
      </c>
      <c r="F84" s="226" t="str">
        <f>IF(ISERROR(VLOOKUP(F$2,'All Schools Data view only'!$A:$ED,115,0)),"",VLOOKUP(F$2,'All Schools Data view only'!$A:$ED,115,0))</f>
        <v/>
      </c>
      <c r="G84" s="238">
        <f>VLOOKUP(AD$3,'All Schools Data view only'!A:ED,115,0)</f>
        <v>6.9900177270231633E-3</v>
      </c>
      <c r="H84" s="239">
        <f>VLOOKUP(AE$3,'All Schools Data view only'!A:ED,115,0)</f>
        <v>3.3167133962219424E-2</v>
      </c>
      <c r="I84" s="239">
        <f>VLOOKUP(AF$3,'All Schools Data view only'!A:ED,115,0)</f>
        <v>2.0935904823661398E-2</v>
      </c>
      <c r="J84" s="239">
        <f>VLOOKUP(AI$3,'All Schools Data view only'!A:ED,115,0)</f>
        <v>3.5619660802619038E-2</v>
      </c>
      <c r="K84" s="240">
        <f>VLOOKUP(AG$3,'All Schools Data view only'!A:ED,115,0)</f>
        <v>1.1535047850090581E-2</v>
      </c>
      <c r="L84" s="240">
        <f>VLOOKUP(AH$3,'All Schools Data view only'!A:ED,115,0)</f>
        <v>9.9995939286736946E-3</v>
      </c>
    </row>
    <row r="85" spans="1:12" ht="15" customHeight="1">
      <c r="A85" s="247"/>
      <c r="B85" s="230" t="s">
        <v>14</v>
      </c>
      <c r="C85" s="226" t="str">
        <f>IF(ISERROR(VLOOKUP(C$2,'All Schools Data view only'!$A:$ED,116,0)),"",VLOOKUP(C$2,'All Schools Data view only'!$A:$ED,116,0))</f>
        <v/>
      </c>
      <c r="D85" s="226" t="str">
        <f>IF(ISERROR(VLOOKUP(D$2,'All Schools Data view only'!$A:$ED,116,0)),"",VLOOKUP(D$2,'All Schools Data view only'!$A:$ED,116,0))</f>
        <v/>
      </c>
      <c r="E85" s="226" t="str">
        <f>IF(ISERROR(VLOOKUP(E$2,'All Schools Data view only'!$A:$ED,116,0)),"",VLOOKUP(E$2,'All Schools Data view only'!$A:$ED,116,0))</f>
        <v/>
      </c>
      <c r="F85" s="226" t="str">
        <f>IF(ISERROR(VLOOKUP(F$2,'All Schools Data view only'!$A:$ED,116,0)),"",VLOOKUP(F$2,'All Schools Data view only'!$A:$ED,116,0))</f>
        <v/>
      </c>
      <c r="G85" s="238">
        <f>VLOOKUP(AD$3,'All Schools Data view only'!A:ED,116,0)</f>
        <v>7.8443320547590054E-3</v>
      </c>
      <c r="H85" s="239">
        <f>VLOOKUP(AE$3,'All Schools Data view only'!A:ED,116,0)</f>
        <v>3.2702647091814571E-2</v>
      </c>
      <c r="I85" s="239">
        <f>VLOOKUP(AF$3,'All Schools Data view only'!A:ED,116,0)</f>
        <v>2.0797903849660706E-2</v>
      </c>
      <c r="J85" s="239">
        <f>VLOOKUP(AI$3,'All Schools Data view only'!A:ED,116,0)</f>
        <v>3.5607457142142918E-2</v>
      </c>
      <c r="K85" s="240">
        <f>VLOOKUP(AG$3,'All Schools Data view only'!A:ED,116,0)</f>
        <v>1.1521723851078048E-2</v>
      </c>
      <c r="L85" s="240">
        <f>VLOOKUP(AH$3,'All Schools Data view only'!A:ED,116,0)</f>
        <v>9.7944422838461276E-3</v>
      </c>
    </row>
    <row r="86" spans="1:12" ht="15" customHeight="1">
      <c r="A86" s="247"/>
      <c r="B86" s="230" t="s">
        <v>15</v>
      </c>
      <c r="C86" s="231" t="str">
        <f>IF(ISERROR(VLOOKUP(C$2,'All Schools Data view only'!$A:$ED,117,0)),"",VLOOKUP(C$2,'All Schools Data view only'!$A:$ED,117,0))</f>
        <v/>
      </c>
      <c r="D86" s="231" t="str">
        <f>IF(ISERROR(VLOOKUP(D$2,'All Schools Data view only'!$A:$ED,117,0)),"",VLOOKUP(D$2,'All Schools Data view only'!$A:$ED,117,0))</f>
        <v/>
      </c>
      <c r="E86" s="231" t="str">
        <f>IF(ISERROR(VLOOKUP(E$2,'All Schools Data view only'!$A:$ED,117,0)),"",VLOOKUP(E$2,'All Schools Data view only'!$A:$ED,117,0))</f>
        <v/>
      </c>
      <c r="F86" s="231" t="str">
        <f>IF(ISERROR(VLOOKUP(F$2,'All Schools Data view only'!$A:$ED,117,0)),"",VLOOKUP(F$2,'All Schools Data view only'!$A:$ED,117,0))</f>
        <v/>
      </c>
      <c r="G86" s="241">
        <f>VLOOKUP(AD$3,'All Schools Data view only'!A:ED,117,0)</f>
        <v>204.79816703216375</v>
      </c>
      <c r="H86" s="242">
        <f>VLOOKUP(AE$3,'All Schools Data view only'!A:ED,117,0)</f>
        <v>275.31723870758259</v>
      </c>
      <c r="I86" s="242">
        <f>VLOOKUP(AF$3,'All Schools Data view only'!A:ED,117,0)</f>
        <v>237.99736955981913</v>
      </c>
      <c r="J86" s="242">
        <f>VLOOKUP(AI$3,'All Schools Data view only'!A:ED,117,0)</f>
        <v>316.44642761394101</v>
      </c>
      <c r="K86" s="243">
        <f>VLOOKUP(AG$3,'All Schools Data view only'!A:ED,117,0)</f>
        <v>525.49744586894587</v>
      </c>
      <c r="L86" s="243">
        <f>VLOOKUP(AH$3,'All Schools Data view only'!A:ED,117,0)</f>
        <v>974.39976388888886</v>
      </c>
    </row>
    <row r="87" spans="1:12" ht="15" customHeight="1">
      <c r="A87" s="247"/>
      <c r="B87" s="230"/>
      <c r="C87" s="248"/>
      <c r="D87" s="248"/>
      <c r="E87" s="248"/>
      <c r="F87" s="248"/>
      <c r="G87" s="249"/>
      <c r="H87" s="250"/>
      <c r="I87" s="250"/>
      <c r="J87" s="251"/>
      <c r="K87" s="251"/>
      <c r="L87" s="251"/>
    </row>
    <row r="88" spans="1:12" ht="15" customHeight="1">
      <c r="A88" s="247" t="s">
        <v>25</v>
      </c>
      <c r="B88" s="230" t="s">
        <v>13</v>
      </c>
      <c r="C88" s="226" t="str">
        <f>IF(ISERROR(VLOOKUP(C$2,'All Schools Data view only'!$A:$ED,118,0)),"",VLOOKUP(C$2,'All Schools Data view only'!$A:$ED,118,0))</f>
        <v/>
      </c>
      <c r="D88" s="226" t="str">
        <f>IF(ISERROR(VLOOKUP(D$2,'All Schools Data view only'!$A:$ED,118,0)),"",VLOOKUP(D$2,'All Schools Data view only'!$A:$ED,118,0))</f>
        <v/>
      </c>
      <c r="E88" s="226" t="str">
        <f>IF(ISERROR(VLOOKUP(E$2,'All Schools Data view only'!$A:$ED,118,0)),"",VLOOKUP(E$2,'All Schools Data view only'!$A:$ED,118,0))</f>
        <v/>
      </c>
      <c r="F88" s="226" t="str">
        <f>IF(ISERROR(VLOOKUP(F$2,'All Schools Data view only'!$A:$ED,118,0)),"",VLOOKUP(F$2,'All Schools Data view only'!$A:$ED,118,0))</f>
        <v/>
      </c>
      <c r="G88" s="238">
        <f>VLOOKUP(AD$3,'All Schools Data view only'!A:ED,118,0)</f>
        <v>4.013810930589938E-3</v>
      </c>
      <c r="H88" s="239">
        <f>VLOOKUP(AE$3,'All Schools Data view only'!A:ED,118,0)</f>
        <v>5.6233513096601937E-3</v>
      </c>
      <c r="I88" s="239">
        <f>VLOOKUP(AF$3,'All Schools Data view only'!A:ED,118,0)</f>
        <v>8.94371543238205E-3</v>
      </c>
      <c r="J88" s="239">
        <f>VLOOKUP(AI$3,'All Schools Data view only'!A:ED,118,0)</f>
        <v>1.0802572402626413E-2</v>
      </c>
      <c r="K88" s="240">
        <f>VLOOKUP(AG$3,'All Schools Data view only'!A:ED,118,0)</f>
        <v>1.9025216293579756E-3</v>
      </c>
      <c r="L88" s="240">
        <f>VLOOKUP(AH$3,'All Schools Data view only'!A:ED,118,0)</f>
        <v>1.1333412879086768E-2</v>
      </c>
    </row>
    <row r="89" spans="1:12" ht="15" customHeight="1">
      <c r="A89" s="247"/>
      <c r="B89" s="230" t="s">
        <v>14</v>
      </c>
      <c r="C89" s="226" t="str">
        <f>IF(ISERROR(VLOOKUP(C$2,'All Schools Data view only'!$A:$ED,119,0)),"",VLOOKUP(C$2,'All Schools Data view only'!$A:$ED,119,0))</f>
        <v/>
      </c>
      <c r="D89" s="226" t="str">
        <f>IF(ISERROR(VLOOKUP(D$2,'All Schools Data view only'!$A:$ED,119,0)),"",VLOOKUP(D$2,'All Schools Data view only'!$A:$ED,119,0))</f>
        <v/>
      </c>
      <c r="E89" s="226" t="str">
        <f>IF(ISERROR(VLOOKUP(E$2,'All Schools Data view only'!$A:$ED,119,0)),"",VLOOKUP(E$2,'All Schools Data view only'!$A:$ED,119,0))</f>
        <v/>
      </c>
      <c r="F89" s="226" t="str">
        <f>IF(ISERROR(VLOOKUP(F$2,'All Schools Data view only'!$A:$ED,119,0)),"",VLOOKUP(F$2,'All Schools Data view only'!$A:$ED,119,0))</f>
        <v/>
      </c>
      <c r="G89" s="238">
        <f>VLOOKUP(AD$3,'All Schools Data view only'!A:ED,119,0)</f>
        <v>3.2036469381998699E-3</v>
      </c>
      <c r="H89" s="239">
        <f>VLOOKUP(AE$3,'All Schools Data view only'!A:ED,119,0)</f>
        <v>4.4484547592961539E-3</v>
      </c>
      <c r="I89" s="239">
        <f>VLOOKUP(AF$3,'All Schools Data view only'!A:ED,119,0)</f>
        <v>7.754360538906436E-3</v>
      </c>
      <c r="J89" s="239">
        <f>VLOOKUP(AI$3,'All Schools Data view only'!A:ED,119,0)</f>
        <v>9.348573441588591E-3</v>
      </c>
      <c r="K89" s="240">
        <f>VLOOKUP(AG$3,'All Schools Data view only'!A:ED,119,0)</f>
        <v>1.6775757679059102E-3</v>
      </c>
      <c r="L89" s="240">
        <f>VLOOKUP(AH$3,'All Schools Data view only'!A:ED,119,0)</f>
        <v>7.4852833611175331E-3</v>
      </c>
    </row>
    <row r="90" spans="1:12" ht="15" customHeight="1">
      <c r="A90" s="247"/>
      <c r="B90" s="230" t="s">
        <v>15</v>
      </c>
      <c r="C90" s="231" t="str">
        <f>IF(ISERROR(VLOOKUP(C$2,'All Schools Data view only'!$A:$ED,120,0)),"",VLOOKUP(C$2,'All Schools Data view only'!$A:$ED,120,0))</f>
        <v/>
      </c>
      <c r="D90" s="231" t="str">
        <f>IF(ISERROR(VLOOKUP(D$2,'All Schools Data view only'!$A:$ED,120,0)),"",VLOOKUP(D$2,'All Schools Data view only'!$A:$ED,120,0))</f>
        <v/>
      </c>
      <c r="E90" s="231" t="str">
        <f>IF(ISERROR(VLOOKUP(E$2,'All Schools Data view only'!$A:$ED,120,0)),"",VLOOKUP(E$2,'All Schools Data view only'!$A:$ED,120,0))</f>
        <v/>
      </c>
      <c r="F90" s="231" t="str">
        <f>IF(ISERROR(VLOOKUP(F$2,'All Schools Data view only'!$A:$ED,120,0)),"",VLOOKUP(F$2,'All Schools Data view only'!$A:$ED,120,0))</f>
        <v/>
      </c>
      <c r="G90" s="241">
        <f>VLOOKUP(AD$3,'All Schools Data view only'!A:ED,120,0)</f>
        <v>83.054437134502933</v>
      </c>
      <c r="H90" s="242">
        <f>VLOOKUP(AE$3,'All Schools Data view only'!A:ED,120,0)</f>
        <v>38.597299620269794</v>
      </c>
      <c r="I90" s="242">
        <f>VLOOKUP(AF$3,'All Schools Data view only'!A:ED,120,0)</f>
        <v>85.059554036003206</v>
      </c>
      <c r="J90" s="242">
        <f>VLOOKUP(AI$3,'All Schools Data view only'!A:ED,120,0)</f>
        <v>83.08154825737266</v>
      </c>
      <c r="K90" s="243">
        <f>VLOOKUP(AG$3,'All Schools Data view only'!A:ED,120,0)</f>
        <v>82.903495726495734</v>
      </c>
      <c r="L90" s="243">
        <f>VLOOKUP(AH$3,'All Schools Data view only'!A:ED,120,0)</f>
        <v>836.92995833333339</v>
      </c>
    </row>
    <row r="91" spans="1:12" ht="15" customHeight="1">
      <c r="A91" s="247"/>
      <c r="B91" s="246"/>
      <c r="C91" s="258"/>
      <c r="D91" s="258"/>
      <c r="E91" s="258"/>
      <c r="F91" s="258"/>
      <c r="G91" s="249"/>
      <c r="H91" s="250"/>
      <c r="I91" s="250"/>
      <c r="J91" s="251"/>
      <c r="K91" s="251"/>
      <c r="L91" s="251"/>
    </row>
    <row r="92" spans="1:12" ht="31.5" customHeight="1">
      <c r="A92" s="245" t="s">
        <v>471</v>
      </c>
      <c r="B92" s="230" t="s">
        <v>13</v>
      </c>
      <c r="C92" s="226" t="str">
        <f>IF(ISERROR(VLOOKUP(C$2,'All Schools Data view only'!$A:$ED,121,0)),"",VLOOKUP(C$2,'All Schools Data view only'!$A:$ED,121,0))</f>
        <v/>
      </c>
      <c r="D92" s="226" t="str">
        <f>IF(ISERROR(VLOOKUP(D$2,'All Schools Data view only'!$A:$ED,121,0)),"",VLOOKUP(D$2,'All Schools Data view only'!$A:$ED,121,0))</f>
        <v/>
      </c>
      <c r="E92" s="226" t="str">
        <f>IF(ISERROR(VLOOKUP(E$2,'All Schools Data view only'!$A:$ED,121,0)),"",VLOOKUP(E$2,'All Schools Data view only'!$A:$ED,121,0))</f>
        <v/>
      </c>
      <c r="F92" s="226" t="str">
        <f>IF(ISERROR(VLOOKUP(F$2,'All Schools Data view only'!$A:$ED,121,0)),"",VLOOKUP(F$2,'All Schools Data view only'!$A:$ED,121,0))</f>
        <v/>
      </c>
      <c r="G92" s="238">
        <f>VLOOKUP(AD$3,'All Schools Data view only'!A:ED,121,0)</f>
        <v>1.3901601740824041E-2</v>
      </c>
      <c r="H92" s="239">
        <f>VLOOKUP(AE$3,'All Schools Data view only'!A:ED,121,0)</f>
        <v>7.9860908934980393E-2</v>
      </c>
      <c r="I92" s="239">
        <f>VLOOKUP(AF$3,'All Schools Data view only'!A:ED,121,0)</f>
        <v>2.3394693305028053E-2</v>
      </c>
      <c r="J92" s="239">
        <f>VLOOKUP(AI$3,'All Schools Data view only'!A:ED,121,0)</f>
        <v>7.50683106046139E-2</v>
      </c>
      <c r="K92" s="240">
        <f>VLOOKUP(AG$3,'All Schools Data view only'!A:ED,121,0)</f>
        <v>0.12825929250903145</v>
      </c>
      <c r="L92" s="240">
        <f>VLOOKUP(AH$3,'All Schools Data view only'!A:ED,121,0)</f>
        <v>4.6880688847983888E-2</v>
      </c>
    </row>
    <row r="93" spans="1:12" ht="15" customHeight="1">
      <c r="A93" s="247"/>
      <c r="B93" s="230" t="s">
        <v>14</v>
      </c>
      <c r="C93" s="226" t="str">
        <f>IF(ISERROR(VLOOKUP(C$2,'All Schools Data view only'!$A:$ED,122,0)),"",VLOOKUP(C$2,'All Schools Data view only'!$A:$ED,122,0))</f>
        <v/>
      </c>
      <c r="D93" s="226" t="str">
        <f>IF(ISERROR(VLOOKUP(D$2,'All Schools Data view only'!$A:$ED,122,0)),"",VLOOKUP(D$2,'All Schools Data view only'!$A:$ED,122,0))</f>
        <v/>
      </c>
      <c r="E93" s="226" t="str">
        <f>IF(ISERROR(VLOOKUP(E$2,'All Schools Data view only'!$A:$ED,122,0)),"",VLOOKUP(E$2,'All Schools Data view only'!$A:$ED,122,0))</f>
        <v/>
      </c>
      <c r="F93" s="226" t="str">
        <f>IF(ISERROR(VLOOKUP(F$2,'All Schools Data view only'!$A:$ED,122,0)),"",VLOOKUP(F$2,'All Schools Data view only'!$A:$ED,122,0))</f>
        <v/>
      </c>
      <c r="G93" s="238">
        <f>VLOOKUP(AD$3,'All Schools Data view only'!A:ED,122,0)</f>
        <v>9.873686906966727E-3</v>
      </c>
      <c r="H93" s="239">
        <f>VLOOKUP(AE$3,'All Schools Data view only'!A:ED,122,0)</f>
        <v>6.4340693557689524E-2</v>
      </c>
      <c r="I93" s="239">
        <f>VLOOKUP(AF$3,'All Schools Data view only'!A:ED,122,0)</f>
        <v>2.0225001202847408E-2</v>
      </c>
      <c r="J93" s="239">
        <f>VLOOKUP(AI$3,'All Schools Data view only'!A:ED,122,0)</f>
        <v>6.49643055993398E-2</v>
      </c>
      <c r="K93" s="240">
        <f>VLOOKUP(AG$3,'All Schools Data view only'!A:ED,122,0)</f>
        <v>0.11816063478697947</v>
      </c>
      <c r="L93" s="240">
        <f>VLOOKUP(AH$3,'All Schools Data view only'!A:ED,122,0)</f>
        <v>3.4276411617959121E-2</v>
      </c>
    </row>
    <row r="94" spans="1:12" ht="15" customHeight="1">
      <c r="A94" s="247"/>
      <c r="B94" s="230" t="s">
        <v>15</v>
      </c>
      <c r="C94" s="259" t="str">
        <f>IF(ISERROR(VLOOKUP(C$2,'All Schools Data view only'!$A:$ED,123,0)),"",VLOOKUP(C$2,'All Schools Data view only'!$A:$ED,123,0))</f>
        <v/>
      </c>
      <c r="D94" s="259" t="str">
        <f>IF(ISERROR(VLOOKUP(D$2,'All Schools Data view only'!$A:$ED,123,0)),"",VLOOKUP(D$2,'All Schools Data view only'!$A:$ED,123,0))</f>
        <v/>
      </c>
      <c r="E94" s="259" t="str">
        <f>IF(ISERROR(VLOOKUP(E$2,'All Schools Data view only'!$A:$ED,123,0)),"",VLOOKUP(E$2,'All Schools Data view only'!$A:$ED,123,0))</f>
        <v/>
      </c>
      <c r="F94" s="259" t="str">
        <f>IF(ISERROR(VLOOKUP(F$2,'All Schools Data view only'!$A:$ED,123,0)),"",VLOOKUP(F$2,'All Schools Data view only'!$A:$ED,123,0))</f>
        <v/>
      </c>
      <c r="G94" s="241">
        <f>VLOOKUP(AD$3,'All Schools Data view only'!A:ED,123,0)</f>
        <v>152.03282529239766</v>
      </c>
      <c r="H94" s="242">
        <f>VLOOKUP(AE$3,'All Schools Data view only'!A:ED,123,0)</f>
        <v>555.17548916160979</v>
      </c>
      <c r="I94" s="242">
        <f>VLOOKUP(AF$3,'All Schools Data view only'!A:ED,123,0)</f>
        <v>231.8919586235385</v>
      </c>
      <c r="J94" s="242">
        <f>VLOOKUP(AI$3,'All Schools Data view only'!A:ED,123,0)</f>
        <v>577.34317694369975</v>
      </c>
      <c r="K94" s="243">
        <f>VLOOKUP(AG$3,'All Schools Data view only'!A:ED,123,0)</f>
        <v>4694.4942984330492</v>
      </c>
      <c r="L94" s="243">
        <f>VLOOKUP(AH$3,'All Schools Data view only'!A:ED,123,0)</f>
        <v>3428.9916527777777</v>
      </c>
    </row>
    <row r="95" spans="1:12" ht="15" customHeight="1">
      <c r="A95" s="247"/>
      <c r="B95" s="246"/>
      <c r="C95" s="258"/>
      <c r="D95" s="258"/>
      <c r="E95" s="258"/>
      <c r="F95" s="258"/>
      <c r="G95" s="249"/>
      <c r="H95" s="250"/>
      <c r="I95" s="250"/>
      <c r="J95" s="251"/>
      <c r="K95" s="251"/>
      <c r="L95" s="251"/>
    </row>
    <row r="96" spans="1:12" ht="33" customHeight="1">
      <c r="A96" s="245" t="s">
        <v>417</v>
      </c>
      <c r="B96" s="230" t="s">
        <v>317</v>
      </c>
      <c r="C96" s="472" t="e">
        <f>VLOOKUP(C2,'All Schools Data view only'!$A$4:$ED$96,132,0)</f>
        <v>#N/A</v>
      </c>
      <c r="D96" s="472" t="e">
        <f>VLOOKUP(D2,'All Schools Data view only'!$A$4:$ED$96,132,0)</f>
        <v>#N/A</v>
      </c>
      <c r="E96" s="472" t="e">
        <f>VLOOKUP(E2,'All Schools Data view only'!$A$4:$ED$96,132,0)</f>
        <v>#N/A</v>
      </c>
      <c r="F96" s="472" t="e">
        <f>VLOOKUP(F2,'All Schools Data view only'!$A$4:$ED$96,132,0)</f>
        <v>#N/A</v>
      </c>
      <c r="G96" s="473">
        <f>VLOOKUP(AD$3,'All Schools Data view only'!A:ED,132,0)</f>
        <v>0</v>
      </c>
      <c r="H96" s="474">
        <f>VLOOKUP(AE$3,'All Schools Data view only'!A:ED,132,0)</f>
        <v>63.428571428571431</v>
      </c>
      <c r="I96" s="474">
        <f>VLOOKUP(AF$3,'All Schools Data view only'!A:ED,132,0)</f>
        <v>147.5</v>
      </c>
      <c r="J96" s="474">
        <f>VLOOKUP(AI$3,'All Schools Data view only'!A:ED,132,0)</f>
        <v>419</v>
      </c>
      <c r="K96" s="475">
        <f>VLOOKUP(AG$3,'All Schools Data view only'!A:ED,132,0)</f>
        <v>55.666666666666664</v>
      </c>
      <c r="L96" s="475">
        <f>VLOOKUP(AH$3,'All Schools Data view only'!A:ED,132,0)</f>
        <v>15</v>
      </c>
    </row>
    <row r="97" spans="1:12" ht="15" customHeight="1" thickBot="1">
      <c r="A97" s="260"/>
      <c r="B97" s="261"/>
      <c r="C97" s="262"/>
      <c r="D97" s="262"/>
      <c r="E97" s="262"/>
      <c r="F97" s="262"/>
      <c r="G97" s="263"/>
      <c r="H97" s="264"/>
      <c r="I97" s="264"/>
      <c r="J97" s="265"/>
      <c r="K97" s="265"/>
      <c r="L97" s="265"/>
    </row>
    <row r="98" spans="1:12" ht="15" customHeight="1" thickTop="1"/>
    <row r="99" spans="1:12" ht="15" customHeight="1"/>
    <row r="100" spans="1:12" ht="15" customHeight="1"/>
    <row r="101" spans="1:12" ht="15" customHeight="1"/>
    <row r="422" spans="2:9" ht="15" customHeight="1">
      <c r="B422" s="11" t="s">
        <v>26</v>
      </c>
      <c r="C422" s="2">
        <v>9999</v>
      </c>
      <c r="D422" s="2">
        <v>9999</v>
      </c>
      <c r="E422" s="2">
        <v>9999</v>
      </c>
      <c r="F422" s="2">
        <v>9999</v>
      </c>
    </row>
    <row r="423" spans="2:9" ht="12.75" customHeight="1">
      <c r="B423" s="11"/>
      <c r="C423" s="5"/>
      <c r="D423" s="5"/>
      <c r="E423" s="5"/>
      <c r="F423" s="5"/>
    </row>
    <row r="424" spans="2:9" ht="15" customHeight="1">
      <c r="B424" s="3" t="s">
        <v>442</v>
      </c>
      <c r="C424" s="5">
        <v>1000</v>
      </c>
      <c r="D424" s="5">
        <v>1000</v>
      </c>
      <c r="E424" s="5">
        <v>1000</v>
      </c>
      <c r="F424" s="5">
        <v>1000</v>
      </c>
    </row>
    <row r="425" spans="2:9" ht="15" customHeight="1">
      <c r="B425" s="3" t="s">
        <v>29</v>
      </c>
      <c r="C425" s="5">
        <v>1002</v>
      </c>
      <c r="D425" s="5">
        <v>1002</v>
      </c>
      <c r="E425" s="5">
        <v>1002</v>
      </c>
      <c r="F425" s="5">
        <v>1002</v>
      </c>
    </row>
    <row r="426" spans="2:9" ht="12.75" customHeight="1">
      <c r="B426" s="11"/>
      <c r="C426" s="5"/>
      <c r="D426" s="5"/>
      <c r="E426" s="5"/>
      <c r="F426" s="5"/>
    </row>
    <row r="427" spans="2:9" ht="15" customHeight="1">
      <c r="B427" s="4" t="s">
        <v>31</v>
      </c>
      <c r="C427" s="5">
        <v>3520</v>
      </c>
      <c r="D427" s="5">
        <v>3520</v>
      </c>
      <c r="E427" s="5">
        <v>3520</v>
      </c>
      <c r="F427" s="5">
        <v>3520</v>
      </c>
    </row>
    <row r="428" spans="2:9" ht="15" customHeight="1">
      <c r="B428" s="5" t="s">
        <v>32</v>
      </c>
      <c r="C428" s="5">
        <v>3317</v>
      </c>
      <c r="D428" s="5">
        <v>3317</v>
      </c>
      <c r="E428" s="5">
        <v>3317</v>
      </c>
      <c r="F428" s="5">
        <v>3317</v>
      </c>
    </row>
    <row r="429" spans="2:9" ht="15" customHeight="1">
      <c r="B429" s="5" t="s">
        <v>33</v>
      </c>
      <c r="C429" s="5">
        <v>3300</v>
      </c>
      <c r="D429" s="5">
        <v>3300</v>
      </c>
      <c r="E429" s="5">
        <v>3300</v>
      </c>
      <c r="F429" s="5">
        <v>3300</v>
      </c>
    </row>
    <row r="430" spans="2:9" ht="15" customHeight="1">
      <c r="B430" s="5" t="s">
        <v>34</v>
      </c>
      <c r="C430" s="5">
        <v>3500</v>
      </c>
      <c r="D430" s="5">
        <v>3500</v>
      </c>
      <c r="E430" s="5">
        <v>3500</v>
      </c>
      <c r="F430" s="5">
        <v>3500</v>
      </c>
    </row>
    <row r="431" spans="2:9" ht="15" customHeight="1">
      <c r="B431" s="5" t="s">
        <v>35</v>
      </c>
      <c r="C431" s="5">
        <v>3514</v>
      </c>
      <c r="D431" s="5">
        <v>3514</v>
      </c>
      <c r="E431" s="5">
        <v>3514</v>
      </c>
      <c r="F431" s="5">
        <v>3514</v>
      </c>
    </row>
    <row r="432" spans="2:9" ht="15" customHeight="1">
      <c r="B432" s="5" t="s">
        <v>36</v>
      </c>
      <c r="C432" s="5">
        <v>2002</v>
      </c>
      <c r="D432" s="5">
        <v>2002</v>
      </c>
      <c r="E432" s="5">
        <v>2002</v>
      </c>
      <c r="F432" s="5">
        <v>2002</v>
      </c>
      <c r="H432" s="5"/>
      <c r="I432" s="5"/>
    </row>
    <row r="433" spans="2:9" ht="15" customHeight="1">
      <c r="B433" s="5" t="s">
        <v>37</v>
      </c>
      <c r="C433" s="5">
        <v>2079</v>
      </c>
      <c r="D433" s="5">
        <v>2079</v>
      </c>
      <c r="E433" s="5">
        <v>2079</v>
      </c>
      <c r="F433" s="5">
        <v>2079</v>
      </c>
      <c r="H433" s="5"/>
      <c r="I433" s="5"/>
    </row>
    <row r="434" spans="2:9" ht="15" customHeight="1">
      <c r="B434" s="5" t="s">
        <v>330</v>
      </c>
      <c r="C434" s="5">
        <v>3524</v>
      </c>
      <c r="D434" s="5">
        <v>3524</v>
      </c>
      <c r="E434" s="5">
        <v>3524</v>
      </c>
      <c r="F434" s="5">
        <v>3524</v>
      </c>
      <c r="H434" s="5"/>
      <c r="I434" s="5"/>
    </row>
    <row r="435" spans="2:9" ht="15" customHeight="1">
      <c r="B435" s="5" t="s">
        <v>38</v>
      </c>
      <c r="C435" s="5">
        <v>2003</v>
      </c>
      <c r="D435" s="5">
        <v>2003</v>
      </c>
      <c r="E435" s="5">
        <v>2003</v>
      </c>
      <c r="F435" s="5">
        <v>2003</v>
      </c>
      <c r="H435" s="5"/>
      <c r="I435" s="5"/>
    </row>
    <row r="436" spans="2:9" ht="15" customHeight="1">
      <c r="B436" s="5" t="s">
        <v>39</v>
      </c>
      <c r="C436" s="5">
        <v>3511</v>
      </c>
      <c r="D436" s="5">
        <v>3511</v>
      </c>
      <c r="E436" s="5">
        <v>3511</v>
      </c>
      <c r="F436" s="5">
        <v>3511</v>
      </c>
      <c r="H436" s="5"/>
      <c r="I436" s="5"/>
    </row>
    <row r="437" spans="2:9" ht="15" customHeight="1">
      <c r="B437" s="5" t="s">
        <v>41</v>
      </c>
      <c r="C437" s="5">
        <v>2008</v>
      </c>
      <c r="D437" s="5">
        <v>2008</v>
      </c>
      <c r="E437" s="5">
        <v>2008</v>
      </c>
      <c r="F437" s="5">
        <v>2008</v>
      </c>
      <c r="H437" s="5"/>
      <c r="I437" s="5"/>
    </row>
    <row r="438" spans="2:9" ht="15" customHeight="1">
      <c r="B438" s="5" t="s">
        <v>42</v>
      </c>
      <c r="C438" s="5">
        <v>2007</v>
      </c>
      <c r="D438" s="5">
        <v>2007</v>
      </c>
      <c r="E438" s="5">
        <v>2007</v>
      </c>
      <c r="F438" s="5">
        <v>2007</v>
      </c>
      <c r="H438" s="5"/>
      <c r="I438" s="5"/>
    </row>
    <row r="439" spans="2:9" ht="15" customHeight="1">
      <c r="B439" s="5" t="s">
        <v>43</v>
      </c>
      <c r="C439" s="5">
        <v>2009</v>
      </c>
      <c r="D439" s="5">
        <v>2009</v>
      </c>
      <c r="E439" s="5">
        <v>2009</v>
      </c>
      <c r="F439" s="5">
        <v>2009</v>
      </c>
      <c r="H439" s="5"/>
      <c r="I439" s="5"/>
    </row>
    <row r="440" spans="2:9" ht="15" customHeight="1">
      <c r="B440" s="5" t="s">
        <v>44</v>
      </c>
      <c r="C440" s="5">
        <v>2067</v>
      </c>
      <c r="D440" s="5">
        <v>2067</v>
      </c>
      <c r="E440" s="5">
        <v>2067</v>
      </c>
      <c r="F440" s="5">
        <v>2067</v>
      </c>
      <c r="H440" s="5"/>
      <c r="I440" s="5"/>
    </row>
    <row r="441" spans="2:9" ht="15" customHeight="1">
      <c r="B441" s="5" t="s">
        <v>46</v>
      </c>
      <c r="C441" s="5">
        <v>3302</v>
      </c>
      <c r="D441" s="5">
        <v>3302</v>
      </c>
      <c r="E441" s="5">
        <v>3302</v>
      </c>
      <c r="F441" s="5">
        <v>3302</v>
      </c>
      <c r="H441" s="5"/>
      <c r="I441" s="5"/>
    </row>
    <row r="442" spans="2:9" ht="15" customHeight="1">
      <c r="B442" s="5" t="s">
        <v>47</v>
      </c>
      <c r="C442" s="5">
        <v>2011</v>
      </c>
      <c r="D442" s="5">
        <v>2011</v>
      </c>
      <c r="E442" s="5">
        <v>2011</v>
      </c>
      <c r="F442" s="5">
        <v>2011</v>
      </c>
      <c r="H442" s="5"/>
      <c r="I442" s="5"/>
    </row>
    <row r="443" spans="2:9" ht="15" customHeight="1">
      <c r="B443" s="5" t="s">
        <v>49</v>
      </c>
      <c r="C443" s="5">
        <v>2014</v>
      </c>
      <c r="D443" s="5">
        <v>2014</v>
      </c>
      <c r="E443" s="5">
        <v>2014</v>
      </c>
      <c r="F443" s="5">
        <v>2014</v>
      </c>
      <c r="H443" s="5"/>
      <c r="I443" s="5"/>
    </row>
    <row r="444" spans="2:9" ht="15" customHeight="1">
      <c r="B444" s="5" t="s">
        <v>50</v>
      </c>
      <c r="C444" s="5">
        <v>2015</v>
      </c>
      <c r="D444" s="5">
        <v>2015</v>
      </c>
      <c r="E444" s="5">
        <v>2015</v>
      </c>
      <c r="F444" s="5">
        <v>2015</v>
      </c>
      <c r="H444" s="5"/>
      <c r="I444" s="5"/>
    </row>
    <row r="445" spans="2:9" ht="15" customHeight="1">
      <c r="B445" s="5" t="s">
        <v>52</v>
      </c>
      <c r="C445" s="5">
        <v>2016</v>
      </c>
      <c r="D445" s="5">
        <v>2016</v>
      </c>
      <c r="E445" s="5">
        <v>2016</v>
      </c>
      <c r="F445" s="5">
        <v>2016</v>
      </c>
      <c r="H445" s="5"/>
      <c r="I445" s="5"/>
    </row>
    <row r="446" spans="2:9" ht="15" customHeight="1">
      <c r="B446" s="5" t="s">
        <v>53</v>
      </c>
      <c r="C446" s="5">
        <v>2017</v>
      </c>
      <c r="D446" s="5">
        <v>2017</v>
      </c>
      <c r="E446" s="5">
        <v>2017</v>
      </c>
      <c r="F446" s="5">
        <v>2017</v>
      </c>
      <c r="H446" s="5"/>
      <c r="I446" s="5"/>
    </row>
    <row r="447" spans="2:9" ht="15" customHeight="1">
      <c r="B447" s="5" t="s">
        <v>54</v>
      </c>
      <c r="C447" s="5">
        <v>2073</v>
      </c>
      <c r="D447" s="5">
        <v>2073</v>
      </c>
      <c r="E447" s="5">
        <v>2073</v>
      </c>
      <c r="F447" s="5">
        <v>2073</v>
      </c>
      <c r="H447" s="5"/>
      <c r="I447" s="5"/>
    </row>
    <row r="448" spans="2:9" ht="15" customHeight="1">
      <c r="B448" s="5" t="s">
        <v>55</v>
      </c>
      <c r="C448" s="5">
        <v>2019</v>
      </c>
      <c r="D448" s="5">
        <v>2019</v>
      </c>
      <c r="E448" s="5">
        <v>2019</v>
      </c>
      <c r="F448" s="5">
        <v>2019</v>
      </c>
      <c r="H448" s="5"/>
      <c r="I448" s="5"/>
    </row>
    <row r="449" spans="2:6" ht="15" customHeight="1">
      <c r="B449" s="5" t="s">
        <v>474</v>
      </c>
      <c r="C449" s="5">
        <v>2021</v>
      </c>
      <c r="D449" s="5">
        <v>2021</v>
      </c>
      <c r="E449" s="5">
        <v>2021</v>
      </c>
      <c r="F449" s="5">
        <v>2021</v>
      </c>
    </row>
    <row r="450" spans="2:6" ht="15" customHeight="1">
      <c r="B450" s="5" t="s">
        <v>412</v>
      </c>
      <c r="C450" s="5">
        <v>2023</v>
      </c>
      <c r="D450" s="5">
        <v>2023</v>
      </c>
      <c r="E450" s="5">
        <v>2023</v>
      </c>
      <c r="F450" s="5">
        <v>2023</v>
      </c>
    </row>
    <row r="451" spans="2:6" ht="15" customHeight="1">
      <c r="B451" s="5" t="s">
        <v>61</v>
      </c>
      <c r="C451" s="5">
        <v>2024</v>
      </c>
      <c r="D451" s="5">
        <v>2024</v>
      </c>
      <c r="E451" s="5">
        <v>2024</v>
      </c>
      <c r="F451" s="5">
        <v>2024</v>
      </c>
    </row>
    <row r="452" spans="2:6" ht="15" customHeight="1">
      <c r="B452" s="5" t="s">
        <v>62</v>
      </c>
      <c r="C452" s="5">
        <v>2025</v>
      </c>
      <c r="D452" s="5">
        <v>2025</v>
      </c>
      <c r="E452" s="5">
        <v>2025</v>
      </c>
      <c r="F452" s="5">
        <v>2025</v>
      </c>
    </row>
    <row r="453" spans="2:6" ht="15" customHeight="1">
      <c r="B453" s="5" t="s">
        <v>63</v>
      </c>
      <c r="C453" s="5">
        <v>2026</v>
      </c>
      <c r="D453" s="5">
        <v>2026</v>
      </c>
      <c r="E453" s="5">
        <v>2026</v>
      </c>
      <c r="F453" s="5">
        <v>2026</v>
      </c>
    </row>
    <row r="454" spans="2:6" ht="15" customHeight="1">
      <c r="B454" s="5" t="s">
        <v>64</v>
      </c>
      <c r="C454" s="5">
        <v>2028</v>
      </c>
      <c r="D454" s="5">
        <v>2028</v>
      </c>
      <c r="E454" s="5">
        <v>2028</v>
      </c>
      <c r="F454" s="5">
        <v>2028</v>
      </c>
    </row>
    <row r="455" spans="2:6" ht="15" customHeight="1">
      <c r="B455" s="5" t="s">
        <v>65</v>
      </c>
      <c r="C455" s="5">
        <v>2027</v>
      </c>
      <c r="D455" s="5">
        <v>2027</v>
      </c>
      <c r="E455" s="5">
        <v>2027</v>
      </c>
      <c r="F455" s="5">
        <v>2027</v>
      </c>
    </row>
    <row r="456" spans="2:6" ht="15" customHeight="1">
      <c r="B456" s="5" t="s">
        <v>66</v>
      </c>
      <c r="C456" s="5">
        <v>2029</v>
      </c>
      <c r="D456" s="5">
        <v>2029</v>
      </c>
      <c r="E456" s="5">
        <v>2029</v>
      </c>
      <c r="F456" s="5">
        <v>2029</v>
      </c>
    </row>
    <row r="457" spans="2:6" ht="15" customHeight="1">
      <c r="B457" s="5" t="s">
        <v>68</v>
      </c>
      <c r="C457" s="5">
        <v>3516</v>
      </c>
      <c r="D457" s="5">
        <v>3516</v>
      </c>
      <c r="E457" s="5">
        <v>3516</v>
      </c>
      <c r="F457" s="5">
        <v>3516</v>
      </c>
    </row>
    <row r="458" spans="2:6" ht="15" customHeight="1">
      <c r="B458" s="5" t="s">
        <v>69</v>
      </c>
      <c r="C458" s="5">
        <v>2031</v>
      </c>
      <c r="D458" s="5">
        <v>2031</v>
      </c>
      <c r="E458" s="5">
        <v>2031</v>
      </c>
      <c r="F458" s="5">
        <v>2031</v>
      </c>
    </row>
    <row r="459" spans="2:6" ht="15" customHeight="1">
      <c r="B459" s="5" t="s">
        <v>70</v>
      </c>
      <c r="C459" s="5">
        <v>2032</v>
      </c>
      <c r="D459" s="5">
        <v>2032</v>
      </c>
      <c r="E459" s="5">
        <v>2032</v>
      </c>
      <c r="F459" s="5">
        <v>2032</v>
      </c>
    </row>
    <row r="460" spans="2:6" ht="15" customHeight="1">
      <c r="B460" s="5" t="s">
        <v>71</v>
      </c>
      <c r="C460" s="5">
        <v>3304</v>
      </c>
      <c r="D460" s="5">
        <v>3304</v>
      </c>
      <c r="E460" s="5">
        <v>3304</v>
      </c>
      <c r="F460" s="5">
        <v>3304</v>
      </c>
    </row>
    <row r="461" spans="2:6" ht="15" customHeight="1">
      <c r="B461" s="5" t="s">
        <v>72</v>
      </c>
      <c r="C461" s="5">
        <v>2036</v>
      </c>
      <c r="D461" s="5">
        <v>2036</v>
      </c>
      <c r="E461" s="5">
        <v>2036</v>
      </c>
      <c r="F461" s="5">
        <v>2036</v>
      </c>
    </row>
    <row r="462" spans="2:6" ht="15" customHeight="1">
      <c r="B462" s="5" t="s">
        <v>73</v>
      </c>
      <c r="C462" s="5">
        <v>2037</v>
      </c>
      <c r="D462" s="5">
        <v>2037</v>
      </c>
      <c r="E462" s="5">
        <v>2037</v>
      </c>
      <c r="F462" s="5">
        <v>2037</v>
      </c>
    </row>
    <row r="463" spans="2:6" ht="15" customHeight="1">
      <c r="B463" s="5" t="s">
        <v>74</v>
      </c>
      <c r="C463" s="5">
        <v>3523</v>
      </c>
      <c r="D463" s="5">
        <v>3523</v>
      </c>
      <c r="E463" s="5">
        <v>3523</v>
      </c>
      <c r="F463" s="5">
        <v>3523</v>
      </c>
    </row>
    <row r="464" spans="2:6" ht="15" customHeight="1">
      <c r="B464" s="5" t="s">
        <v>75</v>
      </c>
      <c r="C464" s="5">
        <v>5948</v>
      </c>
      <c r="D464" s="5">
        <v>5948</v>
      </c>
      <c r="E464" s="5">
        <v>5948</v>
      </c>
      <c r="F464" s="5">
        <v>5948</v>
      </c>
    </row>
    <row r="465" spans="2:6" ht="15" customHeight="1">
      <c r="B465" s="5" t="s">
        <v>76</v>
      </c>
      <c r="C465" s="5">
        <v>5949</v>
      </c>
      <c r="D465" s="5">
        <v>5949</v>
      </c>
      <c r="E465" s="5">
        <v>5949</v>
      </c>
      <c r="F465" s="5">
        <v>5949</v>
      </c>
    </row>
    <row r="466" spans="2:6" ht="15" customHeight="1">
      <c r="B466" s="5" t="s">
        <v>77</v>
      </c>
      <c r="C466" s="5">
        <v>3513</v>
      </c>
      <c r="D466" s="5">
        <v>3513</v>
      </c>
      <c r="E466" s="5">
        <v>3513</v>
      </c>
      <c r="F466" s="5">
        <v>3513</v>
      </c>
    </row>
    <row r="467" spans="2:6" ht="15" customHeight="1">
      <c r="B467" s="5" t="s">
        <v>78</v>
      </c>
      <c r="C467" s="5">
        <v>3305</v>
      </c>
      <c r="D467" s="5">
        <v>3305</v>
      </c>
      <c r="E467" s="5">
        <v>3305</v>
      </c>
      <c r="F467" s="5">
        <v>3305</v>
      </c>
    </row>
    <row r="468" spans="2:6" ht="15" customHeight="1">
      <c r="B468" s="5" t="s">
        <v>79</v>
      </c>
      <c r="C468" s="5">
        <v>2042</v>
      </c>
      <c r="D468" s="5">
        <v>2042</v>
      </c>
      <c r="E468" s="5">
        <v>2042</v>
      </c>
      <c r="F468" s="5">
        <v>2042</v>
      </c>
    </row>
    <row r="469" spans="2:6" ht="15" customHeight="1">
      <c r="B469" s="5" t="s">
        <v>80</v>
      </c>
      <c r="C469" s="5">
        <v>2044</v>
      </c>
      <c r="D469" s="5">
        <v>2044</v>
      </c>
      <c r="E469" s="5">
        <v>2044</v>
      </c>
      <c r="F469" s="5">
        <v>2044</v>
      </c>
    </row>
    <row r="470" spans="2:6" ht="15" customHeight="1">
      <c r="B470" s="5" t="s">
        <v>81</v>
      </c>
      <c r="C470" s="5">
        <v>2043</v>
      </c>
      <c r="D470" s="5">
        <v>2043</v>
      </c>
      <c r="E470" s="5">
        <v>2043</v>
      </c>
      <c r="F470" s="5">
        <v>2043</v>
      </c>
    </row>
    <row r="471" spans="2:6" ht="15" customHeight="1">
      <c r="B471" s="5" t="s">
        <v>82</v>
      </c>
      <c r="C471" s="5">
        <v>2045</v>
      </c>
      <c r="D471" s="5">
        <v>2045</v>
      </c>
      <c r="E471" s="5">
        <v>2045</v>
      </c>
      <c r="F471" s="5">
        <v>2045</v>
      </c>
    </row>
    <row r="472" spans="2:6" ht="15" customHeight="1">
      <c r="B472" s="5" t="s">
        <v>83</v>
      </c>
      <c r="C472" s="5">
        <v>2077</v>
      </c>
      <c r="D472" s="5">
        <v>2077</v>
      </c>
      <c r="E472" s="5">
        <v>2077</v>
      </c>
      <c r="F472" s="5">
        <v>2077</v>
      </c>
    </row>
    <row r="473" spans="2:6" ht="15" customHeight="1">
      <c r="B473" s="5" t="s">
        <v>84</v>
      </c>
      <c r="C473" s="5">
        <v>5201</v>
      </c>
      <c r="D473" s="5">
        <v>5201</v>
      </c>
      <c r="E473" s="5">
        <v>5201</v>
      </c>
      <c r="F473" s="5">
        <v>5201</v>
      </c>
    </row>
    <row r="474" spans="2:6" ht="15" customHeight="1">
      <c r="B474" s="5" t="s">
        <v>85</v>
      </c>
      <c r="C474" s="5">
        <v>3501</v>
      </c>
      <c r="D474" s="5">
        <v>3501</v>
      </c>
      <c r="E474" s="5">
        <v>3501</v>
      </c>
      <c r="F474" s="5">
        <v>3501</v>
      </c>
    </row>
    <row r="475" spans="2:6" ht="15" customHeight="1">
      <c r="B475" s="5" t="s">
        <v>86</v>
      </c>
      <c r="C475" s="5">
        <v>2078</v>
      </c>
      <c r="D475" s="5">
        <v>2078</v>
      </c>
      <c r="E475" s="5">
        <v>2078</v>
      </c>
      <c r="F475" s="5">
        <v>2078</v>
      </c>
    </row>
    <row r="476" spans="2:6" ht="15" customHeight="1">
      <c r="B476" s="5" t="s">
        <v>635</v>
      </c>
      <c r="C476" s="5">
        <v>2072</v>
      </c>
      <c r="D476" s="5">
        <v>2072</v>
      </c>
      <c r="E476" s="5">
        <v>2072</v>
      </c>
      <c r="F476" s="5">
        <v>2072</v>
      </c>
    </row>
    <row r="477" spans="2:6" ht="15" customHeight="1">
      <c r="B477" s="5" t="s">
        <v>89</v>
      </c>
      <c r="C477" s="5">
        <v>3512</v>
      </c>
      <c r="D477" s="5">
        <v>3512</v>
      </c>
      <c r="E477" s="5">
        <v>3512</v>
      </c>
      <c r="F477" s="5">
        <v>3512</v>
      </c>
    </row>
    <row r="478" spans="2:6" ht="15" customHeight="1">
      <c r="B478" s="5" t="s">
        <v>90</v>
      </c>
      <c r="C478" s="5">
        <v>3510</v>
      </c>
      <c r="D478" s="5">
        <v>3510</v>
      </c>
      <c r="E478" s="5">
        <v>3510</v>
      </c>
      <c r="F478" s="5">
        <v>3510</v>
      </c>
    </row>
    <row r="479" spans="2:6" ht="15" customHeight="1">
      <c r="B479" s="5" t="s">
        <v>519</v>
      </c>
      <c r="C479" s="5">
        <v>2053</v>
      </c>
      <c r="D479" s="5">
        <v>2053</v>
      </c>
      <c r="E479" s="5">
        <v>2053</v>
      </c>
      <c r="F479" s="5">
        <v>2053</v>
      </c>
    </row>
    <row r="480" spans="2:6" ht="15" customHeight="1">
      <c r="B480" s="5" t="s">
        <v>91</v>
      </c>
      <c r="C480" s="5">
        <v>3502</v>
      </c>
      <c r="D480" s="5">
        <v>3502</v>
      </c>
      <c r="E480" s="5">
        <v>3502</v>
      </c>
      <c r="F480" s="5">
        <v>3502</v>
      </c>
    </row>
    <row r="481" spans="2:6" ht="15" customHeight="1">
      <c r="B481" s="5" t="s">
        <v>92</v>
      </c>
      <c r="C481" s="5">
        <v>3315</v>
      </c>
      <c r="D481" s="5">
        <v>3315</v>
      </c>
      <c r="E481" s="5">
        <v>3315</v>
      </c>
      <c r="F481" s="5">
        <v>3315</v>
      </c>
    </row>
    <row r="482" spans="2:6" ht="15" customHeight="1">
      <c r="B482" s="5" t="s">
        <v>93</v>
      </c>
      <c r="C482" s="5">
        <v>3504</v>
      </c>
      <c r="D482" s="5">
        <v>3504</v>
      </c>
      <c r="E482" s="5">
        <v>3504</v>
      </c>
      <c r="F482" s="5">
        <v>3504</v>
      </c>
    </row>
    <row r="483" spans="2:6" ht="15" customHeight="1">
      <c r="B483" s="5" t="s">
        <v>94</v>
      </c>
      <c r="C483" s="5">
        <v>3307</v>
      </c>
      <c r="D483" s="5">
        <v>3307</v>
      </c>
      <c r="E483" s="5">
        <v>3307</v>
      </c>
      <c r="F483" s="5">
        <v>3307</v>
      </c>
    </row>
    <row r="484" spans="2:6" ht="15" customHeight="1">
      <c r="B484" s="5" t="s">
        <v>95</v>
      </c>
      <c r="C484" s="5">
        <v>3309</v>
      </c>
      <c r="D484" s="5">
        <v>3309</v>
      </c>
      <c r="E484" s="5">
        <v>3309</v>
      </c>
      <c r="F484" s="5">
        <v>3309</v>
      </c>
    </row>
    <row r="485" spans="2:6" ht="15" customHeight="1">
      <c r="B485" s="5" t="s">
        <v>508</v>
      </c>
      <c r="C485" s="5">
        <v>3509</v>
      </c>
      <c r="D485" s="5">
        <v>3509</v>
      </c>
      <c r="E485" s="5">
        <v>3509</v>
      </c>
      <c r="F485" s="5">
        <v>3509</v>
      </c>
    </row>
    <row r="486" spans="2:6" ht="15" customHeight="1">
      <c r="B486" s="5" t="s">
        <v>98</v>
      </c>
      <c r="C486" s="5">
        <v>3312</v>
      </c>
      <c r="D486" s="5">
        <v>3312</v>
      </c>
      <c r="E486" s="5">
        <v>3312</v>
      </c>
      <c r="F486" s="5">
        <v>3312</v>
      </c>
    </row>
    <row r="487" spans="2:6" ht="15" customHeight="1">
      <c r="B487" s="5" t="s">
        <v>99</v>
      </c>
      <c r="C487" s="5">
        <v>3311</v>
      </c>
      <c r="D487" s="5">
        <v>3311</v>
      </c>
      <c r="E487" s="5">
        <v>3311</v>
      </c>
      <c r="F487" s="5">
        <v>3311</v>
      </c>
    </row>
    <row r="488" spans="2:6" ht="15" customHeight="1">
      <c r="B488" s="5" t="s">
        <v>100</v>
      </c>
      <c r="C488" s="5">
        <v>3313</v>
      </c>
      <c r="D488" s="5">
        <v>3313</v>
      </c>
      <c r="E488" s="5">
        <v>3313</v>
      </c>
      <c r="F488" s="5">
        <v>3313</v>
      </c>
    </row>
    <row r="489" spans="2:6" ht="15" customHeight="1">
      <c r="B489" s="5" t="s">
        <v>101</v>
      </c>
      <c r="C489" s="5">
        <v>3314</v>
      </c>
      <c r="D489" s="5">
        <v>3314</v>
      </c>
      <c r="E489" s="5">
        <v>3314</v>
      </c>
      <c r="F489" s="5">
        <v>3314</v>
      </c>
    </row>
    <row r="490" spans="2:6" ht="15" customHeight="1">
      <c r="B490" s="5" t="s">
        <v>102</v>
      </c>
      <c r="C490" s="5">
        <v>3507</v>
      </c>
      <c r="D490" s="5">
        <v>3507</v>
      </c>
      <c r="E490" s="5">
        <v>3507</v>
      </c>
      <c r="F490" s="5">
        <v>3507</v>
      </c>
    </row>
    <row r="491" spans="2:6" ht="15" customHeight="1">
      <c r="B491" s="5" t="s">
        <v>103</v>
      </c>
      <c r="C491" s="5">
        <v>3506</v>
      </c>
      <c r="D491" s="5">
        <v>3506</v>
      </c>
      <c r="E491" s="5">
        <v>3506</v>
      </c>
      <c r="F491" s="5">
        <v>3506</v>
      </c>
    </row>
    <row r="492" spans="2:6" ht="15" customHeight="1">
      <c r="B492" s="5" t="s">
        <v>105</v>
      </c>
      <c r="C492" s="5">
        <v>2070</v>
      </c>
      <c r="D492" s="5">
        <v>2070</v>
      </c>
      <c r="E492" s="5">
        <v>2070</v>
      </c>
      <c r="F492" s="5">
        <v>2070</v>
      </c>
    </row>
    <row r="493" spans="2:6" ht="15" customHeight="1">
      <c r="B493" s="5" t="s">
        <v>106</v>
      </c>
      <c r="C493" s="5">
        <v>3316</v>
      </c>
      <c r="D493" s="5">
        <v>3316</v>
      </c>
      <c r="E493" s="5">
        <v>3316</v>
      </c>
      <c r="F493" s="5">
        <v>3316</v>
      </c>
    </row>
    <row r="494" spans="2:6" ht="15" customHeight="1">
      <c r="B494" s="5" t="s">
        <v>107</v>
      </c>
      <c r="C494" s="5">
        <v>2055</v>
      </c>
      <c r="D494" s="5">
        <v>2055</v>
      </c>
      <c r="E494" s="5">
        <v>2055</v>
      </c>
      <c r="F494" s="5">
        <v>2055</v>
      </c>
    </row>
    <row r="495" spans="2:6" ht="15" customHeight="1">
      <c r="B495" s="5" t="s">
        <v>433</v>
      </c>
      <c r="C495" s="5">
        <v>2057</v>
      </c>
      <c r="D495" s="5">
        <v>2057</v>
      </c>
      <c r="E495" s="5">
        <v>2057</v>
      </c>
      <c r="F495" s="5">
        <v>2057</v>
      </c>
    </row>
    <row r="496" spans="2:6" ht="15" customHeight="1">
      <c r="B496" s="5" t="s">
        <v>110</v>
      </c>
      <c r="C496" s="5">
        <v>2076</v>
      </c>
      <c r="D496" s="5">
        <v>2076</v>
      </c>
      <c r="E496" s="5">
        <v>2076</v>
      </c>
      <c r="F496" s="5">
        <v>2076</v>
      </c>
    </row>
    <row r="497" spans="2:6" ht="15" customHeight="1">
      <c r="B497" s="5" t="s">
        <v>111</v>
      </c>
      <c r="C497" s="5">
        <v>2060</v>
      </c>
      <c r="D497" s="5">
        <v>2060</v>
      </c>
      <c r="E497" s="5">
        <v>2060</v>
      </c>
      <c r="F497" s="5">
        <v>2060</v>
      </c>
    </row>
    <row r="498" spans="2:6" ht="15" customHeight="1">
      <c r="B498" s="5" t="s">
        <v>112</v>
      </c>
      <c r="C498" s="5">
        <v>3518</v>
      </c>
      <c r="D498" s="5">
        <v>3518</v>
      </c>
      <c r="E498" s="5">
        <v>3518</v>
      </c>
      <c r="F498" s="5">
        <v>3518</v>
      </c>
    </row>
    <row r="499" spans="2:6" ht="15" customHeight="1">
      <c r="B499" s="5" t="s">
        <v>113</v>
      </c>
      <c r="C499" s="5">
        <v>2054</v>
      </c>
      <c r="D499" s="5">
        <v>2054</v>
      </c>
      <c r="E499" s="5">
        <v>2054</v>
      </c>
      <c r="F499" s="5">
        <v>2054</v>
      </c>
    </row>
    <row r="500" spans="2:6" ht="15" customHeight="1">
      <c r="B500" s="5"/>
      <c r="C500" s="5"/>
      <c r="D500" s="5"/>
      <c r="E500" s="5"/>
      <c r="F500" s="5"/>
    </row>
    <row r="501" spans="2:6" ht="15" customHeight="1">
      <c r="B501" s="5" t="s">
        <v>509</v>
      </c>
      <c r="C501" s="5">
        <v>3521</v>
      </c>
      <c r="D501" s="5">
        <v>3521</v>
      </c>
      <c r="E501" s="5">
        <v>3521</v>
      </c>
      <c r="F501" s="5">
        <v>3521</v>
      </c>
    </row>
    <row r="502" spans="2:6" ht="15" customHeight="1">
      <c r="B502" s="5"/>
      <c r="C502" s="5"/>
      <c r="D502" s="5"/>
      <c r="E502" s="5"/>
      <c r="F502" s="5"/>
    </row>
    <row r="503" spans="2:6" ht="15" customHeight="1">
      <c r="B503" s="5" t="s">
        <v>115</v>
      </c>
      <c r="C503" s="5">
        <v>5405</v>
      </c>
      <c r="D503" s="5">
        <v>5405</v>
      </c>
      <c r="E503" s="5">
        <v>5405</v>
      </c>
      <c r="F503" s="5">
        <v>5405</v>
      </c>
    </row>
    <row r="504" spans="2:6" ht="15" customHeight="1">
      <c r="B504" s="5" t="s">
        <v>116</v>
      </c>
      <c r="C504" s="5">
        <v>4003</v>
      </c>
      <c r="D504" s="5">
        <v>4003</v>
      </c>
      <c r="E504" s="5">
        <v>4003</v>
      </c>
      <c r="F504" s="5">
        <v>4003</v>
      </c>
    </row>
    <row r="505" spans="2:6" ht="15" customHeight="1">
      <c r="B505" s="5" t="s">
        <v>432</v>
      </c>
      <c r="C505" s="5">
        <v>4004</v>
      </c>
      <c r="D505" s="5">
        <v>4004</v>
      </c>
      <c r="E505" s="5">
        <v>4004</v>
      </c>
      <c r="F505" s="5">
        <v>4004</v>
      </c>
    </row>
    <row r="506" spans="2:6" ht="15" customHeight="1">
      <c r="B506" s="12" t="s">
        <v>315</v>
      </c>
      <c r="C506" s="5">
        <v>5427</v>
      </c>
      <c r="D506" s="5">
        <v>5427</v>
      </c>
      <c r="E506" s="5">
        <v>5427</v>
      </c>
      <c r="F506" s="5">
        <v>5427</v>
      </c>
    </row>
    <row r="507" spans="2:6" ht="15" customHeight="1">
      <c r="B507" s="5" t="s">
        <v>401</v>
      </c>
      <c r="C507" s="5">
        <v>5407</v>
      </c>
      <c r="D507" s="5">
        <v>5407</v>
      </c>
      <c r="E507" s="5">
        <v>5407</v>
      </c>
      <c r="F507" s="5">
        <v>5407</v>
      </c>
    </row>
    <row r="508" spans="2:6" ht="15" customHeight="1">
      <c r="B508" s="5" t="s">
        <v>122</v>
      </c>
      <c r="C508" s="5">
        <v>5404</v>
      </c>
      <c r="D508" s="5">
        <v>5404</v>
      </c>
      <c r="E508" s="5">
        <v>5404</v>
      </c>
      <c r="F508" s="5">
        <v>5404</v>
      </c>
    </row>
    <row r="509" spans="2:6" ht="15" customHeight="1">
      <c r="B509" s="5"/>
      <c r="C509" s="5"/>
      <c r="D509" s="5"/>
      <c r="E509" s="5"/>
      <c r="F509" s="5"/>
    </row>
    <row r="510" spans="2:6" ht="12.75" customHeight="1">
      <c r="B510" s="5" t="s">
        <v>124</v>
      </c>
      <c r="C510" s="5">
        <v>7010</v>
      </c>
      <c r="D510" s="5">
        <v>7010</v>
      </c>
      <c r="E510" s="5">
        <v>7010</v>
      </c>
      <c r="F510" s="5">
        <v>7010</v>
      </c>
    </row>
    <row r="511" spans="2:6" ht="15" customHeight="1">
      <c r="B511" s="5" t="s">
        <v>125</v>
      </c>
      <c r="C511" s="5">
        <v>7005</v>
      </c>
      <c r="D511" s="5">
        <v>7005</v>
      </c>
      <c r="E511" s="5">
        <v>7005</v>
      </c>
      <c r="F511" s="5">
        <v>7005</v>
      </c>
    </row>
    <row r="512" spans="2:6" ht="15" customHeight="1">
      <c r="B512" s="5" t="s">
        <v>127</v>
      </c>
      <c r="C512" s="5">
        <v>7009</v>
      </c>
      <c r="D512" s="5">
        <v>7009</v>
      </c>
      <c r="E512" s="5">
        <v>7009</v>
      </c>
      <c r="F512" s="5">
        <v>7009</v>
      </c>
    </row>
    <row r="513" spans="2:6" ht="15" customHeight="1"/>
    <row r="514" spans="2:6" ht="15" customHeight="1">
      <c r="B514" s="5" t="s">
        <v>329</v>
      </c>
      <c r="C514" s="5">
        <v>1102</v>
      </c>
      <c r="D514" s="5">
        <v>1102</v>
      </c>
      <c r="E514" s="5">
        <v>1102</v>
      </c>
      <c r="F514" s="5">
        <v>1102</v>
      </c>
    </row>
    <row r="515" spans="2:6" ht="15" customHeight="1">
      <c r="B515" s="5" t="s">
        <v>327</v>
      </c>
      <c r="C515" s="5">
        <v>1100</v>
      </c>
      <c r="D515" s="5">
        <v>1100</v>
      </c>
      <c r="E515" s="5">
        <v>1100</v>
      </c>
      <c r="F515" s="5">
        <v>1100</v>
      </c>
    </row>
    <row r="516" spans="2:6" ht="15" customHeight="1"/>
    <row r="517" spans="2:6" ht="15" customHeight="1"/>
    <row r="518" spans="2:6" ht="15" customHeight="1"/>
    <row r="519" spans="2:6" ht="15" customHeight="1">
      <c r="B519" s="5"/>
      <c r="C519" s="5"/>
      <c r="D519" s="5"/>
      <c r="E519" s="5"/>
      <c r="F519" s="5"/>
    </row>
    <row r="520" spans="2:6" ht="15" customHeight="1">
      <c r="B520" s="5"/>
      <c r="C520" s="5"/>
      <c r="D520" s="5"/>
      <c r="E520" s="5"/>
      <c r="F520" s="5"/>
    </row>
    <row r="521" spans="2:6" ht="15" customHeight="1">
      <c r="B521" s="5"/>
      <c r="C521" s="5"/>
      <c r="D521" s="5"/>
      <c r="E521" s="5"/>
      <c r="F521" s="5"/>
    </row>
    <row r="522" spans="2:6" ht="15" customHeight="1">
      <c r="B522" s="5"/>
      <c r="C522" s="5"/>
      <c r="D522" s="5"/>
      <c r="E522" s="5"/>
      <c r="F522" s="5"/>
    </row>
    <row r="523" spans="2:6" ht="15" customHeight="1">
      <c r="B523" s="5"/>
      <c r="C523" s="5"/>
      <c r="D523" s="5"/>
      <c r="E523" s="5"/>
      <c r="F523" s="5"/>
    </row>
    <row r="524" spans="2:6" ht="15" customHeight="1"/>
    <row r="525" spans="2:6" ht="12.75" customHeight="1"/>
    <row r="526" spans="2:6" ht="15" customHeight="1"/>
    <row r="527" spans="2:6" ht="12.75" customHeight="1"/>
    <row r="528" spans="2:6" ht="12.75" customHeight="1"/>
    <row r="529" ht="12.75" customHeight="1"/>
  </sheetData>
  <sheetProtection algorithmName="SHA-512" hashValue="+swQfwnA7npJuDp3mZXGeYgGxVZpkAtK9TwAgnJsJ2D2y8bf3f7/j6H7cF8JEZhTBfNTVwiSUwDZPuU9DYx/Tg==" saltValue="s5BfQLldwpE7237flgENEw==" spinCount="100000" sheet="1" formatCells="0" formatColumns="0" insertColumns="0"/>
  <mergeCells count="2">
    <mergeCell ref="A3:B3"/>
    <mergeCell ref="G6:L6"/>
  </mergeCells>
  <phoneticPr fontId="6" type="noConversion"/>
  <conditionalFormatting sqref="G9">
    <cfRule type="expression" dxfId="62" priority="56" stopIfTrue="1">
      <formula>$AH$1="N"</formula>
    </cfRule>
  </conditionalFormatting>
  <conditionalFormatting sqref="G10 G12:G13 G15:G16 G18:G19 G21:G22 G24:G25 G27:G28 G30:G31 G33:G34 G62:G64 G66:G67 G69:G77 G79:G81 G92:G94">
    <cfRule type="expression" dxfId="61" priority="71" stopIfTrue="1">
      <formula>$AE$1="N"</formula>
    </cfRule>
  </conditionalFormatting>
  <conditionalFormatting sqref="G37:G40">
    <cfRule type="expression" dxfId="60" priority="52" stopIfTrue="1">
      <formula>$AE$1="N"</formula>
    </cfRule>
  </conditionalFormatting>
  <conditionalFormatting sqref="G42:G45">
    <cfRule type="expression" dxfId="59" priority="47" stopIfTrue="1">
      <formula>$AE$1="N"</formula>
    </cfRule>
  </conditionalFormatting>
  <conditionalFormatting sqref="G47:G50">
    <cfRule type="expression" dxfId="58" priority="42" stopIfTrue="1">
      <formula>$AE$1="N"</formula>
    </cfRule>
  </conditionalFormatting>
  <conditionalFormatting sqref="G52:G55">
    <cfRule type="expression" dxfId="57" priority="37" stopIfTrue="1">
      <formula>$AE$1="N"</formula>
    </cfRule>
  </conditionalFormatting>
  <conditionalFormatting sqref="G57:G60">
    <cfRule type="expression" dxfId="56" priority="32" stopIfTrue="1">
      <formula>$AE$1="N"</formula>
    </cfRule>
  </conditionalFormatting>
  <conditionalFormatting sqref="G83:G86">
    <cfRule type="expression" dxfId="55" priority="27" stopIfTrue="1">
      <formula>$AE$1="N"</formula>
    </cfRule>
  </conditionalFormatting>
  <conditionalFormatting sqref="G88:G90">
    <cfRule type="expression" dxfId="54" priority="58" stopIfTrue="1">
      <formula>$AE$1="N"</formula>
    </cfRule>
  </conditionalFormatting>
  <conditionalFormatting sqref="G96">
    <cfRule type="expression" dxfId="53" priority="25" stopIfTrue="1">
      <formula>$AE$1="N"</formula>
    </cfRule>
  </conditionalFormatting>
  <conditionalFormatting sqref="H9:H10 H12:H13 H15:H16 H18:H19 H21:H22 H24:H25 H27:H28 H30:H31 H33:H34 H62:H64 H66:H67 H69:H77 H79:H81 H92:H94">
    <cfRule type="expression" dxfId="52" priority="72" stopIfTrue="1">
      <formula>$AE$1="P"</formula>
    </cfRule>
  </conditionalFormatting>
  <conditionalFormatting sqref="H37:H40">
    <cfRule type="expression" dxfId="51" priority="53" stopIfTrue="1">
      <formula>$AE$1="P"</formula>
    </cfRule>
  </conditionalFormatting>
  <conditionalFormatting sqref="H42:H45">
    <cfRule type="expression" dxfId="50" priority="48" stopIfTrue="1">
      <formula>$AE$1="P"</formula>
    </cfRule>
  </conditionalFormatting>
  <conditionalFormatting sqref="H47:H50">
    <cfRule type="expression" dxfId="49" priority="43" stopIfTrue="1">
      <formula>$AE$1="P"</formula>
    </cfRule>
  </conditionalFormatting>
  <conditionalFormatting sqref="H52:H55">
    <cfRule type="expression" dxfId="48" priority="38" stopIfTrue="1">
      <formula>$AE$1="P"</formula>
    </cfRule>
  </conditionalFormatting>
  <conditionalFormatting sqref="H57:H60">
    <cfRule type="expression" dxfId="47" priority="33" stopIfTrue="1">
      <formula>$AE$1="P"</formula>
    </cfRule>
  </conditionalFormatting>
  <conditionalFormatting sqref="H83:H86">
    <cfRule type="expression" dxfId="46" priority="28" stopIfTrue="1">
      <formula>$AE$1="P"</formula>
    </cfRule>
  </conditionalFormatting>
  <conditionalFormatting sqref="H88:H90">
    <cfRule type="expression" dxfId="45" priority="59" stopIfTrue="1">
      <formula>$AE$1="P"</formula>
    </cfRule>
  </conditionalFormatting>
  <conditionalFormatting sqref="H96">
    <cfRule type="expression" dxfId="44" priority="22" stopIfTrue="1">
      <formula>$AE$1="P"</formula>
    </cfRule>
  </conditionalFormatting>
  <conditionalFormatting sqref="I69:I77">
    <cfRule type="expression" dxfId="43" priority="73" stopIfTrue="1">
      <formula>$AE$1="S"</formula>
    </cfRule>
  </conditionalFormatting>
  <conditionalFormatting sqref="I9:J10">
    <cfRule type="expression" dxfId="42" priority="18" stopIfTrue="1">
      <formula>$AE$1="S"</formula>
    </cfRule>
  </conditionalFormatting>
  <conditionalFormatting sqref="I12:J13">
    <cfRule type="expression" dxfId="41" priority="17" stopIfTrue="1">
      <formula>$AE$1="S"</formula>
    </cfRule>
  </conditionalFormatting>
  <conditionalFormatting sqref="I15:J16">
    <cfRule type="expression" dxfId="40" priority="16" stopIfTrue="1">
      <formula>$AE$1="S"</formula>
    </cfRule>
  </conditionalFormatting>
  <conditionalFormatting sqref="I18:J19">
    <cfRule type="expression" dxfId="39" priority="15" stopIfTrue="1">
      <formula>$AE$1="S"</formula>
    </cfRule>
  </conditionalFormatting>
  <conditionalFormatting sqref="I21:J22">
    <cfRule type="expression" dxfId="38" priority="14" stopIfTrue="1">
      <formula>$AE$1="S"</formula>
    </cfRule>
  </conditionalFormatting>
  <conditionalFormatting sqref="I24:J25">
    <cfRule type="expression" dxfId="37" priority="13" stopIfTrue="1">
      <formula>$AE$1="S"</formula>
    </cfRule>
  </conditionalFormatting>
  <conditionalFormatting sqref="I27:J28">
    <cfRule type="expression" dxfId="36" priority="12" stopIfTrue="1">
      <formula>$AE$1="S"</formula>
    </cfRule>
  </conditionalFormatting>
  <conditionalFormatting sqref="I30:J31">
    <cfRule type="expression" dxfId="35" priority="11" stopIfTrue="1">
      <formula>$AE$1="S"</formula>
    </cfRule>
  </conditionalFormatting>
  <conditionalFormatting sqref="I33:J34">
    <cfRule type="expression" dxfId="34" priority="10" stopIfTrue="1">
      <formula>$AE$1="S"</formula>
    </cfRule>
  </conditionalFormatting>
  <conditionalFormatting sqref="I37:J40">
    <cfRule type="expression" dxfId="33" priority="54" stopIfTrue="1">
      <formula>$AE$1="S"</formula>
    </cfRule>
  </conditionalFormatting>
  <conditionalFormatting sqref="I42:J45">
    <cfRule type="expression" dxfId="32" priority="49" stopIfTrue="1">
      <formula>$AE$1="S"</formula>
    </cfRule>
  </conditionalFormatting>
  <conditionalFormatting sqref="I47:J50">
    <cfRule type="expression" dxfId="31" priority="44" stopIfTrue="1">
      <formula>$AE$1="S"</formula>
    </cfRule>
  </conditionalFormatting>
  <conditionalFormatting sqref="I52:J55">
    <cfRule type="expression" dxfId="30" priority="39" stopIfTrue="1">
      <formula>$AE$1="S"</formula>
    </cfRule>
  </conditionalFormatting>
  <conditionalFormatting sqref="I57:J60">
    <cfRule type="expression" dxfId="29" priority="34" stopIfTrue="1">
      <formula>$AE$1="S"</formula>
    </cfRule>
  </conditionalFormatting>
  <conditionalFormatting sqref="I62:J64">
    <cfRule type="expression" dxfId="28" priority="8" stopIfTrue="1">
      <formula>$AE$1="S"</formula>
    </cfRule>
  </conditionalFormatting>
  <conditionalFormatting sqref="I66:J67">
    <cfRule type="expression" dxfId="27" priority="7" stopIfTrue="1">
      <formula>$AE$1="S"</formula>
    </cfRule>
  </conditionalFormatting>
  <conditionalFormatting sqref="I79:J81">
    <cfRule type="expression" dxfId="26" priority="3" stopIfTrue="1">
      <formula>$AE$1="S"</formula>
    </cfRule>
  </conditionalFormatting>
  <conditionalFormatting sqref="I83:J86">
    <cfRule type="expression" dxfId="25" priority="29" stopIfTrue="1">
      <formula>$AE$1="S"</formula>
    </cfRule>
  </conditionalFormatting>
  <conditionalFormatting sqref="I88:J90">
    <cfRule type="expression" dxfId="24" priority="2" stopIfTrue="1">
      <formula>$AE$1="S"</formula>
    </cfRule>
  </conditionalFormatting>
  <conditionalFormatting sqref="I92:J94">
    <cfRule type="expression" dxfId="23" priority="1" stopIfTrue="1">
      <formula>$AE$1="S"</formula>
    </cfRule>
  </conditionalFormatting>
  <conditionalFormatting sqref="I96:J96">
    <cfRule type="expression" dxfId="22" priority="23" stopIfTrue="1">
      <formula>$AE$1="S"</formula>
    </cfRule>
  </conditionalFormatting>
  <conditionalFormatting sqref="J69:J71">
    <cfRule type="expression" dxfId="21" priority="6" stopIfTrue="1">
      <formula>$AE$1="S"</formula>
    </cfRule>
  </conditionalFormatting>
  <conditionalFormatting sqref="J73:J74">
    <cfRule type="expression" dxfId="20" priority="5" stopIfTrue="1">
      <formula>$AE$1="S"</formula>
    </cfRule>
  </conditionalFormatting>
  <conditionalFormatting sqref="J76:J77">
    <cfRule type="expression" dxfId="19" priority="4" stopIfTrue="1">
      <formula>$AE$1="S"</formula>
    </cfRule>
  </conditionalFormatting>
  <conditionalFormatting sqref="K9:K10 K12:K13 K15:K16 K18:K19 K21:K22 K24:K25 K27:K28 K30:K31 K33:K34 K62:K64 K66:K67 K69:K71 J72:K72 K73:K74 J75:K75 K76:K77 K79:K81 K92:K94">
    <cfRule type="expression" dxfId="18" priority="74" stopIfTrue="1">
      <formula>$AE$1="C"</formula>
    </cfRule>
  </conditionalFormatting>
  <conditionalFormatting sqref="K37:K39">
    <cfRule type="expression" dxfId="17" priority="55" stopIfTrue="1">
      <formula>$AE$1="C"</formula>
    </cfRule>
  </conditionalFormatting>
  <conditionalFormatting sqref="K40">
    <cfRule type="expression" dxfId="16" priority="9" stopIfTrue="1">
      <formula>$AE$1="S"</formula>
    </cfRule>
  </conditionalFormatting>
  <conditionalFormatting sqref="K42:K45">
    <cfRule type="expression" dxfId="15" priority="50" stopIfTrue="1">
      <formula>$AE$1="C"</formula>
    </cfRule>
  </conditionalFormatting>
  <conditionalFormatting sqref="K47:K50">
    <cfRule type="expression" dxfId="14" priority="45" stopIfTrue="1">
      <formula>$AE$1="C"</formula>
    </cfRule>
  </conditionalFormatting>
  <conditionalFormatting sqref="K52:K55">
    <cfRule type="expression" dxfId="13" priority="40" stopIfTrue="1">
      <formula>$AE$1="C"</formula>
    </cfRule>
  </conditionalFormatting>
  <conditionalFormatting sqref="K57:K60">
    <cfRule type="expression" dxfId="12" priority="35" stopIfTrue="1">
      <formula>$AE$1="C"</formula>
    </cfRule>
  </conditionalFormatting>
  <conditionalFormatting sqref="K83:K86">
    <cfRule type="expression" dxfId="11" priority="30" stopIfTrue="1">
      <formula>$AE$1="C"</formula>
    </cfRule>
  </conditionalFormatting>
  <conditionalFormatting sqref="K88:K90">
    <cfRule type="expression" dxfId="10" priority="61" stopIfTrue="1">
      <formula>$AE$1="C"</formula>
    </cfRule>
  </conditionalFormatting>
  <conditionalFormatting sqref="K96">
    <cfRule type="expression" dxfId="9" priority="24" stopIfTrue="1">
      <formula>$AE$1="C"</formula>
    </cfRule>
  </conditionalFormatting>
  <conditionalFormatting sqref="L9:L10 L12:L13 L15:L16 L18:L19 L21:L22 L24:L25 L27:L28 L30:L31 L33:L34 L62:L64 L66:L67 L69:L77 L79:L81 L92:L94">
    <cfRule type="expression" dxfId="8" priority="67" stopIfTrue="1">
      <formula>$AE$1="PR"</formula>
    </cfRule>
  </conditionalFormatting>
  <conditionalFormatting sqref="L37:L40">
    <cfRule type="expression" dxfId="7" priority="51" stopIfTrue="1">
      <formula>$AE$1="PR"</formula>
    </cfRule>
  </conditionalFormatting>
  <conditionalFormatting sqref="L42:L45">
    <cfRule type="expression" dxfId="6" priority="46" stopIfTrue="1">
      <formula>$AE$1="PR"</formula>
    </cfRule>
  </conditionalFormatting>
  <conditionalFormatting sqref="L47:L50">
    <cfRule type="expression" dxfId="5" priority="41" stopIfTrue="1">
      <formula>$AE$1="PR"</formula>
    </cfRule>
  </conditionalFormatting>
  <conditionalFormatting sqref="L52:L55">
    <cfRule type="expression" dxfId="4" priority="36" stopIfTrue="1">
      <formula>$AE$1="PR"</formula>
    </cfRule>
  </conditionalFormatting>
  <conditionalFormatting sqref="L57:L60">
    <cfRule type="expression" dxfId="3" priority="31" stopIfTrue="1">
      <formula>$AE$1="PR"</formula>
    </cfRule>
  </conditionalFormatting>
  <conditionalFormatting sqref="L83:L86">
    <cfRule type="expression" dxfId="2" priority="26" stopIfTrue="1">
      <formula>$AE$1="PR"</formula>
    </cfRule>
  </conditionalFormatting>
  <conditionalFormatting sqref="L88:L90">
    <cfRule type="expression" dxfId="1" priority="57" stopIfTrue="1">
      <formula>$AE$1="PR"</formula>
    </cfRule>
  </conditionalFormatting>
  <conditionalFormatting sqref="L96">
    <cfRule type="expression" dxfId="0" priority="21" stopIfTrue="1">
      <formula>$AE$1="PR"</formula>
    </cfRule>
  </conditionalFormatting>
  <dataValidations count="1">
    <dataValidation type="list" allowBlank="1" showInputMessage="1" showErrorMessage="1" sqref="C3:F3" xr:uid="{00000000-0002-0000-0000-000000000000}">
      <formula1>$B$422:$B$518</formula1>
    </dataValidation>
  </dataValidations>
  <pageMargins left="0" right="0" top="0" bottom="0" header="0" footer="0"/>
  <pageSetup paperSize="9" scale="5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29F6-0180-4843-9860-C7840542E313}">
  <sheetPr>
    <tabColor theme="9" tint="0.39997558519241921"/>
  </sheetPr>
  <dimension ref="A1:CM93"/>
  <sheetViews>
    <sheetView showGridLines="0" workbookViewId="0">
      <pane xSplit="16" ySplit="3" topLeftCell="Q4" activePane="bottomRight" state="frozen"/>
      <selection activeCell="D6" sqref="D6"/>
      <selection pane="topRight" activeCell="D6" sqref="D6"/>
      <selection pane="bottomLeft" activeCell="D6" sqref="D6"/>
      <selection pane="bottomRight" activeCell="D6" sqref="D6"/>
    </sheetView>
  </sheetViews>
  <sheetFormatPr defaultColWidth="9.109375" defaultRowHeight="14.4"/>
  <cols>
    <col min="1" max="3" width="13.6640625" style="432" customWidth="1"/>
    <col min="4" max="4" width="13.109375" style="432" hidden="1" customWidth="1"/>
    <col min="5" max="5" width="12.44140625" style="432" hidden="1" customWidth="1"/>
    <col min="6" max="6" width="13.6640625" style="432" hidden="1" customWidth="1"/>
    <col min="7" max="7" width="8" style="432" hidden="1" customWidth="1"/>
    <col min="8" max="8" width="11.6640625" style="432" hidden="1" customWidth="1"/>
    <col min="9" max="9" width="13.6640625" style="432" hidden="1" customWidth="1"/>
    <col min="10" max="10" width="9.109375" style="432" hidden="1" customWidth="1"/>
    <col min="11" max="11" width="11.88671875" style="432" hidden="1" customWidth="1"/>
    <col min="12" max="12" width="13.6640625" style="432" hidden="1" customWidth="1"/>
    <col min="13" max="13" width="11" style="432" hidden="1" customWidth="1"/>
    <col min="14" max="16" width="13.6640625" style="432" hidden="1" customWidth="1"/>
    <col min="17" max="27" width="13.6640625" style="432" customWidth="1"/>
    <col min="28" max="28" width="13.44140625" style="432" customWidth="1"/>
    <col min="29" max="36" width="13.6640625" style="432" customWidth="1"/>
    <col min="37" max="38" width="13.44140625" style="432" customWidth="1"/>
    <col min="39" max="39" width="13.5546875" style="432" customWidth="1"/>
    <col min="40" max="68" width="13.6640625" style="432" customWidth="1"/>
    <col min="69" max="69" width="13.44140625" style="432" customWidth="1"/>
    <col min="70" max="76" width="13.6640625" style="432" customWidth="1"/>
    <col min="77" max="77" width="17" style="432" customWidth="1"/>
    <col min="78" max="78" width="13.6640625" style="432" customWidth="1"/>
    <col min="79" max="79" width="7.5546875" style="432" bestFit="1" customWidth="1"/>
    <col min="80" max="85" width="13.6640625" style="432" customWidth="1"/>
    <col min="86" max="86" width="13.5546875" style="432" customWidth="1"/>
    <col min="87" max="87" width="13.44140625" style="432" customWidth="1"/>
    <col min="88" max="89" width="9.109375" style="432"/>
    <col min="90" max="90" width="18.44140625" style="432" customWidth="1"/>
    <col min="91" max="16384" width="9.109375" style="432"/>
  </cols>
  <sheetData>
    <row r="1" spans="1:91" s="436" customFormat="1">
      <c r="B1" s="436">
        <v>1</v>
      </c>
      <c r="C1" s="436">
        <v>2</v>
      </c>
      <c r="D1" s="436">
        <v>3</v>
      </c>
      <c r="E1" s="436">
        <v>4</v>
      </c>
      <c r="F1" s="436">
        <v>5</v>
      </c>
      <c r="G1" s="436">
        <v>6</v>
      </c>
      <c r="H1" s="436">
        <v>7</v>
      </c>
      <c r="I1" s="436">
        <v>8</v>
      </c>
      <c r="J1" s="436">
        <v>9</v>
      </c>
      <c r="K1" s="436">
        <v>10</v>
      </c>
      <c r="L1" s="436">
        <v>11</v>
      </c>
      <c r="M1" s="436">
        <v>12</v>
      </c>
      <c r="N1" s="436">
        <v>13</v>
      </c>
      <c r="O1" s="436">
        <v>14</v>
      </c>
      <c r="P1" s="436">
        <v>15</v>
      </c>
      <c r="Q1" s="436">
        <v>16</v>
      </c>
      <c r="R1" s="436">
        <v>17</v>
      </c>
      <c r="S1" s="436">
        <v>18</v>
      </c>
      <c r="T1" s="436">
        <v>19</v>
      </c>
      <c r="U1" s="436">
        <v>20</v>
      </c>
      <c r="V1" s="436">
        <v>21</v>
      </c>
      <c r="W1" s="436">
        <v>22</v>
      </c>
      <c r="X1" s="436">
        <v>23</v>
      </c>
      <c r="Y1" s="436">
        <v>24</v>
      </c>
      <c r="Z1" s="436">
        <v>25</v>
      </c>
      <c r="AA1" s="436">
        <v>26</v>
      </c>
      <c r="AB1" s="436">
        <v>27</v>
      </c>
      <c r="AC1" s="436">
        <v>28</v>
      </c>
      <c r="AD1" s="436">
        <v>29</v>
      </c>
      <c r="AE1" s="436">
        <v>30</v>
      </c>
      <c r="AF1" s="436">
        <v>31</v>
      </c>
      <c r="AG1" s="436">
        <v>32</v>
      </c>
      <c r="AH1" s="436">
        <v>33</v>
      </c>
      <c r="AI1" s="436">
        <v>34</v>
      </c>
      <c r="AJ1" s="436">
        <v>35</v>
      </c>
      <c r="AK1" s="436">
        <v>36</v>
      </c>
      <c r="AL1" s="436">
        <v>37</v>
      </c>
      <c r="AM1" s="436">
        <v>38</v>
      </c>
      <c r="AN1" s="436">
        <v>39</v>
      </c>
      <c r="AO1" s="436">
        <v>40</v>
      </c>
      <c r="AP1" s="436">
        <v>41</v>
      </c>
      <c r="AQ1" s="436">
        <v>42</v>
      </c>
      <c r="AR1" s="436">
        <v>43</v>
      </c>
      <c r="AS1" s="436">
        <v>44</v>
      </c>
      <c r="AT1" s="436">
        <v>45</v>
      </c>
      <c r="AU1" s="436">
        <v>46</v>
      </c>
      <c r="AV1" s="436">
        <v>47</v>
      </c>
      <c r="AW1" s="436">
        <v>48</v>
      </c>
      <c r="AX1" s="436">
        <v>49</v>
      </c>
      <c r="AY1" s="436">
        <v>50</v>
      </c>
      <c r="AZ1" s="436">
        <v>51</v>
      </c>
      <c r="BA1" s="436">
        <v>52</v>
      </c>
      <c r="BB1" s="436">
        <v>53</v>
      </c>
      <c r="BC1" s="436">
        <v>54</v>
      </c>
      <c r="BD1" s="436">
        <v>55</v>
      </c>
      <c r="BE1" s="436">
        <v>56</v>
      </c>
      <c r="BF1" s="436">
        <v>57</v>
      </c>
      <c r="BG1" s="436">
        <v>58</v>
      </c>
      <c r="BH1" s="436">
        <v>59</v>
      </c>
      <c r="BI1" s="436">
        <v>60</v>
      </c>
      <c r="BJ1" s="436">
        <v>61</v>
      </c>
      <c r="BK1" s="436">
        <v>62</v>
      </c>
      <c r="BL1" s="436">
        <v>63</v>
      </c>
      <c r="BM1" s="436">
        <v>64</v>
      </c>
      <c r="BN1" s="436">
        <v>65</v>
      </c>
      <c r="BO1" s="436">
        <v>66</v>
      </c>
      <c r="BP1" s="436">
        <v>67</v>
      </c>
      <c r="BQ1" s="436">
        <v>68</v>
      </c>
      <c r="BR1" s="436">
        <v>69</v>
      </c>
      <c r="BS1" s="436">
        <v>70</v>
      </c>
      <c r="BT1" s="436">
        <v>71</v>
      </c>
      <c r="BU1" s="436">
        <v>72</v>
      </c>
      <c r="BV1" s="436">
        <v>73</v>
      </c>
      <c r="BW1" s="436">
        <v>74</v>
      </c>
      <c r="BX1" s="436">
        <v>75</v>
      </c>
      <c r="BY1" s="436">
        <v>76</v>
      </c>
      <c r="BZ1" s="436">
        <v>77</v>
      </c>
      <c r="CA1" s="436">
        <v>78</v>
      </c>
      <c r="CB1" s="436">
        <v>79</v>
      </c>
      <c r="CC1" s="436">
        <v>80</v>
      </c>
      <c r="CD1" s="436">
        <v>81</v>
      </c>
      <c r="CE1" s="436">
        <v>82</v>
      </c>
      <c r="CF1" s="436">
        <v>83</v>
      </c>
      <c r="CG1" s="436">
        <v>84</v>
      </c>
      <c r="CH1" s="436">
        <v>85</v>
      </c>
      <c r="CI1" s="436">
        <v>86</v>
      </c>
      <c r="CJ1" s="436">
        <v>87</v>
      </c>
      <c r="CK1" s="436">
        <v>88</v>
      </c>
      <c r="CL1" s="436">
        <v>90</v>
      </c>
      <c r="CM1" s="436">
        <v>91</v>
      </c>
    </row>
    <row r="2" spans="1:91" ht="25.95" customHeight="1">
      <c r="A2" s="437" t="s">
        <v>694</v>
      </c>
    </row>
    <row r="3" spans="1:91" ht="57.6">
      <c r="A3" s="433" t="s">
        <v>556</v>
      </c>
      <c r="B3" s="433" t="s">
        <v>557</v>
      </c>
      <c r="C3" s="434" t="s">
        <v>128</v>
      </c>
      <c r="D3" s="434" t="s">
        <v>558</v>
      </c>
      <c r="E3" s="434" t="s">
        <v>559</v>
      </c>
      <c r="F3" s="434" t="s">
        <v>560</v>
      </c>
      <c r="G3" s="433" t="s">
        <v>561</v>
      </c>
      <c r="H3" s="433" t="s">
        <v>562</v>
      </c>
      <c r="I3" s="434" t="s">
        <v>563</v>
      </c>
      <c r="J3" s="434" t="s">
        <v>564</v>
      </c>
      <c r="K3" s="434" t="s">
        <v>565</v>
      </c>
      <c r="L3" s="434" t="s">
        <v>566</v>
      </c>
      <c r="M3" s="434" t="s">
        <v>567</v>
      </c>
      <c r="N3" s="434" t="s">
        <v>568</v>
      </c>
      <c r="O3" s="434" t="s">
        <v>569</v>
      </c>
      <c r="P3" s="434" t="s">
        <v>570</v>
      </c>
      <c r="Q3" s="433" t="s">
        <v>305</v>
      </c>
      <c r="R3" s="433" t="s">
        <v>306</v>
      </c>
      <c r="S3" s="433" t="s">
        <v>307</v>
      </c>
      <c r="T3" s="433" t="s">
        <v>200</v>
      </c>
      <c r="U3" s="433" t="s">
        <v>201</v>
      </c>
      <c r="V3" s="433" t="s">
        <v>202</v>
      </c>
      <c r="W3" s="433" t="s">
        <v>203</v>
      </c>
      <c r="X3" s="433" t="s">
        <v>204</v>
      </c>
      <c r="Y3" s="433" t="s">
        <v>205</v>
      </c>
      <c r="Z3" s="433" t="s">
        <v>206</v>
      </c>
      <c r="AA3" s="433" t="s">
        <v>571</v>
      </c>
      <c r="AB3" s="433" t="s">
        <v>572</v>
      </c>
      <c r="AC3" s="433" t="s">
        <v>208</v>
      </c>
      <c r="AD3" s="433" t="s">
        <v>209</v>
      </c>
      <c r="AE3" s="433" t="s">
        <v>210</v>
      </c>
      <c r="AF3" s="433" t="s">
        <v>211</v>
      </c>
      <c r="AG3" s="433" t="s">
        <v>212</v>
      </c>
      <c r="AH3" s="433" t="s">
        <v>213</v>
      </c>
      <c r="AI3" s="433" t="s">
        <v>214</v>
      </c>
      <c r="AJ3" s="433" t="s">
        <v>215</v>
      </c>
      <c r="AK3" s="433" t="s">
        <v>523</v>
      </c>
      <c r="AL3" s="433" t="s">
        <v>524</v>
      </c>
      <c r="AM3" s="433" t="s">
        <v>525</v>
      </c>
      <c r="AN3" s="433" t="s">
        <v>526</v>
      </c>
      <c r="AO3" s="433" t="s">
        <v>216</v>
      </c>
      <c r="AP3" s="433" t="s">
        <v>217</v>
      </c>
      <c r="AQ3" s="433" t="s">
        <v>218</v>
      </c>
      <c r="AR3" s="433" t="s">
        <v>219</v>
      </c>
      <c r="AS3" s="433" t="s">
        <v>220</v>
      </c>
      <c r="AT3" s="433" t="s">
        <v>221</v>
      </c>
      <c r="AU3" s="433" t="s">
        <v>222</v>
      </c>
      <c r="AV3" s="433" t="s">
        <v>223</v>
      </c>
      <c r="AW3" s="433" t="s">
        <v>224</v>
      </c>
      <c r="AX3" s="433" t="s">
        <v>225</v>
      </c>
      <c r="AY3" s="433" t="s">
        <v>226</v>
      </c>
      <c r="AZ3" s="433" t="s">
        <v>227</v>
      </c>
      <c r="BA3" s="433" t="s">
        <v>228</v>
      </c>
      <c r="BB3" s="433" t="s">
        <v>229</v>
      </c>
      <c r="BC3" s="433" t="s">
        <v>230</v>
      </c>
      <c r="BD3" s="433" t="s">
        <v>231</v>
      </c>
      <c r="BE3" s="433" t="s">
        <v>232</v>
      </c>
      <c r="BF3" s="433" t="s">
        <v>233</v>
      </c>
      <c r="BG3" s="433" t="s">
        <v>234</v>
      </c>
      <c r="BH3" s="433" t="s">
        <v>235</v>
      </c>
      <c r="BI3" s="433" t="s">
        <v>236</v>
      </c>
      <c r="BJ3" s="433" t="s">
        <v>237</v>
      </c>
      <c r="BK3" s="433" t="s">
        <v>238</v>
      </c>
      <c r="BL3" s="433" t="s">
        <v>239</v>
      </c>
      <c r="BM3" s="433" t="s">
        <v>240</v>
      </c>
      <c r="BN3" s="433" t="s">
        <v>241</v>
      </c>
      <c r="BO3" s="433" t="s">
        <v>242</v>
      </c>
      <c r="BP3" s="433" t="s">
        <v>573</v>
      </c>
      <c r="BQ3" s="433" t="s">
        <v>574</v>
      </c>
      <c r="BR3" s="433" t="s">
        <v>244</v>
      </c>
      <c r="BS3" s="433" t="s">
        <v>245</v>
      </c>
      <c r="BT3" s="433" t="s">
        <v>246</v>
      </c>
      <c r="BU3" s="433" t="s">
        <v>247</v>
      </c>
      <c r="BV3" s="433" t="s">
        <v>308</v>
      </c>
      <c r="BW3" s="433" t="s">
        <v>309</v>
      </c>
      <c r="BX3" s="433" t="s">
        <v>575</v>
      </c>
      <c r="BY3" s="433" t="s">
        <v>576</v>
      </c>
      <c r="BZ3" s="433" t="s">
        <v>311</v>
      </c>
      <c r="CA3" s="433" t="s">
        <v>312</v>
      </c>
      <c r="CB3" s="433" t="s">
        <v>313</v>
      </c>
      <c r="CC3" s="433" t="s">
        <v>314</v>
      </c>
      <c r="CD3" s="433" t="s">
        <v>577</v>
      </c>
      <c r="CE3" s="433" t="s">
        <v>578</v>
      </c>
      <c r="CF3" s="433" t="s">
        <v>579</v>
      </c>
      <c r="CG3" s="433" t="s">
        <v>580</v>
      </c>
      <c r="CH3" s="433" t="s">
        <v>581</v>
      </c>
      <c r="CI3" s="433" t="s">
        <v>582</v>
      </c>
      <c r="CJ3" s="108" t="s">
        <v>583</v>
      </c>
      <c r="CK3" s="108" t="s">
        <v>584</v>
      </c>
      <c r="CL3" s="108" t="s">
        <v>698</v>
      </c>
    </row>
    <row r="4" spans="1:91" ht="26.4">
      <c r="A4" s="435">
        <v>302</v>
      </c>
      <c r="B4" s="435">
        <v>1000</v>
      </c>
      <c r="C4" s="435" t="s">
        <v>27</v>
      </c>
      <c r="D4" s="435" t="s">
        <v>586</v>
      </c>
      <c r="E4" s="435" t="s">
        <v>587</v>
      </c>
      <c r="F4" s="435" t="s">
        <v>588</v>
      </c>
      <c r="G4" s="435">
        <v>0</v>
      </c>
      <c r="H4" s="435">
        <v>2</v>
      </c>
      <c r="I4" s="435" t="s">
        <v>695</v>
      </c>
      <c r="J4" s="435" t="s">
        <v>590</v>
      </c>
      <c r="K4" s="435" t="s">
        <v>591</v>
      </c>
      <c r="L4" s="435" t="s">
        <v>592</v>
      </c>
      <c r="M4" s="435" t="s">
        <v>591</v>
      </c>
      <c r="N4" s="435" t="s">
        <v>593</v>
      </c>
      <c r="O4" s="435" t="s">
        <v>188</v>
      </c>
      <c r="P4" s="435" t="s">
        <v>188</v>
      </c>
      <c r="Q4" s="438">
        <v>-69960</v>
      </c>
      <c r="R4" s="438">
        <v>3637</v>
      </c>
      <c r="S4" s="438">
        <v>59470</v>
      </c>
      <c r="T4" s="438">
        <v>1180633.28</v>
      </c>
      <c r="U4" s="438">
        <v>0</v>
      </c>
      <c r="V4" s="438">
        <v>78344.350000000006</v>
      </c>
      <c r="W4" s="438">
        <v>0</v>
      </c>
      <c r="X4" s="438">
        <v>0</v>
      </c>
      <c r="Y4" s="438">
        <v>300000</v>
      </c>
      <c r="Z4" s="438">
        <v>26061.57</v>
      </c>
      <c r="AA4" s="438">
        <v>10150</v>
      </c>
      <c r="AB4" s="438">
        <v>14676.29</v>
      </c>
      <c r="AC4" s="438">
        <v>0</v>
      </c>
      <c r="AD4" s="438">
        <v>5672.74</v>
      </c>
      <c r="AE4" s="438">
        <v>0</v>
      </c>
      <c r="AF4" s="438">
        <v>591657.03</v>
      </c>
      <c r="AG4" s="438">
        <v>4980</v>
      </c>
      <c r="AH4" s="438">
        <v>0</v>
      </c>
      <c r="AI4" s="438">
        <v>149294.01</v>
      </c>
      <c r="AJ4" s="438">
        <v>1476.35</v>
      </c>
      <c r="AK4" s="438">
        <v>0</v>
      </c>
      <c r="AL4" s="438">
        <v>0</v>
      </c>
      <c r="AM4" s="438">
        <v>0</v>
      </c>
      <c r="AN4" s="438">
        <v>0</v>
      </c>
      <c r="AO4" s="438">
        <v>411618.12</v>
      </c>
      <c r="AP4" s="438">
        <v>0</v>
      </c>
      <c r="AQ4" s="438">
        <v>1535715.87</v>
      </c>
      <c r="AR4" s="438">
        <v>56464.31</v>
      </c>
      <c r="AS4" s="438">
        <v>101437.99</v>
      </c>
      <c r="AT4" s="438">
        <v>0</v>
      </c>
      <c r="AU4" s="438">
        <v>62711.63</v>
      </c>
      <c r="AV4" s="438">
        <v>11050.23</v>
      </c>
      <c r="AW4" s="438">
        <v>3248.5</v>
      </c>
      <c r="AX4" s="438">
        <v>0</v>
      </c>
      <c r="AY4" s="438">
        <v>0</v>
      </c>
      <c r="AZ4" s="438">
        <v>19631.09</v>
      </c>
      <c r="BA4" s="438">
        <v>4620</v>
      </c>
      <c r="BB4" s="438">
        <v>5272.62</v>
      </c>
      <c r="BC4" s="438">
        <v>4897.34</v>
      </c>
      <c r="BD4" s="438">
        <v>31886.58</v>
      </c>
      <c r="BE4" s="438">
        <v>33137.71</v>
      </c>
      <c r="BF4" s="438">
        <v>15905.69</v>
      </c>
      <c r="BG4" s="438">
        <v>27452.23</v>
      </c>
      <c r="BH4" s="438">
        <v>15368.5</v>
      </c>
      <c r="BI4" s="438">
        <v>0</v>
      </c>
      <c r="BJ4" s="438">
        <v>32634.28</v>
      </c>
      <c r="BK4" s="438">
        <v>8211</v>
      </c>
      <c r="BL4" s="438">
        <v>717.3</v>
      </c>
      <c r="BM4" s="438">
        <v>15428.98</v>
      </c>
      <c r="BN4" s="438">
        <v>0</v>
      </c>
      <c r="BO4" s="438">
        <v>9921</v>
      </c>
      <c r="BP4" s="438">
        <v>42322.29</v>
      </c>
      <c r="BQ4" s="438">
        <v>0</v>
      </c>
      <c r="BR4" s="438">
        <v>0</v>
      </c>
      <c r="BS4" s="438">
        <v>0</v>
      </c>
      <c r="BT4" s="438">
        <v>165556.37</v>
      </c>
      <c r="BU4" s="438">
        <v>24823</v>
      </c>
      <c r="BV4" s="438">
        <v>49808.08</v>
      </c>
      <c r="BW4" s="438">
        <v>0</v>
      </c>
      <c r="BX4" s="438">
        <v>0</v>
      </c>
      <c r="BY4" s="438">
        <v>6000</v>
      </c>
      <c r="BZ4" s="438">
        <v>0</v>
      </c>
      <c r="CA4" s="438">
        <v>0</v>
      </c>
      <c r="CB4" s="438">
        <v>0</v>
      </c>
      <c r="CC4" s="438">
        <v>6275.08</v>
      </c>
      <c r="CD4" s="438">
        <v>0</v>
      </c>
      <c r="CE4" s="438">
        <v>-307438</v>
      </c>
      <c r="CF4" s="438">
        <v>103003</v>
      </c>
      <c r="CG4" s="438">
        <v>0</v>
      </c>
      <c r="CH4" s="438">
        <v>-35972.01</v>
      </c>
      <c r="CI4" s="438">
        <v>0</v>
      </c>
      <c r="CJ4" s="111">
        <f>CD4+CE4+CH4</f>
        <v>-343410.01</v>
      </c>
      <c r="CK4" s="111">
        <f>CF4+CG4+CI4</f>
        <v>103003</v>
      </c>
      <c r="CL4" s="111">
        <f>CD4+CE4</f>
        <v>-307438</v>
      </c>
    </row>
    <row r="5" spans="1:91" ht="26.4">
      <c r="A5" s="435">
        <v>302</v>
      </c>
      <c r="B5" s="435">
        <v>1002</v>
      </c>
      <c r="C5" s="435" t="s">
        <v>29</v>
      </c>
      <c r="D5" s="435" t="s">
        <v>594</v>
      </c>
      <c r="E5" s="435"/>
      <c r="F5" s="435" t="s">
        <v>588</v>
      </c>
      <c r="G5" s="435">
        <v>0</v>
      </c>
      <c r="H5" s="435">
        <v>2</v>
      </c>
      <c r="I5" s="435" t="s">
        <v>695</v>
      </c>
      <c r="J5" s="435" t="s">
        <v>590</v>
      </c>
      <c r="K5" s="435" t="s">
        <v>591</v>
      </c>
      <c r="L5" s="435" t="s">
        <v>592</v>
      </c>
      <c r="M5" s="435" t="s">
        <v>591</v>
      </c>
      <c r="N5" s="435" t="s">
        <v>593</v>
      </c>
      <c r="O5" s="435" t="s">
        <v>188</v>
      </c>
      <c r="P5" s="435" t="s">
        <v>188</v>
      </c>
      <c r="Q5" s="438">
        <v>-114200</v>
      </c>
      <c r="R5" s="438">
        <v>0</v>
      </c>
      <c r="S5" s="438">
        <v>11261</v>
      </c>
      <c r="T5" s="438">
        <v>429338.61</v>
      </c>
      <c r="U5" s="438">
        <v>0</v>
      </c>
      <c r="V5" s="438">
        <v>15983.74</v>
      </c>
      <c r="W5" s="438">
        <v>0</v>
      </c>
      <c r="X5" s="438">
        <v>0</v>
      </c>
      <c r="Y5" s="438">
        <v>0</v>
      </c>
      <c r="Z5" s="438">
        <v>55094</v>
      </c>
      <c r="AA5" s="438">
        <v>0</v>
      </c>
      <c r="AB5" s="438">
        <v>370.27</v>
      </c>
      <c r="AC5" s="438">
        <v>13782.74</v>
      </c>
      <c r="AD5" s="438">
        <v>0</v>
      </c>
      <c r="AE5" s="438">
        <v>0</v>
      </c>
      <c r="AF5" s="438">
        <v>163201.91</v>
      </c>
      <c r="AG5" s="438">
        <v>16442.48</v>
      </c>
      <c r="AH5" s="438">
        <v>0</v>
      </c>
      <c r="AI5" s="438">
        <v>0</v>
      </c>
      <c r="AJ5" s="438">
        <v>0</v>
      </c>
      <c r="AK5" s="438">
        <v>0</v>
      </c>
      <c r="AL5" s="438">
        <v>0</v>
      </c>
      <c r="AM5" s="438">
        <v>0</v>
      </c>
      <c r="AN5" s="438">
        <v>0</v>
      </c>
      <c r="AO5" s="438">
        <v>211097.55</v>
      </c>
      <c r="AP5" s="438">
        <v>407.63</v>
      </c>
      <c r="AQ5" s="438">
        <v>259812.69</v>
      </c>
      <c r="AR5" s="438">
        <v>38399.360000000001</v>
      </c>
      <c r="AS5" s="438">
        <v>68672.850000000006</v>
      </c>
      <c r="AT5" s="438">
        <v>0</v>
      </c>
      <c r="AU5" s="438">
        <v>39248.01</v>
      </c>
      <c r="AV5" s="438">
        <v>61309.31</v>
      </c>
      <c r="AW5" s="438">
        <v>2027.61</v>
      </c>
      <c r="AX5" s="438">
        <v>0</v>
      </c>
      <c r="AY5" s="438">
        <v>0</v>
      </c>
      <c r="AZ5" s="438">
        <v>4693.13</v>
      </c>
      <c r="BA5" s="438">
        <v>4803.5</v>
      </c>
      <c r="BB5" s="438">
        <v>684.99</v>
      </c>
      <c r="BC5" s="438">
        <v>890.02</v>
      </c>
      <c r="BD5" s="438">
        <v>10616.39</v>
      </c>
      <c r="BE5" s="438">
        <v>0</v>
      </c>
      <c r="BF5" s="438">
        <v>3600.99</v>
      </c>
      <c r="BG5" s="438">
        <v>18476.07</v>
      </c>
      <c r="BH5" s="438">
        <v>3744.7</v>
      </c>
      <c r="BI5" s="438">
        <v>0</v>
      </c>
      <c r="BJ5" s="438">
        <v>6596.31</v>
      </c>
      <c r="BK5" s="438">
        <v>1890</v>
      </c>
      <c r="BL5" s="438">
        <v>1604.51</v>
      </c>
      <c r="BM5" s="438">
        <v>13782.74</v>
      </c>
      <c r="BN5" s="438">
        <v>10604.59</v>
      </c>
      <c r="BO5" s="438">
        <v>5702.86</v>
      </c>
      <c r="BP5" s="438">
        <v>7468.94</v>
      </c>
      <c r="BQ5" s="438">
        <v>0</v>
      </c>
      <c r="BR5" s="438">
        <v>0</v>
      </c>
      <c r="BS5" s="438">
        <v>0</v>
      </c>
      <c r="BT5" s="438">
        <v>0</v>
      </c>
      <c r="BU5" s="438">
        <v>0</v>
      </c>
      <c r="BV5" s="438">
        <v>16142</v>
      </c>
      <c r="BW5" s="438">
        <v>0</v>
      </c>
      <c r="BX5" s="438">
        <v>0</v>
      </c>
      <c r="BY5" s="438">
        <v>6000</v>
      </c>
      <c r="BZ5" s="438">
        <v>0</v>
      </c>
      <c r="CA5" s="438">
        <v>0</v>
      </c>
      <c r="CB5" s="438">
        <v>0</v>
      </c>
      <c r="CC5" s="438">
        <v>0</v>
      </c>
      <c r="CD5" s="438">
        <v>0</v>
      </c>
      <c r="CE5" s="438">
        <v>-196121</v>
      </c>
      <c r="CF5" s="438">
        <v>27403</v>
      </c>
      <c r="CG5" s="438">
        <v>0</v>
      </c>
      <c r="CH5" s="438">
        <v>0</v>
      </c>
      <c r="CI5" s="438">
        <v>0</v>
      </c>
      <c r="CJ5" s="111">
        <f t="shared" ref="CJ5:CJ17" si="0">CD5+CE5+CH5</f>
        <v>-196121</v>
      </c>
      <c r="CK5" s="111">
        <f t="shared" ref="CK5:CK17" si="1">CF5+CG5+CI5</f>
        <v>27403</v>
      </c>
      <c r="CL5" s="111">
        <f t="shared" ref="CL5:CL68" si="2">CD5+CE5</f>
        <v>-196121</v>
      </c>
    </row>
    <row r="6" spans="1:91" ht="26.4">
      <c r="A6" s="435">
        <v>302</v>
      </c>
      <c r="B6" s="435">
        <v>1100</v>
      </c>
      <c r="C6" s="435" t="s">
        <v>595</v>
      </c>
      <c r="D6" s="435" t="s">
        <v>594</v>
      </c>
      <c r="E6" s="435"/>
      <c r="F6" s="435" t="s">
        <v>588</v>
      </c>
      <c r="G6" s="435">
        <v>0</v>
      </c>
      <c r="H6" s="435">
        <v>2</v>
      </c>
      <c r="I6" s="435" t="s">
        <v>695</v>
      </c>
      <c r="J6" s="435" t="s">
        <v>590</v>
      </c>
      <c r="K6" s="435" t="s">
        <v>591</v>
      </c>
      <c r="L6" s="435" t="s">
        <v>592</v>
      </c>
      <c r="M6" s="435" t="s">
        <v>591</v>
      </c>
      <c r="N6" s="435" t="s">
        <v>593</v>
      </c>
      <c r="O6" s="435" t="s">
        <v>188</v>
      </c>
      <c r="P6" s="435" t="s">
        <v>188</v>
      </c>
      <c r="Q6" s="438">
        <v>552668</v>
      </c>
      <c r="R6" s="438">
        <v>0</v>
      </c>
      <c r="S6" s="438">
        <v>47718</v>
      </c>
      <c r="T6" s="438">
        <v>1675589.94</v>
      </c>
      <c r="U6" s="438">
        <v>0</v>
      </c>
      <c r="V6" s="438">
        <v>1140701.25</v>
      </c>
      <c r="W6" s="438">
        <v>0</v>
      </c>
      <c r="X6" s="438">
        <v>32320</v>
      </c>
      <c r="Y6" s="438">
        <v>0</v>
      </c>
      <c r="Z6" s="438">
        <v>74890.259999999995</v>
      </c>
      <c r="AA6" s="438">
        <v>0</v>
      </c>
      <c r="AB6" s="438">
        <v>192262.71</v>
      </c>
      <c r="AC6" s="438">
        <v>0</v>
      </c>
      <c r="AD6" s="438">
        <v>0</v>
      </c>
      <c r="AE6" s="438">
        <v>0</v>
      </c>
      <c r="AF6" s="438">
        <v>0</v>
      </c>
      <c r="AG6" s="438">
        <v>3950</v>
      </c>
      <c r="AH6" s="438">
        <v>0</v>
      </c>
      <c r="AI6" s="438">
        <v>0</v>
      </c>
      <c r="AJ6" s="438">
        <v>0</v>
      </c>
      <c r="AK6" s="438">
        <v>0</v>
      </c>
      <c r="AL6" s="438">
        <v>0</v>
      </c>
      <c r="AM6" s="438">
        <v>0</v>
      </c>
      <c r="AN6" s="438">
        <v>34923.25</v>
      </c>
      <c r="AO6" s="438">
        <v>1701098.09</v>
      </c>
      <c r="AP6" s="438">
        <v>208936.38</v>
      </c>
      <c r="AQ6" s="438">
        <v>443560.45</v>
      </c>
      <c r="AR6" s="438">
        <v>35989.18</v>
      </c>
      <c r="AS6" s="438">
        <v>78234.559999999998</v>
      </c>
      <c r="AT6" s="438">
        <v>0</v>
      </c>
      <c r="AU6" s="438">
        <v>0</v>
      </c>
      <c r="AV6" s="438">
        <v>20725.11</v>
      </c>
      <c r="AW6" s="438">
        <v>10366.56</v>
      </c>
      <c r="AX6" s="438">
        <v>3380.77</v>
      </c>
      <c r="AY6" s="438">
        <v>1638</v>
      </c>
      <c r="AZ6" s="438">
        <v>11680.59</v>
      </c>
      <c r="BA6" s="438">
        <v>6115.05</v>
      </c>
      <c r="BB6" s="438">
        <v>33229.58</v>
      </c>
      <c r="BC6" s="438">
        <v>4584.74</v>
      </c>
      <c r="BD6" s="438">
        <v>48387.08</v>
      </c>
      <c r="BE6" s="438">
        <v>0</v>
      </c>
      <c r="BF6" s="438">
        <v>10564.43</v>
      </c>
      <c r="BG6" s="438">
        <v>41558.300000000003</v>
      </c>
      <c r="BH6" s="438">
        <v>22175.67</v>
      </c>
      <c r="BI6" s="438">
        <v>15738.47</v>
      </c>
      <c r="BJ6" s="438">
        <v>28687.41</v>
      </c>
      <c r="BK6" s="438">
        <v>3900</v>
      </c>
      <c r="BL6" s="438">
        <v>0</v>
      </c>
      <c r="BM6" s="438">
        <v>22933.94</v>
      </c>
      <c r="BN6" s="438">
        <v>289940.77</v>
      </c>
      <c r="BO6" s="438">
        <v>103859.27</v>
      </c>
      <c r="BP6" s="438">
        <v>49235.01</v>
      </c>
      <c r="BQ6" s="438">
        <v>0</v>
      </c>
      <c r="BR6" s="438">
        <v>0</v>
      </c>
      <c r="BS6" s="438">
        <v>0</v>
      </c>
      <c r="BT6" s="438">
        <v>0</v>
      </c>
      <c r="BU6" s="438">
        <v>0</v>
      </c>
      <c r="BV6" s="438">
        <v>24003.55</v>
      </c>
      <c r="BW6" s="438">
        <v>0</v>
      </c>
      <c r="BX6" s="438">
        <v>0</v>
      </c>
      <c r="BY6" s="438">
        <v>6000</v>
      </c>
      <c r="BZ6" s="438">
        <v>0</v>
      </c>
      <c r="CA6" s="438">
        <v>15007.55</v>
      </c>
      <c r="CB6" s="438">
        <v>0</v>
      </c>
      <c r="CC6" s="438">
        <v>0</v>
      </c>
      <c r="CD6" s="438">
        <v>0</v>
      </c>
      <c r="CE6" s="438">
        <v>510786</v>
      </c>
      <c r="CF6" s="438">
        <v>56714</v>
      </c>
      <c r="CG6" s="438">
        <v>0</v>
      </c>
      <c r="CH6" s="438">
        <v>0</v>
      </c>
      <c r="CI6" s="438">
        <v>0</v>
      </c>
      <c r="CJ6" s="111">
        <f t="shared" si="0"/>
        <v>510786</v>
      </c>
      <c r="CK6" s="111">
        <f t="shared" si="1"/>
        <v>56714</v>
      </c>
      <c r="CL6" s="111">
        <f t="shared" si="2"/>
        <v>510786</v>
      </c>
    </row>
    <row r="7" spans="1:91">
      <c r="A7" s="435">
        <v>302</v>
      </c>
      <c r="B7" s="435">
        <v>1102</v>
      </c>
      <c r="C7" s="435" t="s">
        <v>596</v>
      </c>
      <c r="D7" s="435" t="s">
        <v>594</v>
      </c>
      <c r="E7" s="435"/>
      <c r="F7" s="435" t="s">
        <v>588</v>
      </c>
      <c r="G7" s="435">
        <v>0</v>
      </c>
      <c r="H7" s="435">
        <v>2</v>
      </c>
      <c r="I7" s="435" t="s">
        <v>695</v>
      </c>
      <c r="J7" s="435" t="s">
        <v>590</v>
      </c>
      <c r="K7" s="435" t="s">
        <v>591</v>
      </c>
      <c r="L7" s="435" t="s">
        <v>592</v>
      </c>
      <c r="M7" s="435" t="s">
        <v>591</v>
      </c>
      <c r="N7" s="435" t="s">
        <v>593</v>
      </c>
      <c r="O7" s="435" t="s">
        <v>188</v>
      </c>
      <c r="P7" s="435" t="s">
        <v>188</v>
      </c>
      <c r="Q7" s="438">
        <v>166282</v>
      </c>
      <c r="R7" s="438">
        <v>0</v>
      </c>
      <c r="S7" s="438">
        <v>0</v>
      </c>
      <c r="T7" s="438">
        <v>485865.96</v>
      </c>
      <c r="U7" s="438">
        <v>0</v>
      </c>
      <c r="V7" s="438">
        <v>41129.480000000003</v>
      </c>
      <c r="W7" s="438">
        <v>0</v>
      </c>
      <c r="X7" s="438">
        <v>3815</v>
      </c>
      <c r="Y7" s="438">
        <v>0</v>
      </c>
      <c r="Z7" s="438">
        <v>98884.72</v>
      </c>
      <c r="AA7" s="438">
        <v>0</v>
      </c>
      <c r="AB7" s="438">
        <v>66056.53</v>
      </c>
      <c r="AC7" s="438">
        <v>0</v>
      </c>
      <c r="AD7" s="438">
        <v>0</v>
      </c>
      <c r="AE7" s="438">
        <v>5576</v>
      </c>
      <c r="AF7" s="438">
        <v>316</v>
      </c>
      <c r="AG7" s="438">
        <v>0</v>
      </c>
      <c r="AH7" s="438">
        <v>0</v>
      </c>
      <c r="AI7" s="438">
        <v>0</v>
      </c>
      <c r="AJ7" s="438">
        <v>0</v>
      </c>
      <c r="AK7" s="438">
        <v>0</v>
      </c>
      <c r="AL7" s="438">
        <v>3377.7</v>
      </c>
      <c r="AM7" s="438">
        <v>8459.6299999999992</v>
      </c>
      <c r="AN7" s="438">
        <v>0</v>
      </c>
      <c r="AO7" s="438">
        <v>484006.8</v>
      </c>
      <c r="AP7" s="438">
        <v>0</v>
      </c>
      <c r="AQ7" s="438">
        <v>51086.879999999997</v>
      </c>
      <c r="AR7" s="438">
        <v>0</v>
      </c>
      <c r="AS7" s="438">
        <v>33578.15</v>
      </c>
      <c r="AT7" s="438">
        <v>0</v>
      </c>
      <c r="AU7" s="438">
        <v>384.06</v>
      </c>
      <c r="AV7" s="438">
        <v>2614.71</v>
      </c>
      <c r="AW7" s="438">
        <v>3444.81</v>
      </c>
      <c r="AX7" s="438">
        <v>6130.19</v>
      </c>
      <c r="AY7" s="438">
        <v>0</v>
      </c>
      <c r="AZ7" s="438">
        <v>4322.33</v>
      </c>
      <c r="BA7" s="438">
        <v>0</v>
      </c>
      <c r="BB7" s="438">
        <v>1.67</v>
      </c>
      <c r="BC7" s="438">
        <v>0</v>
      </c>
      <c r="BD7" s="438">
        <v>0</v>
      </c>
      <c r="BE7" s="438">
        <v>0</v>
      </c>
      <c r="BF7" s="438">
        <v>96743.2</v>
      </c>
      <c r="BG7" s="438">
        <v>9410.5300000000007</v>
      </c>
      <c r="BH7" s="438">
        <v>7008.86</v>
      </c>
      <c r="BI7" s="438">
        <v>6460.77</v>
      </c>
      <c r="BJ7" s="438">
        <v>8824.91</v>
      </c>
      <c r="BK7" s="438">
        <v>567</v>
      </c>
      <c r="BL7" s="438">
        <v>585.27</v>
      </c>
      <c r="BM7" s="438">
        <v>1036.78</v>
      </c>
      <c r="BN7" s="438">
        <v>11788.88</v>
      </c>
      <c r="BO7" s="438">
        <v>17374.73</v>
      </c>
      <c r="BP7" s="438">
        <v>40808.49</v>
      </c>
      <c r="BQ7" s="438">
        <v>0</v>
      </c>
      <c r="BR7" s="438">
        <v>0</v>
      </c>
      <c r="BS7" s="438">
        <v>0</v>
      </c>
      <c r="BT7" s="438">
        <v>0</v>
      </c>
      <c r="BU7" s="438">
        <v>0</v>
      </c>
      <c r="BV7" s="438">
        <v>16536</v>
      </c>
      <c r="BW7" s="438">
        <v>0</v>
      </c>
      <c r="BX7" s="438">
        <v>0</v>
      </c>
      <c r="BY7" s="438">
        <v>6000</v>
      </c>
      <c r="BZ7" s="438">
        <v>0</v>
      </c>
      <c r="CA7" s="438">
        <v>0</v>
      </c>
      <c r="CB7" s="438">
        <v>0</v>
      </c>
      <c r="CC7" s="438">
        <v>0</v>
      </c>
      <c r="CD7" s="438">
        <v>0</v>
      </c>
      <c r="CE7" s="438">
        <v>93584</v>
      </c>
      <c r="CF7" s="438">
        <v>16536</v>
      </c>
      <c r="CG7" s="438">
        <v>0</v>
      </c>
      <c r="CH7" s="438">
        <v>0</v>
      </c>
      <c r="CI7" s="438">
        <v>0</v>
      </c>
      <c r="CJ7" s="111">
        <f t="shared" si="0"/>
        <v>93584</v>
      </c>
      <c r="CK7" s="111">
        <f t="shared" si="1"/>
        <v>16536</v>
      </c>
      <c r="CL7" s="111">
        <f t="shared" si="2"/>
        <v>93584</v>
      </c>
    </row>
    <row r="8" spans="1:91" ht="26.4">
      <c r="A8" s="435">
        <v>302</v>
      </c>
      <c r="B8" s="435">
        <v>2002</v>
      </c>
      <c r="C8" s="435" t="s">
        <v>36</v>
      </c>
      <c r="D8" s="435" t="s">
        <v>594</v>
      </c>
      <c r="E8" s="435"/>
      <c r="F8" s="435" t="s">
        <v>588</v>
      </c>
      <c r="G8" s="435">
        <v>0</v>
      </c>
      <c r="H8" s="435">
        <v>0</v>
      </c>
      <c r="I8" s="435" t="s">
        <v>695</v>
      </c>
      <c r="J8" s="435" t="s">
        <v>590</v>
      </c>
      <c r="K8" s="435" t="s">
        <v>591</v>
      </c>
      <c r="L8" s="435" t="s">
        <v>592</v>
      </c>
      <c r="M8" s="435" t="s">
        <v>591</v>
      </c>
      <c r="N8" s="435" t="s">
        <v>593</v>
      </c>
      <c r="O8" s="435" t="s">
        <v>188</v>
      </c>
      <c r="P8" s="435" t="s">
        <v>188</v>
      </c>
      <c r="Q8" s="438">
        <v>128455</v>
      </c>
      <c r="R8" s="438">
        <v>0</v>
      </c>
      <c r="S8" s="438">
        <v>0</v>
      </c>
      <c r="T8" s="438">
        <v>2416607.85</v>
      </c>
      <c r="U8" s="438">
        <v>0</v>
      </c>
      <c r="V8" s="438">
        <v>109558.55</v>
      </c>
      <c r="W8" s="438">
        <v>0</v>
      </c>
      <c r="X8" s="438">
        <v>146199.97</v>
      </c>
      <c r="Y8" s="438">
        <v>1200</v>
      </c>
      <c r="Z8" s="438">
        <v>3261.9</v>
      </c>
      <c r="AA8" s="438">
        <v>14522.21</v>
      </c>
      <c r="AB8" s="438">
        <v>10429.870000000001</v>
      </c>
      <c r="AC8" s="438">
        <v>24195.38</v>
      </c>
      <c r="AD8" s="438">
        <v>14522.5</v>
      </c>
      <c r="AE8" s="438">
        <v>7455</v>
      </c>
      <c r="AF8" s="438">
        <v>12072.27</v>
      </c>
      <c r="AG8" s="438">
        <v>875</v>
      </c>
      <c r="AH8" s="438">
        <v>0</v>
      </c>
      <c r="AI8" s="438">
        <v>0</v>
      </c>
      <c r="AJ8" s="438">
        <v>0</v>
      </c>
      <c r="AK8" s="438">
        <v>0</v>
      </c>
      <c r="AL8" s="438">
        <v>0</v>
      </c>
      <c r="AM8" s="438">
        <v>35133.75</v>
      </c>
      <c r="AN8" s="438">
        <v>75903</v>
      </c>
      <c r="AO8" s="438">
        <v>1231204.3600000001</v>
      </c>
      <c r="AP8" s="438">
        <v>0</v>
      </c>
      <c r="AQ8" s="438">
        <v>615067.65</v>
      </c>
      <c r="AR8" s="438">
        <v>28473.99</v>
      </c>
      <c r="AS8" s="438">
        <v>133901.57999999999</v>
      </c>
      <c r="AT8" s="438">
        <v>0</v>
      </c>
      <c r="AU8" s="438">
        <v>36404.18</v>
      </c>
      <c r="AV8" s="438">
        <v>18735.48</v>
      </c>
      <c r="AW8" s="438">
        <v>7722.68</v>
      </c>
      <c r="AX8" s="438">
        <v>16373.42</v>
      </c>
      <c r="AY8" s="438">
        <v>0</v>
      </c>
      <c r="AZ8" s="438">
        <v>22539.93</v>
      </c>
      <c r="BA8" s="438">
        <v>0</v>
      </c>
      <c r="BB8" s="438">
        <v>66120.55</v>
      </c>
      <c r="BC8" s="438">
        <v>773.52</v>
      </c>
      <c r="BD8" s="438">
        <v>60235.48</v>
      </c>
      <c r="BE8" s="438">
        <v>30976</v>
      </c>
      <c r="BF8" s="438">
        <v>16880.63</v>
      </c>
      <c r="BG8" s="438">
        <v>69605.17</v>
      </c>
      <c r="BH8" s="438">
        <v>20088.900000000001</v>
      </c>
      <c r="BI8" s="438">
        <v>0</v>
      </c>
      <c r="BJ8" s="438">
        <v>23941.01</v>
      </c>
      <c r="BK8" s="438">
        <v>16169.41</v>
      </c>
      <c r="BL8" s="438">
        <v>8819.82</v>
      </c>
      <c r="BM8" s="438">
        <v>99743.5</v>
      </c>
      <c r="BN8" s="438">
        <v>86240.02</v>
      </c>
      <c r="BO8" s="438">
        <v>230891.27</v>
      </c>
      <c r="BP8" s="438">
        <v>61296.7</v>
      </c>
      <c r="BQ8" s="438">
        <v>0</v>
      </c>
      <c r="BR8" s="438">
        <v>0</v>
      </c>
      <c r="BS8" s="438">
        <v>12024</v>
      </c>
      <c r="BT8" s="438">
        <v>0</v>
      </c>
      <c r="BU8" s="438">
        <v>0</v>
      </c>
      <c r="BV8" s="438">
        <v>27902</v>
      </c>
      <c r="BW8" s="438">
        <v>0</v>
      </c>
      <c r="BX8" s="438">
        <v>12024</v>
      </c>
      <c r="BY8" s="438">
        <v>6000</v>
      </c>
      <c r="BZ8" s="438">
        <v>0</v>
      </c>
      <c r="CA8" s="438">
        <v>39926</v>
      </c>
      <c r="CB8" s="438">
        <v>0</v>
      </c>
      <c r="CC8" s="438">
        <v>0</v>
      </c>
      <c r="CD8" s="438">
        <v>67030</v>
      </c>
      <c r="CE8" s="438">
        <v>19133</v>
      </c>
      <c r="CF8" s="438">
        <v>0</v>
      </c>
      <c r="CG8" s="438">
        <v>0</v>
      </c>
      <c r="CH8" s="438">
        <v>0</v>
      </c>
      <c r="CI8" s="438">
        <v>0</v>
      </c>
      <c r="CJ8" s="111">
        <f t="shared" si="0"/>
        <v>86163</v>
      </c>
      <c r="CK8" s="111">
        <f t="shared" si="1"/>
        <v>0</v>
      </c>
      <c r="CL8" s="111">
        <f t="shared" si="2"/>
        <v>86163</v>
      </c>
    </row>
    <row r="9" spans="1:91" ht="26.4">
      <c r="A9" s="435">
        <v>302</v>
      </c>
      <c r="B9" s="435">
        <v>2003</v>
      </c>
      <c r="C9" s="435" t="s">
        <v>38</v>
      </c>
      <c r="D9" s="435" t="s">
        <v>594</v>
      </c>
      <c r="E9" s="435"/>
      <c r="F9" s="435" t="s">
        <v>588</v>
      </c>
      <c r="G9" s="435">
        <v>0</v>
      </c>
      <c r="H9" s="435">
        <v>1</v>
      </c>
      <c r="I9" s="435" t="s">
        <v>695</v>
      </c>
      <c r="J9" s="435" t="s">
        <v>590</v>
      </c>
      <c r="K9" s="435" t="s">
        <v>591</v>
      </c>
      <c r="L9" s="435" t="s">
        <v>592</v>
      </c>
      <c r="M9" s="435" t="s">
        <v>591</v>
      </c>
      <c r="N9" s="435" t="s">
        <v>593</v>
      </c>
      <c r="O9" s="435" t="s">
        <v>188</v>
      </c>
      <c r="P9" s="435" t="s">
        <v>188</v>
      </c>
      <c r="Q9" s="438">
        <v>-64531</v>
      </c>
      <c r="R9" s="438">
        <v>117743</v>
      </c>
      <c r="S9" s="438">
        <v>8581</v>
      </c>
      <c r="T9" s="438">
        <v>2141221.16</v>
      </c>
      <c r="U9" s="438">
        <v>0</v>
      </c>
      <c r="V9" s="438">
        <v>159910.57</v>
      </c>
      <c r="W9" s="438">
        <v>0</v>
      </c>
      <c r="X9" s="438">
        <v>219669</v>
      </c>
      <c r="Y9" s="438">
        <v>4935</v>
      </c>
      <c r="Z9" s="438">
        <v>11680</v>
      </c>
      <c r="AA9" s="438">
        <v>6970</v>
      </c>
      <c r="AB9" s="438">
        <v>33698</v>
      </c>
      <c r="AC9" s="438">
        <v>19113.45</v>
      </c>
      <c r="AD9" s="438">
        <v>0</v>
      </c>
      <c r="AE9" s="438">
        <v>0</v>
      </c>
      <c r="AF9" s="438">
        <v>16667.240000000002</v>
      </c>
      <c r="AG9" s="438">
        <v>1508.3</v>
      </c>
      <c r="AH9" s="438">
        <v>0</v>
      </c>
      <c r="AI9" s="438">
        <v>164301</v>
      </c>
      <c r="AJ9" s="438">
        <v>200</v>
      </c>
      <c r="AK9" s="438">
        <v>0</v>
      </c>
      <c r="AL9" s="438">
        <v>15564</v>
      </c>
      <c r="AM9" s="438">
        <v>64730.38</v>
      </c>
      <c r="AN9" s="438">
        <v>48976</v>
      </c>
      <c r="AO9" s="438">
        <v>934451.13</v>
      </c>
      <c r="AP9" s="438">
        <v>0</v>
      </c>
      <c r="AQ9" s="438">
        <v>609595.67000000004</v>
      </c>
      <c r="AR9" s="438">
        <v>105366.63</v>
      </c>
      <c r="AS9" s="438">
        <v>35779.800000000003</v>
      </c>
      <c r="AT9" s="438">
        <v>0</v>
      </c>
      <c r="AU9" s="438">
        <v>75399.27</v>
      </c>
      <c r="AV9" s="438">
        <v>12244.88</v>
      </c>
      <c r="AW9" s="438">
        <v>8186.92</v>
      </c>
      <c r="AX9" s="438">
        <v>506.69</v>
      </c>
      <c r="AY9" s="438">
        <v>157.63999999999999</v>
      </c>
      <c r="AZ9" s="438">
        <v>49496.02</v>
      </c>
      <c r="BA9" s="438">
        <v>2077.9499999999998</v>
      </c>
      <c r="BB9" s="438">
        <v>17690.669999999998</v>
      </c>
      <c r="BC9" s="438">
        <v>7139.26</v>
      </c>
      <c r="BD9" s="438">
        <v>52560.31</v>
      </c>
      <c r="BE9" s="438">
        <v>19536.5</v>
      </c>
      <c r="BF9" s="438">
        <v>9319.23</v>
      </c>
      <c r="BG9" s="438">
        <v>76915.78</v>
      </c>
      <c r="BH9" s="438">
        <v>7866.14</v>
      </c>
      <c r="BI9" s="438">
        <v>0</v>
      </c>
      <c r="BJ9" s="438">
        <v>28656.49</v>
      </c>
      <c r="BK9" s="438">
        <v>13711.91</v>
      </c>
      <c r="BL9" s="438">
        <v>21762.1</v>
      </c>
      <c r="BM9" s="438">
        <v>101268.79</v>
      </c>
      <c r="BN9" s="438">
        <v>299117.34999999998</v>
      </c>
      <c r="BO9" s="438">
        <v>313729.99</v>
      </c>
      <c r="BP9" s="438">
        <v>70648.13</v>
      </c>
      <c r="BQ9" s="438">
        <v>949.85</v>
      </c>
      <c r="BR9" s="438">
        <v>0</v>
      </c>
      <c r="BS9" s="438">
        <v>11005</v>
      </c>
      <c r="BT9" s="438">
        <v>121261.2</v>
      </c>
      <c r="BU9" s="438">
        <v>55367.8</v>
      </c>
      <c r="BV9" s="438">
        <v>37096</v>
      </c>
      <c r="BW9" s="438">
        <v>0</v>
      </c>
      <c r="BX9" s="438">
        <v>0</v>
      </c>
      <c r="BY9" s="438">
        <v>6000</v>
      </c>
      <c r="BZ9" s="438">
        <v>0</v>
      </c>
      <c r="CA9" s="438">
        <v>0</v>
      </c>
      <c r="CB9" s="438">
        <v>0</v>
      </c>
      <c r="CC9" s="438">
        <v>19349</v>
      </c>
      <c r="CD9" s="438">
        <v>0</v>
      </c>
      <c r="CE9" s="438">
        <v>-205028</v>
      </c>
      <c r="CF9" s="438">
        <v>26328</v>
      </c>
      <c r="CG9" s="438">
        <v>0</v>
      </c>
      <c r="CH9" s="438">
        <v>105615</v>
      </c>
      <c r="CI9" s="438">
        <v>0</v>
      </c>
      <c r="CJ9" s="111">
        <f t="shared" si="0"/>
        <v>-99413</v>
      </c>
      <c r="CK9" s="111">
        <f t="shared" si="1"/>
        <v>26328</v>
      </c>
      <c r="CL9" s="111">
        <f t="shared" si="2"/>
        <v>-205028</v>
      </c>
    </row>
    <row r="10" spans="1:91" ht="26.4">
      <c r="A10" s="435">
        <v>302</v>
      </c>
      <c r="B10" s="435">
        <v>2007</v>
      </c>
      <c r="C10" s="435" t="s">
        <v>42</v>
      </c>
      <c r="D10" s="435" t="s">
        <v>594</v>
      </c>
      <c r="E10" s="435"/>
      <c r="F10" s="435" t="s">
        <v>588</v>
      </c>
      <c r="G10" s="435">
        <v>0</v>
      </c>
      <c r="H10" s="435">
        <v>0</v>
      </c>
      <c r="I10" s="435" t="s">
        <v>695</v>
      </c>
      <c r="J10" s="435" t="s">
        <v>590</v>
      </c>
      <c r="K10" s="435" t="s">
        <v>591</v>
      </c>
      <c r="L10" s="435" t="s">
        <v>592</v>
      </c>
      <c r="M10" s="435" t="s">
        <v>591</v>
      </c>
      <c r="N10" s="435" t="s">
        <v>593</v>
      </c>
      <c r="O10" s="435" t="s">
        <v>188</v>
      </c>
      <c r="P10" s="435" t="s">
        <v>188</v>
      </c>
      <c r="Q10" s="438">
        <v>72633</v>
      </c>
      <c r="R10" s="438">
        <v>0</v>
      </c>
      <c r="S10" s="438">
        <v>0</v>
      </c>
      <c r="T10" s="438">
        <v>1706412.69</v>
      </c>
      <c r="U10" s="438">
        <v>0</v>
      </c>
      <c r="V10" s="438">
        <v>175760.44</v>
      </c>
      <c r="W10" s="438">
        <v>0</v>
      </c>
      <c r="X10" s="438">
        <v>115021.98</v>
      </c>
      <c r="Y10" s="438">
        <v>4200</v>
      </c>
      <c r="Z10" s="438">
        <v>25066.83</v>
      </c>
      <c r="AA10" s="438">
        <v>50950.25</v>
      </c>
      <c r="AB10" s="438">
        <v>16616.849999999999</v>
      </c>
      <c r="AC10" s="438">
        <v>83101.08</v>
      </c>
      <c r="AD10" s="438">
        <v>9435</v>
      </c>
      <c r="AE10" s="438">
        <v>8256</v>
      </c>
      <c r="AF10" s="438">
        <v>64588.6</v>
      </c>
      <c r="AG10" s="438">
        <v>56156.4</v>
      </c>
      <c r="AH10" s="438">
        <v>0</v>
      </c>
      <c r="AI10" s="438">
        <v>0</v>
      </c>
      <c r="AJ10" s="438">
        <v>0</v>
      </c>
      <c r="AK10" s="438">
        <v>0</v>
      </c>
      <c r="AL10" s="438">
        <v>5985</v>
      </c>
      <c r="AM10" s="438">
        <v>25238.5</v>
      </c>
      <c r="AN10" s="438">
        <v>19555</v>
      </c>
      <c r="AO10" s="438">
        <v>1072326.3</v>
      </c>
      <c r="AP10" s="438">
        <v>0</v>
      </c>
      <c r="AQ10" s="438">
        <v>345765.06</v>
      </c>
      <c r="AR10" s="438">
        <v>58229.78</v>
      </c>
      <c r="AS10" s="438">
        <v>101987.91</v>
      </c>
      <c r="AT10" s="438">
        <v>0</v>
      </c>
      <c r="AU10" s="438">
        <v>66292.77</v>
      </c>
      <c r="AV10" s="438">
        <v>7553.69</v>
      </c>
      <c r="AW10" s="438">
        <v>2226.09</v>
      </c>
      <c r="AX10" s="438">
        <v>13215.02</v>
      </c>
      <c r="AY10" s="438">
        <v>0</v>
      </c>
      <c r="AZ10" s="438">
        <v>27044.55</v>
      </c>
      <c r="BA10" s="438">
        <v>4745.24</v>
      </c>
      <c r="BB10" s="438">
        <v>27565.97</v>
      </c>
      <c r="BC10" s="438">
        <v>5198.3500000000004</v>
      </c>
      <c r="BD10" s="438">
        <v>39367.06</v>
      </c>
      <c r="BE10" s="438">
        <v>20083</v>
      </c>
      <c r="BF10" s="438">
        <v>8479.85</v>
      </c>
      <c r="BG10" s="438">
        <v>87335.67</v>
      </c>
      <c r="BH10" s="438">
        <v>19295.759999999998</v>
      </c>
      <c r="BI10" s="438">
        <v>0</v>
      </c>
      <c r="BJ10" s="438">
        <v>13414.62</v>
      </c>
      <c r="BK10" s="438">
        <v>13206.62</v>
      </c>
      <c r="BL10" s="438">
        <v>10246.52</v>
      </c>
      <c r="BM10" s="438">
        <v>87138.46</v>
      </c>
      <c r="BN10" s="438">
        <v>31292.23</v>
      </c>
      <c r="BO10" s="438">
        <v>175874.66</v>
      </c>
      <c r="BP10" s="438">
        <v>27073.439999999999</v>
      </c>
      <c r="BQ10" s="438">
        <v>0</v>
      </c>
      <c r="BR10" s="438">
        <v>0</v>
      </c>
      <c r="BS10" s="438">
        <v>20172</v>
      </c>
      <c r="BT10" s="438">
        <v>0</v>
      </c>
      <c r="BU10" s="438">
        <v>0</v>
      </c>
      <c r="BV10" s="438">
        <v>25240.74</v>
      </c>
      <c r="BW10" s="438">
        <v>0</v>
      </c>
      <c r="BX10" s="438">
        <v>20172</v>
      </c>
      <c r="BY10" s="438">
        <v>6000</v>
      </c>
      <c r="BZ10" s="438">
        <v>0</v>
      </c>
      <c r="CA10" s="438">
        <v>38327.74</v>
      </c>
      <c r="CB10" s="438">
        <v>0</v>
      </c>
      <c r="CC10" s="438">
        <v>0</v>
      </c>
      <c r="CD10" s="438">
        <v>0</v>
      </c>
      <c r="CE10" s="438">
        <v>153847</v>
      </c>
      <c r="CF10" s="438">
        <v>7085</v>
      </c>
      <c r="CG10" s="438">
        <v>0</v>
      </c>
      <c r="CH10" s="438">
        <v>0</v>
      </c>
      <c r="CI10" s="438">
        <v>0</v>
      </c>
      <c r="CJ10" s="111">
        <f t="shared" si="0"/>
        <v>153847</v>
      </c>
      <c r="CK10" s="111">
        <f t="shared" si="1"/>
        <v>7085</v>
      </c>
      <c r="CL10" s="111">
        <f t="shared" si="2"/>
        <v>153847</v>
      </c>
    </row>
    <row r="11" spans="1:91" ht="26.4">
      <c r="A11" s="435">
        <v>302</v>
      </c>
      <c r="B11" s="435">
        <v>2008</v>
      </c>
      <c r="C11" s="435" t="s">
        <v>41</v>
      </c>
      <c r="D11" s="435" t="s">
        <v>594</v>
      </c>
      <c r="E11" s="435"/>
      <c r="F11" s="435" t="s">
        <v>588</v>
      </c>
      <c r="G11" s="435">
        <v>0</v>
      </c>
      <c r="H11" s="435">
        <v>0</v>
      </c>
      <c r="I11" s="435" t="s">
        <v>695</v>
      </c>
      <c r="J11" s="435" t="s">
        <v>590</v>
      </c>
      <c r="K11" s="435" t="s">
        <v>591</v>
      </c>
      <c r="L11" s="435" t="s">
        <v>592</v>
      </c>
      <c r="M11" s="435" t="s">
        <v>591</v>
      </c>
      <c r="N11" s="435" t="s">
        <v>593</v>
      </c>
      <c r="O11" s="435" t="s">
        <v>188</v>
      </c>
      <c r="P11" s="435" t="s">
        <v>188</v>
      </c>
      <c r="Q11" s="438">
        <v>90004</v>
      </c>
      <c r="R11" s="438">
        <v>0</v>
      </c>
      <c r="S11" s="438">
        <v>0</v>
      </c>
      <c r="T11" s="438">
        <v>1573172.59</v>
      </c>
      <c r="U11" s="438">
        <v>0</v>
      </c>
      <c r="V11" s="438">
        <v>114654.53</v>
      </c>
      <c r="W11" s="438">
        <v>0</v>
      </c>
      <c r="X11" s="438">
        <v>61605.01</v>
      </c>
      <c r="Y11" s="438">
        <v>1200</v>
      </c>
      <c r="Z11" s="438">
        <v>9154.65</v>
      </c>
      <c r="AA11" s="438">
        <v>37807.32</v>
      </c>
      <c r="AB11" s="438">
        <v>1358</v>
      </c>
      <c r="AC11" s="438">
        <v>14393.24</v>
      </c>
      <c r="AD11" s="438">
        <v>2405</v>
      </c>
      <c r="AE11" s="438">
        <v>10530</v>
      </c>
      <c r="AF11" s="438">
        <v>112285.5</v>
      </c>
      <c r="AG11" s="438">
        <v>50048.800000000003</v>
      </c>
      <c r="AH11" s="438">
        <v>0</v>
      </c>
      <c r="AI11" s="438">
        <v>0</v>
      </c>
      <c r="AJ11" s="438">
        <v>0</v>
      </c>
      <c r="AK11" s="438">
        <v>0</v>
      </c>
      <c r="AL11" s="438">
        <v>0</v>
      </c>
      <c r="AM11" s="438">
        <v>4063.63</v>
      </c>
      <c r="AN11" s="438">
        <v>109554</v>
      </c>
      <c r="AO11" s="438">
        <v>865154.08</v>
      </c>
      <c r="AP11" s="438">
        <v>0</v>
      </c>
      <c r="AQ11" s="438">
        <v>545890.26</v>
      </c>
      <c r="AR11" s="438">
        <v>50424.91</v>
      </c>
      <c r="AS11" s="438">
        <v>87262.74</v>
      </c>
      <c r="AT11" s="438">
        <v>0</v>
      </c>
      <c r="AU11" s="438">
        <v>23311.79</v>
      </c>
      <c r="AV11" s="438">
        <v>10987.65</v>
      </c>
      <c r="AW11" s="438">
        <v>2212.5</v>
      </c>
      <c r="AX11" s="438">
        <v>16443.830000000002</v>
      </c>
      <c r="AY11" s="438">
        <v>0</v>
      </c>
      <c r="AZ11" s="438">
        <v>18665.39</v>
      </c>
      <c r="BA11" s="438">
        <v>4933.5200000000004</v>
      </c>
      <c r="BB11" s="438">
        <v>22000.28</v>
      </c>
      <c r="BC11" s="438">
        <v>5102.5600000000004</v>
      </c>
      <c r="BD11" s="438">
        <v>27825.72</v>
      </c>
      <c r="BE11" s="438">
        <v>20083</v>
      </c>
      <c r="BF11" s="438">
        <v>8234.57</v>
      </c>
      <c r="BG11" s="438">
        <v>69150.19</v>
      </c>
      <c r="BH11" s="438">
        <v>14411.36</v>
      </c>
      <c r="BI11" s="438">
        <v>0</v>
      </c>
      <c r="BJ11" s="438">
        <v>10322.49</v>
      </c>
      <c r="BK11" s="438">
        <v>10477.299999999999</v>
      </c>
      <c r="BL11" s="438">
        <v>10910.28</v>
      </c>
      <c r="BM11" s="438">
        <v>94701.75</v>
      </c>
      <c r="BN11" s="438">
        <v>80736.039999999994</v>
      </c>
      <c r="BO11" s="438">
        <v>120304.42</v>
      </c>
      <c r="BP11" s="438">
        <v>27910.639999999999</v>
      </c>
      <c r="BQ11" s="438">
        <v>0</v>
      </c>
      <c r="BR11" s="438">
        <v>0</v>
      </c>
      <c r="BS11" s="438">
        <v>0</v>
      </c>
      <c r="BT11" s="438">
        <v>0</v>
      </c>
      <c r="BU11" s="438">
        <v>0</v>
      </c>
      <c r="BV11" s="438">
        <v>23518</v>
      </c>
      <c r="BW11" s="438">
        <v>0</v>
      </c>
      <c r="BX11" s="438">
        <v>0</v>
      </c>
      <c r="BY11" s="438">
        <v>6000</v>
      </c>
      <c r="BZ11" s="438">
        <v>0</v>
      </c>
      <c r="CA11" s="438">
        <v>8225</v>
      </c>
      <c r="CB11" s="438">
        <v>0</v>
      </c>
      <c r="CC11" s="438">
        <v>0</v>
      </c>
      <c r="CD11" s="438">
        <v>0</v>
      </c>
      <c r="CE11" s="438">
        <v>44779</v>
      </c>
      <c r="CF11" s="438">
        <v>15293</v>
      </c>
      <c r="CG11" s="438">
        <v>0</v>
      </c>
      <c r="CH11" s="438">
        <v>0</v>
      </c>
      <c r="CI11" s="438">
        <v>0</v>
      </c>
      <c r="CJ11" s="111">
        <f t="shared" si="0"/>
        <v>44779</v>
      </c>
      <c r="CK11" s="111">
        <f t="shared" si="1"/>
        <v>15293</v>
      </c>
      <c r="CL11" s="111">
        <f t="shared" si="2"/>
        <v>44779</v>
      </c>
    </row>
    <row r="12" spans="1:91" ht="26.4">
      <c r="A12" s="435">
        <v>302</v>
      </c>
      <c r="B12" s="435">
        <v>2009</v>
      </c>
      <c r="C12" s="435" t="s">
        <v>43</v>
      </c>
      <c r="D12" s="435" t="s">
        <v>594</v>
      </c>
      <c r="E12" s="435"/>
      <c r="F12" s="435" t="s">
        <v>588</v>
      </c>
      <c r="G12" s="435">
        <v>0</v>
      </c>
      <c r="H12" s="435">
        <v>1</v>
      </c>
      <c r="I12" s="435" t="s">
        <v>695</v>
      </c>
      <c r="J12" s="435" t="s">
        <v>590</v>
      </c>
      <c r="K12" s="435" t="s">
        <v>591</v>
      </c>
      <c r="L12" s="435" t="s">
        <v>592</v>
      </c>
      <c r="M12" s="435" t="s">
        <v>591</v>
      </c>
      <c r="N12" s="435" t="s">
        <v>593</v>
      </c>
      <c r="O12" s="435" t="s">
        <v>188</v>
      </c>
      <c r="P12" s="435" t="s">
        <v>188</v>
      </c>
      <c r="Q12" s="438">
        <v>153776</v>
      </c>
      <c r="R12" s="438">
        <v>0</v>
      </c>
      <c r="S12" s="438">
        <v>3900</v>
      </c>
      <c r="T12" s="438">
        <v>2330811.54</v>
      </c>
      <c r="U12" s="438">
        <v>0</v>
      </c>
      <c r="V12" s="438">
        <v>140651.39000000001</v>
      </c>
      <c r="W12" s="438">
        <v>0</v>
      </c>
      <c r="X12" s="438">
        <v>112850.04</v>
      </c>
      <c r="Y12" s="438">
        <v>0</v>
      </c>
      <c r="Z12" s="438">
        <v>6145</v>
      </c>
      <c r="AA12" s="438">
        <v>10362.1</v>
      </c>
      <c r="AB12" s="438">
        <v>108233.60000000001</v>
      </c>
      <c r="AC12" s="438">
        <v>32586.71</v>
      </c>
      <c r="AD12" s="438">
        <v>0</v>
      </c>
      <c r="AE12" s="438">
        <v>0</v>
      </c>
      <c r="AF12" s="438">
        <v>66878.759999999995</v>
      </c>
      <c r="AG12" s="438">
        <v>25115.97</v>
      </c>
      <c r="AH12" s="438">
        <v>0</v>
      </c>
      <c r="AI12" s="438">
        <v>0</v>
      </c>
      <c r="AJ12" s="438">
        <v>0</v>
      </c>
      <c r="AK12" s="438">
        <v>0</v>
      </c>
      <c r="AL12" s="438">
        <v>0</v>
      </c>
      <c r="AM12" s="438">
        <v>32539</v>
      </c>
      <c r="AN12" s="438">
        <v>71667</v>
      </c>
      <c r="AO12" s="438">
        <v>1452402.63</v>
      </c>
      <c r="AP12" s="438">
        <v>0</v>
      </c>
      <c r="AQ12" s="438">
        <v>624750.86</v>
      </c>
      <c r="AR12" s="438">
        <v>42960.23</v>
      </c>
      <c r="AS12" s="438">
        <v>107692.62</v>
      </c>
      <c r="AT12" s="438">
        <v>0</v>
      </c>
      <c r="AU12" s="438">
        <v>104752.62</v>
      </c>
      <c r="AV12" s="438">
        <v>14248.67</v>
      </c>
      <c r="AW12" s="438">
        <v>17566.14</v>
      </c>
      <c r="AX12" s="438">
        <v>698.86</v>
      </c>
      <c r="AY12" s="438">
        <v>0</v>
      </c>
      <c r="AZ12" s="438">
        <v>27266.97</v>
      </c>
      <c r="BA12" s="438">
        <v>5037.28</v>
      </c>
      <c r="BB12" s="438">
        <v>47839.11</v>
      </c>
      <c r="BC12" s="438">
        <v>10085.89</v>
      </c>
      <c r="BD12" s="438">
        <v>36146.53</v>
      </c>
      <c r="BE12" s="438">
        <v>38400</v>
      </c>
      <c r="BF12" s="438">
        <v>20787.87</v>
      </c>
      <c r="BG12" s="438">
        <v>126490.26</v>
      </c>
      <c r="BH12" s="438">
        <v>9831.42</v>
      </c>
      <c r="BI12" s="438">
        <v>0</v>
      </c>
      <c r="BJ12" s="438">
        <v>25668.44</v>
      </c>
      <c r="BK12" s="438">
        <v>18021.689999999999</v>
      </c>
      <c r="BL12" s="438">
        <v>32125.14</v>
      </c>
      <c r="BM12" s="438">
        <v>110764.42</v>
      </c>
      <c r="BN12" s="438">
        <v>86319.8</v>
      </c>
      <c r="BO12" s="438">
        <v>126224.62</v>
      </c>
      <c r="BP12" s="438">
        <v>33079.040000000001</v>
      </c>
      <c r="BQ12" s="438">
        <v>0</v>
      </c>
      <c r="BR12" s="438">
        <v>0</v>
      </c>
      <c r="BS12" s="438">
        <v>0</v>
      </c>
      <c r="BT12" s="438">
        <v>0</v>
      </c>
      <c r="BU12" s="438">
        <v>0</v>
      </c>
      <c r="BV12" s="438">
        <v>28132.98</v>
      </c>
      <c r="BW12" s="438">
        <v>0</v>
      </c>
      <c r="BX12" s="438">
        <v>0</v>
      </c>
      <c r="BY12" s="438">
        <v>6000</v>
      </c>
      <c r="BZ12" s="438">
        <v>0</v>
      </c>
      <c r="CA12" s="438">
        <v>6943.98</v>
      </c>
      <c r="CB12" s="438">
        <v>0</v>
      </c>
      <c r="CC12" s="438">
        <v>9712</v>
      </c>
      <c r="CD12" s="438">
        <v>0</v>
      </c>
      <c r="CE12" s="438">
        <v>-27544</v>
      </c>
      <c r="CF12" s="438">
        <v>15377</v>
      </c>
      <c r="CG12" s="438">
        <v>0</v>
      </c>
      <c r="CH12" s="438">
        <v>0</v>
      </c>
      <c r="CI12" s="438">
        <v>0</v>
      </c>
      <c r="CJ12" s="111">
        <f t="shared" si="0"/>
        <v>-27544</v>
      </c>
      <c r="CK12" s="111">
        <f t="shared" si="1"/>
        <v>15377</v>
      </c>
      <c r="CL12" s="111">
        <f t="shared" si="2"/>
        <v>-27544</v>
      </c>
    </row>
    <row r="13" spans="1:91" ht="26.4">
      <c r="A13" s="435">
        <v>302</v>
      </c>
      <c r="B13" s="435">
        <v>2011</v>
      </c>
      <c r="C13" s="435" t="s">
        <v>47</v>
      </c>
      <c r="D13" s="435" t="s">
        <v>594</v>
      </c>
      <c r="E13" s="435"/>
      <c r="F13" s="435" t="s">
        <v>588</v>
      </c>
      <c r="G13" s="435">
        <v>0</v>
      </c>
      <c r="H13" s="435">
        <v>1</v>
      </c>
      <c r="I13" s="435" t="s">
        <v>695</v>
      </c>
      <c r="J13" s="435" t="s">
        <v>590</v>
      </c>
      <c r="K13" s="435" t="s">
        <v>591</v>
      </c>
      <c r="L13" s="435" t="s">
        <v>592</v>
      </c>
      <c r="M13" s="435" t="s">
        <v>591</v>
      </c>
      <c r="N13" s="435" t="s">
        <v>593</v>
      </c>
      <c r="O13" s="435" t="s">
        <v>188</v>
      </c>
      <c r="P13" s="435" t="s">
        <v>188</v>
      </c>
      <c r="Q13" s="438">
        <v>-175796</v>
      </c>
      <c r="R13" s="438">
        <v>0</v>
      </c>
      <c r="S13" s="438">
        <v>14611</v>
      </c>
      <c r="T13" s="438">
        <v>1055705.75</v>
      </c>
      <c r="U13" s="438">
        <v>0</v>
      </c>
      <c r="V13" s="438">
        <v>23055.27</v>
      </c>
      <c r="W13" s="438">
        <v>0</v>
      </c>
      <c r="X13" s="438">
        <v>44320.03</v>
      </c>
      <c r="Y13" s="438">
        <v>0</v>
      </c>
      <c r="Z13" s="438">
        <v>4566.95</v>
      </c>
      <c r="AA13" s="438">
        <v>7731.62</v>
      </c>
      <c r="AB13" s="438">
        <v>48204.63</v>
      </c>
      <c r="AC13" s="438">
        <v>20937.3</v>
      </c>
      <c r="AD13" s="438">
        <v>0</v>
      </c>
      <c r="AE13" s="438">
        <v>0</v>
      </c>
      <c r="AF13" s="438">
        <v>25064.04</v>
      </c>
      <c r="AG13" s="438">
        <v>15120.89</v>
      </c>
      <c r="AH13" s="438">
        <v>0</v>
      </c>
      <c r="AI13" s="438">
        <v>0</v>
      </c>
      <c r="AJ13" s="438">
        <v>0</v>
      </c>
      <c r="AK13" s="438">
        <v>0</v>
      </c>
      <c r="AL13" s="438">
        <v>0</v>
      </c>
      <c r="AM13" s="438">
        <v>12018.88</v>
      </c>
      <c r="AN13" s="438">
        <v>45070</v>
      </c>
      <c r="AO13" s="438">
        <v>501993.63</v>
      </c>
      <c r="AP13" s="438">
        <v>0</v>
      </c>
      <c r="AQ13" s="438">
        <v>265994.15999999997</v>
      </c>
      <c r="AR13" s="438">
        <v>45101.23</v>
      </c>
      <c r="AS13" s="438">
        <v>50101.14</v>
      </c>
      <c r="AT13" s="438">
        <v>0</v>
      </c>
      <c r="AU13" s="438">
        <v>72067.98</v>
      </c>
      <c r="AV13" s="438">
        <v>10523.1</v>
      </c>
      <c r="AW13" s="438">
        <v>3111.72</v>
      </c>
      <c r="AX13" s="438">
        <v>345.28</v>
      </c>
      <c r="AY13" s="438">
        <v>0</v>
      </c>
      <c r="AZ13" s="438">
        <v>14516.75</v>
      </c>
      <c r="BA13" s="438">
        <v>3974.47</v>
      </c>
      <c r="BB13" s="438">
        <v>20707.39</v>
      </c>
      <c r="BC13" s="438">
        <v>810.01</v>
      </c>
      <c r="BD13" s="438">
        <v>29385.74</v>
      </c>
      <c r="BE13" s="438">
        <v>20958</v>
      </c>
      <c r="BF13" s="438">
        <v>7667.58</v>
      </c>
      <c r="BG13" s="438">
        <v>74781.91</v>
      </c>
      <c r="BH13" s="438">
        <v>8534.7900000000009</v>
      </c>
      <c r="BI13" s="438">
        <v>0</v>
      </c>
      <c r="BJ13" s="438">
        <v>12351.04</v>
      </c>
      <c r="BK13" s="438">
        <v>7258.12</v>
      </c>
      <c r="BL13" s="438">
        <v>16279.23</v>
      </c>
      <c r="BM13" s="438">
        <v>54849.98</v>
      </c>
      <c r="BN13" s="438">
        <v>3556.62</v>
      </c>
      <c r="BO13" s="438">
        <v>44596.79</v>
      </c>
      <c r="BP13" s="438">
        <v>21978.7</v>
      </c>
      <c r="BQ13" s="438">
        <v>645</v>
      </c>
      <c r="BR13" s="438">
        <v>0</v>
      </c>
      <c r="BS13" s="438">
        <v>0</v>
      </c>
      <c r="BT13" s="438">
        <v>0</v>
      </c>
      <c r="BU13" s="438">
        <v>0</v>
      </c>
      <c r="BV13" s="438">
        <v>20605.939999999999</v>
      </c>
      <c r="BW13" s="438">
        <v>41256.36</v>
      </c>
      <c r="BX13" s="438">
        <v>0</v>
      </c>
      <c r="BY13" s="438">
        <v>6000</v>
      </c>
      <c r="BZ13" s="438">
        <v>0</v>
      </c>
      <c r="CA13" s="438">
        <v>53072.3</v>
      </c>
      <c r="CB13" s="438">
        <v>0</v>
      </c>
      <c r="CC13" s="438">
        <v>0</v>
      </c>
      <c r="CD13" s="438">
        <v>0</v>
      </c>
      <c r="CE13" s="438">
        <v>-166091</v>
      </c>
      <c r="CF13" s="438">
        <v>23401</v>
      </c>
      <c r="CG13" s="438">
        <v>0</v>
      </c>
      <c r="CH13" s="438">
        <v>0</v>
      </c>
      <c r="CI13" s="438">
        <v>0</v>
      </c>
      <c r="CJ13" s="111">
        <f t="shared" si="0"/>
        <v>-166091</v>
      </c>
      <c r="CK13" s="111">
        <f t="shared" si="1"/>
        <v>23401</v>
      </c>
      <c r="CL13" s="111">
        <f t="shared" si="2"/>
        <v>-166091</v>
      </c>
    </row>
    <row r="14" spans="1:91" ht="26.4">
      <c r="A14" s="435">
        <v>302</v>
      </c>
      <c r="B14" s="435">
        <v>2014</v>
      </c>
      <c r="C14" s="435" t="s">
        <v>49</v>
      </c>
      <c r="D14" s="435" t="s">
        <v>594</v>
      </c>
      <c r="E14" s="435"/>
      <c r="F14" s="435" t="s">
        <v>588</v>
      </c>
      <c r="G14" s="435">
        <v>0</v>
      </c>
      <c r="H14" s="435">
        <v>0</v>
      </c>
      <c r="I14" s="435" t="s">
        <v>695</v>
      </c>
      <c r="J14" s="435" t="s">
        <v>590</v>
      </c>
      <c r="K14" s="435" t="s">
        <v>591</v>
      </c>
      <c r="L14" s="435" t="s">
        <v>592</v>
      </c>
      <c r="M14" s="435" t="s">
        <v>591</v>
      </c>
      <c r="N14" s="435" t="s">
        <v>593</v>
      </c>
      <c r="O14" s="435" t="s">
        <v>188</v>
      </c>
      <c r="P14" s="435" t="s">
        <v>188</v>
      </c>
      <c r="Q14" s="438">
        <v>346008</v>
      </c>
      <c r="R14" s="438">
        <v>0</v>
      </c>
      <c r="S14" s="438">
        <v>34373</v>
      </c>
      <c r="T14" s="438">
        <v>3633013.93</v>
      </c>
      <c r="U14" s="438">
        <v>0</v>
      </c>
      <c r="V14" s="438">
        <v>256596.64</v>
      </c>
      <c r="W14" s="438">
        <v>0</v>
      </c>
      <c r="X14" s="438">
        <v>287503.02</v>
      </c>
      <c r="Y14" s="438">
        <v>0</v>
      </c>
      <c r="Z14" s="438">
        <v>7041.23</v>
      </c>
      <c r="AA14" s="438">
        <v>60249.93</v>
      </c>
      <c r="AB14" s="438">
        <v>26613.119999999999</v>
      </c>
      <c r="AC14" s="438">
        <v>41200.089999999997</v>
      </c>
      <c r="AD14" s="438">
        <v>0</v>
      </c>
      <c r="AE14" s="438">
        <v>0</v>
      </c>
      <c r="AF14" s="438">
        <v>77138.89</v>
      </c>
      <c r="AG14" s="438">
        <v>4567.93</v>
      </c>
      <c r="AH14" s="438">
        <v>0</v>
      </c>
      <c r="AI14" s="438">
        <v>0</v>
      </c>
      <c r="AJ14" s="438">
        <v>0</v>
      </c>
      <c r="AK14" s="438">
        <v>0</v>
      </c>
      <c r="AL14" s="438">
        <v>0</v>
      </c>
      <c r="AM14" s="438">
        <v>65765.25</v>
      </c>
      <c r="AN14" s="438">
        <v>91617</v>
      </c>
      <c r="AO14" s="438">
        <v>2072161.98</v>
      </c>
      <c r="AP14" s="438">
        <v>0</v>
      </c>
      <c r="AQ14" s="438">
        <v>1094313.8799999999</v>
      </c>
      <c r="AR14" s="438">
        <v>173580.85</v>
      </c>
      <c r="AS14" s="438">
        <v>169251.89</v>
      </c>
      <c r="AT14" s="438">
        <v>0</v>
      </c>
      <c r="AU14" s="438">
        <v>80457.679999999993</v>
      </c>
      <c r="AV14" s="438">
        <v>25200.07</v>
      </c>
      <c r="AW14" s="438">
        <v>3857.24</v>
      </c>
      <c r="AX14" s="438">
        <v>1040.82</v>
      </c>
      <c r="AY14" s="438">
        <v>0</v>
      </c>
      <c r="AZ14" s="438">
        <v>120812.04</v>
      </c>
      <c r="BA14" s="438">
        <v>15999.47</v>
      </c>
      <c r="BB14" s="438">
        <v>14172.09</v>
      </c>
      <c r="BC14" s="438">
        <v>10475.36</v>
      </c>
      <c r="BD14" s="438">
        <v>109617.82</v>
      </c>
      <c r="BE14" s="438">
        <v>105984</v>
      </c>
      <c r="BF14" s="438">
        <v>16435.34</v>
      </c>
      <c r="BG14" s="438">
        <v>104481.76</v>
      </c>
      <c r="BH14" s="438">
        <v>34341.589999999997</v>
      </c>
      <c r="BI14" s="438">
        <v>0</v>
      </c>
      <c r="BJ14" s="438">
        <v>66968.899999999994</v>
      </c>
      <c r="BK14" s="438">
        <v>22242.03</v>
      </c>
      <c r="BL14" s="438">
        <v>18638.61</v>
      </c>
      <c r="BM14" s="438">
        <v>157860.41</v>
      </c>
      <c r="BN14" s="438">
        <v>44507.67</v>
      </c>
      <c r="BO14" s="438">
        <v>168960.17</v>
      </c>
      <c r="BP14" s="438">
        <v>69786.36</v>
      </c>
      <c r="BQ14" s="438">
        <v>0</v>
      </c>
      <c r="BR14" s="438">
        <v>0</v>
      </c>
      <c r="BS14" s="438">
        <v>0</v>
      </c>
      <c r="BT14" s="438">
        <v>0</v>
      </c>
      <c r="BU14" s="438">
        <v>0</v>
      </c>
      <c r="BV14" s="438">
        <v>35134.03</v>
      </c>
      <c r="BW14" s="438">
        <v>0</v>
      </c>
      <c r="BX14" s="438">
        <v>0</v>
      </c>
      <c r="BY14" s="438">
        <v>6000</v>
      </c>
      <c r="BZ14" s="438">
        <v>0</v>
      </c>
      <c r="CA14" s="438">
        <v>39327.03</v>
      </c>
      <c r="CB14" s="438">
        <v>0</v>
      </c>
      <c r="CC14" s="438">
        <v>26040</v>
      </c>
      <c r="CD14" s="438">
        <v>930</v>
      </c>
      <c r="CE14" s="438">
        <v>195237</v>
      </c>
      <c r="CF14" s="438">
        <v>4140</v>
      </c>
      <c r="CG14" s="438">
        <v>0</v>
      </c>
      <c r="CH14" s="438">
        <v>0</v>
      </c>
      <c r="CI14" s="438">
        <v>0</v>
      </c>
      <c r="CJ14" s="111">
        <f t="shared" si="0"/>
        <v>196167</v>
      </c>
      <c r="CK14" s="111">
        <f t="shared" si="1"/>
        <v>4140</v>
      </c>
      <c r="CL14" s="111">
        <f t="shared" si="2"/>
        <v>196167</v>
      </c>
    </row>
    <row r="15" spans="1:91" ht="26.4">
      <c r="A15" s="435">
        <v>302</v>
      </c>
      <c r="B15" s="435">
        <v>2015</v>
      </c>
      <c r="C15" s="435" t="s">
        <v>50</v>
      </c>
      <c r="D15" s="435" t="s">
        <v>594</v>
      </c>
      <c r="E15" s="435"/>
      <c r="F15" s="435" t="s">
        <v>588</v>
      </c>
      <c r="G15" s="435">
        <v>0</v>
      </c>
      <c r="H15" s="435">
        <v>1</v>
      </c>
      <c r="I15" s="435" t="s">
        <v>695</v>
      </c>
      <c r="J15" s="435" t="s">
        <v>590</v>
      </c>
      <c r="K15" s="435" t="s">
        <v>591</v>
      </c>
      <c r="L15" s="435" t="s">
        <v>592</v>
      </c>
      <c r="M15" s="435" t="s">
        <v>591</v>
      </c>
      <c r="N15" s="435" t="s">
        <v>593</v>
      </c>
      <c r="O15" s="435" t="s">
        <v>188</v>
      </c>
      <c r="P15" s="435" t="s">
        <v>188</v>
      </c>
      <c r="Q15" s="438">
        <v>231947</v>
      </c>
      <c r="R15" s="438">
        <v>156195</v>
      </c>
      <c r="S15" s="438">
        <v>17962</v>
      </c>
      <c r="T15" s="438">
        <v>1558502.35</v>
      </c>
      <c r="U15" s="438">
        <v>0</v>
      </c>
      <c r="V15" s="438">
        <v>450578.26</v>
      </c>
      <c r="W15" s="438">
        <v>0</v>
      </c>
      <c r="X15" s="438">
        <v>107015.61</v>
      </c>
      <c r="Y15" s="438">
        <v>1200</v>
      </c>
      <c r="Z15" s="438">
        <v>6859.6</v>
      </c>
      <c r="AA15" s="438">
        <v>28767.85</v>
      </c>
      <c r="AB15" s="438">
        <v>3226</v>
      </c>
      <c r="AC15" s="438">
        <v>15846.56</v>
      </c>
      <c r="AD15" s="438">
        <v>4000</v>
      </c>
      <c r="AE15" s="438">
        <v>0</v>
      </c>
      <c r="AF15" s="438">
        <v>42881.79</v>
      </c>
      <c r="AG15" s="438">
        <v>9917.6299999999992</v>
      </c>
      <c r="AH15" s="438">
        <v>0</v>
      </c>
      <c r="AI15" s="438">
        <v>207079.02</v>
      </c>
      <c r="AJ15" s="438">
        <v>13410</v>
      </c>
      <c r="AK15" s="438">
        <v>0</v>
      </c>
      <c r="AL15" s="438">
        <v>0</v>
      </c>
      <c r="AM15" s="438">
        <v>26027.39</v>
      </c>
      <c r="AN15" s="438">
        <v>49817</v>
      </c>
      <c r="AO15" s="438">
        <v>1028351.63</v>
      </c>
      <c r="AP15" s="438">
        <v>0</v>
      </c>
      <c r="AQ15" s="438">
        <v>756607.16</v>
      </c>
      <c r="AR15" s="438">
        <v>59514.38</v>
      </c>
      <c r="AS15" s="438">
        <v>93000.78</v>
      </c>
      <c r="AT15" s="438">
        <v>46937.02</v>
      </c>
      <c r="AU15" s="438">
        <v>12424.79</v>
      </c>
      <c r="AV15" s="438">
        <v>29497.360000000001</v>
      </c>
      <c r="AW15" s="438">
        <v>8684.09</v>
      </c>
      <c r="AX15" s="438">
        <v>12997.25</v>
      </c>
      <c r="AY15" s="438">
        <v>5069.8100000000004</v>
      </c>
      <c r="AZ15" s="438">
        <v>19986.32</v>
      </c>
      <c r="BA15" s="438">
        <v>5420.42</v>
      </c>
      <c r="BB15" s="438">
        <v>42218.98</v>
      </c>
      <c r="BC15" s="438">
        <v>5944.32</v>
      </c>
      <c r="BD15" s="438">
        <v>16744.97</v>
      </c>
      <c r="BE15" s="438">
        <v>37120</v>
      </c>
      <c r="BF15" s="438">
        <v>16065.42</v>
      </c>
      <c r="BG15" s="438">
        <v>68421.03</v>
      </c>
      <c r="BH15" s="438">
        <v>25060.66</v>
      </c>
      <c r="BI15" s="438">
        <v>0</v>
      </c>
      <c r="BJ15" s="438">
        <v>31177.31</v>
      </c>
      <c r="BK15" s="438">
        <v>7187.78</v>
      </c>
      <c r="BL15" s="438">
        <v>4200.97</v>
      </c>
      <c r="BM15" s="438">
        <v>34826.92</v>
      </c>
      <c r="BN15" s="438">
        <v>46621.06</v>
      </c>
      <c r="BO15" s="438">
        <v>160792.26</v>
      </c>
      <c r="BP15" s="438">
        <v>66099.350000000006</v>
      </c>
      <c r="BQ15" s="438">
        <v>465</v>
      </c>
      <c r="BR15" s="438">
        <v>0</v>
      </c>
      <c r="BS15" s="438">
        <v>0</v>
      </c>
      <c r="BT15" s="438">
        <v>137272.69</v>
      </c>
      <c r="BU15" s="438">
        <v>193530.33</v>
      </c>
      <c r="BV15" s="438">
        <v>21521</v>
      </c>
      <c r="BW15" s="438">
        <v>0</v>
      </c>
      <c r="BX15" s="438">
        <v>65663.429999999993</v>
      </c>
      <c r="BY15" s="438">
        <v>6000</v>
      </c>
      <c r="BZ15" s="438">
        <v>0</v>
      </c>
      <c r="CA15" s="438">
        <v>90327.43</v>
      </c>
      <c r="CB15" s="438">
        <v>0</v>
      </c>
      <c r="CC15" s="438">
        <v>0</v>
      </c>
      <c r="CD15" s="438">
        <v>0</v>
      </c>
      <c r="CE15" s="438">
        <v>-104850</v>
      </c>
      <c r="CF15" s="438">
        <v>14819</v>
      </c>
      <c r="CG15" s="438">
        <v>0</v>
      </c>
      <c r="CH15" s="438">
        <v>45881</v>
      </c>
      <c r="CI15" s="438">
        <v>0</v>
      </c>
      <c r="CJ15" s="111">
        <f t="shared" si="0"/>
        <v>-58969</v>
      </c>
      <c r="CK15" s="111">
        <f t="shared" si="1"/>
        <v>14819</v>
      </c>
      <c r="CL15" s="111">
        <f t="shared" si="2"/>
        <v>-104850</v>
      </c>
    </row>
    <row r="16" spans="1:91" ht="26.4">
      <c r="A16" s="435">
        <v>302</v>
      </c>
      <c r="B16" s="435">
        <v>2016</v>
      </c>
      <c r="C16" s="435" t="s">
        <v>52</v>
      </c>
      <c r="D16" s="435" t="s">
        <v>594</v>
      </c>
      <c r="E16" s="435"/>
      <c r="F16" s="435" t="s">
        <v>588</v>
      </c>
      <c r="G16" s="435">
        <v>0</v>
      </c>
      <c r="H16" s="435">
        <v>0</v>
      </c>
      <c r="I16" s="435" t="s">
        <v>695</v>
      </c>
      <c r="J16" s="435" t="s">
        <v>590</v>
      </c>
      <c r="K16" s="435" t="s">
        <v>591</v>
      </c>
      <c r="L16" s="435" t="s">
        <v>592</v>
      </c>
      <c r="M16" s="435" t="s">
        <v>591</v>
      </c>
      <c r="N16" s="435" t="s">
        <v>593</v>
      </c>
      <c r="O16" s="435" t="s">
        <v>188</v>
      </c>
      <c r="P16" s="435" t="s">
        <v>188</v>
      </c>
      <c r="Q16" s="438">
        <v>107748</v>
      </c>
      <c r="R16" s="438">
        <v>0</v>
      </c>
      <c r="S16" s="438">
        <v>3368</v>
      </c>
      <c r="T16" s="438">
        <v>1048553.31</v>
      </c>
      <c r="U16" s="438">
        <v>0</v>
      </c>
      <c r="V16" s="438">
        <v>42673.33</v>
      </c>
      <c r="W16" s="438">
        <v>0</v>
      </c>
      <c r="X16" s="438">
        <v>47599.01</v>
      </c>
      <c r="Y16" s="438">
        <v>930</v>
      </c>
      <c r="Z16" s="438">
        <v>1562.91</v>
      </c>
      <c r="AA16" s="438">
        <v>1129</v>
      </c>
      <c r="AB16" s="438">
        <v>3078.83</v>
      </c>
      <c r="AC16" s="438">
        <v>14505.11</v>
      </c>
      <c r="AD16" s="438">
        <v>0</v>
      </c>
      <c r="AE16" s="438">
        <v>0</v>
      </c>
      <c r="AF16" s="438">
        <v>22179.4</v>
      </c>
      <c r="AG16" s="438">
        <v>10690.51</v>
      </c>
      <c r="AH16" s="438">
        <v>0</v>
      </c>
      <c r="AI16" s="438">
        <v>0</v>
      </c>
      <c r="AJ16" s="438">
        <v>0</v>
      </c>
      <c r="AK16" s="438">
        <v>0</v>
      </c>
      <c r="AL16" s="438">
        <v>3770</v>
      </c>
      <c r="AM16" s="438">
        <v>3923</v>
      </c>
      <c r="AN16" s="438">
        <v>51775.63</v>
      </c>
      <c r="AO16" s="438">
        <v>572459.87</v>
      </c>
      <c r="AP16" s="438">
        <v>7164.7</v>
      </c>
      <c r="AQ16" s="438">
        <v>215225.66</v>
      </c>
      <c r="AR16" s="438">
        <v>38456.81</v>
      </c>
      <c r="AS16" s="438">
        <v>67702.48</v>
      </c>
      <c r="AT16" s="438">
        <v>0</v>
      </c>
      <c r="AU16" s="438">
        <v>18976.71</v>
      </c>
      <c r="AV16" s="438">
        <v>6223.05</v>
      </c>
      <c r="AW16" s="438">
        <v>2739.17</v>
      </c>
      <c r="AX16" s="438">
        <v>348.6</v>
      </c>
      <c r="AY16" s="438">
        <v>0</v>
      </c>
      <c r="AZ16" s="438">
        <v>15957.76</v>
      </c>
      <c r="BA16" s="438">
        <v>5979.67</v>
      </c>
      <c r="BB16" s="438">
        <v>21394.44</v>
      </c>
      <c r="BC16" s="438">
        <v>5016.38</v>
      </c>
      <c r="BD16" s="438">
        <v>24797.59</v>
      </c>
      <c r="BE16" s="438">
        <v>20833.25</v>
      </c>
      <c r="BF16" s="438">
        <v>7438.95</v>
      </c>
      <c r="BG16" s="438">
        <v>63843.5</v>
      </c>
      <c r="BH16" s="438">
        <v>6889.61</v>
      </c>
      <c r="BI16" s="438">
        <v>0</v>
      </c>
      <c r="BJ16" s="438">
        <v>9476.93</v>
      </c>
      <c r="BK16" s="438">
        <v>7913.94</v>
      </c>
      <c r="BL16" s="438">
        <v>700</v>
      </c>
      <c r="BM16" s="438">
        <v>47656.37</v>
      </c>
      <c r="BN16" s="438">
        <v>11411.67</v>
      </c>
      <c r="BO16" s="438">
        <v>106168.15</v>
      </c>
      <c r="BP16" s="438">
        <v>19590.78</v>
      </c>
      <c r="BQ16" s="438">
        <v>0</v>
      </c>
      <c r="BR16" s="438">
        <v>0</v>
      </c>
      <c r="BS16" s="438">
        <v>0</v>
      </c>
      <c r="BT16" s="438">
        <v>0</v>
      </c>
      <c r="BU16" s="438">
        <v>0</v>
      </c>
      <c r="BV16" s="438">
        <v>20606</v>
      </c>
      <c r="BW16" s="438">
        <v>0</v>
      </c>
      <c r="BX16" s="438">
        <v>0</v>
      </c>
      <c r="BY16" s="438">
        <v>6000</v>
      </c>
      <c r="BZ16" s="438">
        <v>0</v>
      </c>
      <c r="CA16" s="438">
        <v>0</v>
      </c>
      <c r="CB16" s="438">
        <v>0</v>
      </c>
      <c r="CC16" s="438">
        <v>0</v>
      </c>
      <c r="CD16" s="438">
        <v>0</v>
      </c>
      <c r="CE16" s="438">
        <v>55752</v>
      </c>
      <c r="CF16" s="438">
        <v>23974</v>
      </c>
      <c r="CG16" s="438">
        <v>0</v>
      </c>
      <c r="CH16" s="438">
        <v>0</v>
      </c>
      <c r="CI16" s="438">
        <v>0</v>
      </c>
      <c r="CJ16" s="111">
        <f t="shared" si="0"/>
        <v>55752</v>
      </c>
      <c r="CK16" s="111">
        <f t="shared" si="1"/>
        <v>23974</v>
      </c>
      <c r="CL16" s="111">
        <f t="shared" si="2"/>
        <v>55752</v>
      </c>
    </row>
    <row r="17" spans="1:90" ht="26.4">
      <c r="A17" s="435">
        <v>302</v>
      </c>
      <c r="B17" s="435">
        <v>2017</v>
      </c>
      <c r="C17" s="435" t="s">
        <v>53</v>
      </c>
      <c r="D17" s="435" t="s">
        <v>594</v>
      </c>
      <c r="E17" s="435"/>
      <c r="F17" s="435" t="s">
        <v>588</v>
      </c>
      <c r="G17" s="435">
        <v>0</v>
      </c>
      <c r="H17" s="435">
        <v>0</v>
      </c>
      <c r="I17" s="435" t="s">
        <v>695</v>
      </c>
      <c r="J17" s="435" t="s">
        <v>590</v>
      </c>
      <c r="K17" s="435" t="s">
        <v>591</v>
      </c>
      <c r="L17" s="435" t="s">
        <v>592</v>
      </c>
      <c r="M17" s="435" t="s">
        <v>591</v>
      </c>
      <c r="N17" s="435" t="s">
        <v>593</v>
      </c>
      <c r="O17" s="435" t="s">
        <v>188</v>
      </c>
      <c r="P17" s="435" t="s">
        <v>188</v>
      </c>
      <c r="Q17" s="438">
        <v>134903</v>
      </c>
      <c r="R17" s="438">
        <v>0</v>
      </c>
      <c r="S17" s="438">
        <v>111691</v>
      </c>
      <c r="T17" s="438">
        <v>2031685</v>
      </c>
      <c r="U17" s="438">
        <v>0</v>
      </c>
      <c r="V17" s="438">
        <v>107510</v>
      </c>
      <c r="W17" s="438">
        <v>0</v>
      </c>
      <c r="X17" s="438">
        <v>139386</v>
      </c>
      <c r="Y17" s="438">
        <v>4000</v>
      </c>
      <c r="Z17" s="438">
        <v>7747</v>
      </c>
      <c r="AA17" s="438">
        <v>41.2</v>
      </c>
      <c r="AB17" s="438">
        <v>109553</v>
      </c>
      <c r="AC17" s="438">
        <v>28105</v>
      </c>
      <c r="AD17" s="438">
        <v>24337</v>
      </c>
      <c r="AE17" s="438">
        <v>1070</v>
      </c>
      <c r="AF17" s="438">
        <v>48079</v>
      </c>
      <c r="AG17" s="438">
        <v>14577</v>
      </c>
      <c r="AH17" s="438">
        <v>0</v>
      </c>
      <c r="AI17" s="438">
        <v>0</v>
      </c>
      <c r="AJ17" s="438">
        <v>0</v>
      </c>
      <c r="AK17" s="438">
        <v>0</v>
      </c>
      <c r="AL17" s="438">
        <v>0</v>
      </c>
      <c r="AM17" s="438">
        <v>0</v>
      </c>
      <c r="AN17" s="438">
        <v>93165</v>
      </c>
      <c r="AO17" s="438">
        <v>1154876.2</v>
      </c>
      <c r="AP17" s="438">
        <v>0</v>
      </c>
      <c r="AQ17" s="438">
        <v>558986</v>
      </c>
      <c r="AR17" s="438">
        <v>40115</v>
      </c>
      <c r="AS17" s="438">
        <v>81426</v>
      </c>
      <c r="AT17" s="438">
        <v>0</v>
      </c>
      <c r="AU17" s="438">
        <v>104424</v>
      </c>
      <c r="AV17" s="438">
        <v>11066</v>
      </c>
      <c r="AW17" s="438">
        <v>2765</v>
      </c>
      <c r="AX17" s="438">
        <v>18190</v>
      </c>
      <c r="AY17" s="438">
        <v>0</v>
      </c>
      <c r="AZ17" s="438">
        <v>22020</v>
      </c>
      <c r="BA17" s="438">
        <v>5005</v>
      </c>
      <c r="BB17" s="438">
        <v>39038</v>
      </c>
      <c r="BC17" s="438">
        <v>7433</v>
      </c>
      <c r="BD17" s="438">
        <v>49020</v>
      </c>
      <c r="BE17" s="438">
        <v>37376</v>
      </c>
      <c r="BF17" s="438">
        <v>12434</v>
      </c>
      <c r="BG17" s="438">
        <v>55965</v>
      </c>
      <c r="BH17" s="438">
        <v>19886</v>
      </c>
      <c r="BI17" s="438">
        <v>0</v>
      </c>
      <c r="BJ17" s="438">
        <v>20799</v>
      </c>
      <c r="BK17" s="438">
        <v>16509</v>
      </c>
      <c r="BL17" s="438">
        <v>12513</v>
      </c>
      <c r="BM17" s="438">
        <v>117558</v>
      </c>
      <c r="BN17" s="438">
        <v>59592</v>
      </c>
      <c r="BO17" s="438">
        <v>86638</v>
      </c>
      <c r="BP17" s="438">
        <v>56563</v>
      </c>
      <c r="BQ17" s="438">
        <v>0</v>
      </c>
      <c r="BR17" s="438">
        <v>0</v>
      </c>
      <c r="BS17" s="438">
        <v>4519</v>
      </c>
      <c r="BT17" s="438">
        <v>0</v>
      </c>
      <c r="BU17" s="438">
        <v>0</v>
      </c>
      <c r="BV17" s="438">
        <v>26743</v>
      </c>
      <c r="BW17" s="438">
        <v>0</v>
      </c>
      <c r="BX17" s="438">
        <v>4519</v>
      </c>
      <c r="BY17" s="438">
        <v>6000</v>
      </c>
      <c r="BZ17" s="438">
        <v>0</v>
      </c>
      <c r="CA17" s="438">
        <v>127438</v>
      </c>
      <c r="CB17" s="438">
        <v>0</v>
      </c>
      <c r="CC17" s="438">
        <v>5480</v>
      </c>
      <c r="CD17" s="438">
        <v>30877</v>
      </c>
      <c r="CE17" s="438">
        <v>118565</v>
      </c>
      <c r="CF17" s="438">
        <v>10035</v>
      </c>
      <c r="CG17" s="438">
        <v>0</v>
      </c>
      <c r="CH17" s="438">
        <v>0</v>
      </c>
      <c r="CI17" s="438">
        <v>0</v>
      </c>
      <c r="CJ17" s="111">
        <f t="shared" si="0"/>
        <v>149442</v>
      </c>
      <c r="CK17" s="111">
        <f t="shared" si="1"/>
        <v>10035</v>
      </c>
      <c r="CL17" s="111">
        <f t="shared" si="2"/>
        <v>149442</v>
      </c>
    </row>
    <row r="18" spans="1:90" ht="26.4">
      <c r="A18" s="435">
        <v>302</v>
      </c>
      <c r="B18" s="435">
        <v>2019</v>
      </c>
      <c r="C18" s="435" t="s">
        <v>55</v>
      </c>
      <c r="D18" s="435" t="s">
        <v>594</v>
      </c>
      <c r="E18" s="435"/>
      <c r="F18" s="435" t="s">
        <v>588</v>
      </c>
      <c r="G18" s="435">
        <v>0</v>
      </c>
      <c r="H18" s="435">
        <v>2</v>
      </c>
      <c r="I18" s="435" t="s">
        <v>695</v>
      </c>
      <c r="J18" s="435" t="s">
        <v>590</v>
      </c>
      <c r="K18" s="435" t="s">
        <v>591</v>
      </c>
      <c r="L18" s="435" t="s">
        <v>592</v>
      </c>
      <c r="M18" s="435" t="s">
        <v>591</v>
      </c>
      <c r="N18" s="435" t="s">
        <v>593</v>
      </c>
      <c r="O18" s="435" t="s">
        <v>188</v>
      </c>
      <c r="P18" s="435" t="s">
        <v>188</v>
      </c>
      <c r="Q18" s="438">
        <v>-46172</v>
      </c>
      <c r="R18" s="438">
        <v>0</v>
      </c>
      <c r="S18" s="438">
        <v>5158</v>
      </c>
      <c r="T18" s="438">
        <v>1091016.72</v>
      </c>
      <c r="U18" s="438">
        <v>0</v>
      </c>
      <c r="V18" s="438">
        <v>73239.28</v>
      </c>
      <c r="W18" s="438">
        <v>0</v>
      </c>
      <c r="X18" s="438">
        <v>48821.23</v>
      </c>
      <c r="Y18" s="438">
        <v>15843.84</v>
      </c>
      <c r="Z18" s="438">
        <v>2310</v>
      </c>
      <c r="AA18" s="438">
        <v>6806.98</v>
      </c>
      <c r="AB18" s="438">
        <v>11439.02</v>
      </c>
      <c r="AC18" s="438">
        <v>39.950000000000003</v>
      </c>
      <c r="AD18" s="438">
        <v>0</v>
      </c>
      <c r="AE18" s="438">
        <v>0</v>
      </c>
      <c r="AF18" s="438">
        <v>25036</v>
      </c>
      <c r="AG18" s="438">
        <v>2463.2600000000002</v>
      </c>
      <c r="AH18" s="438">
        <v>0</v>
      </c>
      <c r="AI18" s="438">
        <v>0</v>
      </c>
      <c r="AJ18" s="438">
        <v>0</v>
      </c>
      <c r="AK18" s="438">
        <v>0</v>
      </c>
      <c r="AL18" s="438">
        <v>0</v>
      </c>
      <c r="AM18" s="438">
        <v>40321.879999999997</v>
      </c>
      <c r="AN18" s="438">
        <v>90183</v>
      </c>
      <c r="AO18" s="438">
        <v>753588.27</v>
      </c>
      <c r="AP18" s="438">
        <v>870.83</v>
      </c>
      <c r="AQ18" s="438">
        <v>483368.97</v>
      </c>
      <c r="AR18" s="438">
        <v>49393.72</v>
      </c>
      <c r="AS18" s="438">
        <v>90076.74</v>
      </c>
      <c r="AT18" s="438">
        <v>0</v>
      </c>
      <c r="AU18" s="438">
        <v>57517.18</v>
      </c>
      <c r="AV18" s="438">
        <v>8070.58</v>
      </c>
      <c r="AW18" s="438">
        <v>2243.11</v>
      </c>
      <c r="AX18" s="438">
        <v>360.22</v>
      </c>
      <c r="AY18" s="438">
        <v>0</v>
      </c>
      <c r="AZ18" s="438">
        <v>9407.33</v>
      </c>
      <c r="BA18" s="438">
        <v>1400.05</v>
      </c>
      <c r="BB18" s="438">
        <v>1648.62</v>
      </c>
      <c r="BC18" s="438">
        <v>13363.78</v>
      </c>
      <c r="BD18" s="438">
        <v>44036.23</v>
      </c>
      <c r="BE18" s="438">
        <v>17589.75</v>
      </c>
      <c r="BF18" s="438">
        <v>11849.3</v>
      </c>
      <c r="BG18" s="438">
        <v>20573.47</v>
      </c>
      <c r="BH18" s="438">
        <v>13334</v>
      </c>
      <c r="BI18" s="438">
        <v>0</v>
      </c>
      <c r="BJ18" s="438">
        <v>13197.81</v>
      </c>
      <c r="BK18" s="438">
        <v>8496.5300000000007</v>
      </c>
      <c r="BL18" s="438">
        <v>3779.56</v>
      </c>
      <c r="BM18" s="438">
        <v>72763.259999999995</v>
      </c>
      <c r="BN18" s="438">
        <v>28665.4</v>
      </c>
      <c r="BO18" s="438">
        <v>52118.45</v>
      </c>
      <c r="BP18" s="438">
        <v>31817</v>
      </c>
      <c r="BQ18" s="438">
        <v>0</v>
      </c>
      <c r="BR18" s="438">
        <v>0</v>
      </c>
      <c r="BS18" s="438">
        <v>0</v>
      </c>
      <c r="BT18" s="438">
        <v>0</v>
      </c>
      <c r="BU18" s="438">
        <v>0</v>
      </c>
      <c r="BV18" s="438">
        <v>6755</v>
      </c>
      <c r="BW18" s="438">
        <v>0</v>
      </c>
      <c r="BX18" s="438">
        <v>0</v>
      </c>
      <c r="BY18" s="438">
        <v>6000</v>
      </c>
      <c r="BZ18" s="438">
        <v>0</v>
      </c>
      <c r="CA18" s="438">
        <v>0</v>
      </c>
      <c r="CB18" s="438">
        <v>0</v>
      </c>
      <c r="CC18" s="438">
        <v>7296</v>
      </c>
      <c r="CD18" s="438">
        <v>0</v>
      </c>
      <c r="CE18" s="438">
        <v>-428181</v>
      </c>
      <c r="CF18" s="438">
        <v>4617</v>
      </c>
      <c r="CG18" s="438">
        <v>0</v>
      </c>
      <c r="CH18" s="438">
        <v>0</v>
      </c>
      <c r="CI18" s="438">
        <v>0</v>
      </c>
      <c r="CJ18" s="111">
        <f t="shared" ref="CJ18:CJ81" si="3">CD18+CE18+CH18</f>
        <v>-428181</v>
      </c>
      <c r="CK18" s="111">
        <f t="shared" ref="CK18:CK81" si="4">CF18+CG18+CI18</f>
        <v>4617</v>
      </c>
      <c r="CL18" s="111">
        <f t="shared" si="2"/>
        <v>-428181</v>
      </c>
    </row>
    <row r="19" spans="1:90" ht="26.4">
      <c r="A19" s="435">
        <v>302</v>
      </c>
      <c r="B19" s="435">
        <v>2021</v>
      </c>
      <c r="C19" s="435" t="s">
        <v>57</v>
      </c>
      <c r="D19" s="435" t="s">
        <v>594</v>
      </c>
      <c r="E19" s="435"/>
      <c r="F19" s="435" t="s">
        <v>588</v>
      </c>
      <c r="G19" s="435">
        <v>0</v>
      </c>
      <c r="H19" s="435">
        <v>0</v>
      </c>
      <c r="I19" s="435" t="s">
        <v>695</v>
      </c>
      <c r="J19" s="435" t="s">
        <v>590</v>
      </c>
      <c r="K19" s="435" t="s">
        <v>591</v>
      </c>
      <c r="L19" s="435" t="s">
        <v>592</v>
      </c>
      <c r="M19" s="435" t="s">
        <v>591</v>
      </c>
      <c r="N19" s="435" t="s">
        <v>593</v>
      </c>
      <c r="O19" s="435" t="s">
        <v>188</v>
      </c>
      <c r="P19" s="435" t="s">
        <v>188</v>
      </c>
      <c r="Q19" s="438">
        <v>257348</v>
      </c>
      <c r="R19" s="438">
        <v>0</v>
      </c>
      <c r="S19" s="438">
        <v>40579</v>
      </c>
      <c r="T19" s="438">
        <v>2512018.12</v>
      </c>
      <c r="U19" s="438">
        <v>0</v>
      </c>
      <c r="V19" s="438">
        <v>122768.89</v>
      </c>
      <c r="W19" s="438">
        <v>0</v>
      </c>
      <c r="X19" s="438">
        <v>182990</v>
      </c>
      <c r="Y19" s="438">
        <v>0</v>
      </c>
      <c r="Z19" s="438">
        <v>540</v>
      </c>
      <c r="AA19" s="438">
        <v>64831.45</v>
      </c>
      <c r="AB19" s="438">
        <v>48625.65</v>
      </c>
      <c r="AC19" s="438">
        <v>33619.81</v>
      </c>
      <c r="AD19" s="438">
        <v>0</v>
      </c>
      <c r="AE19" s="438">
        <v>0</v>
      </c>
      <c r="AF19" s="438">
        <v>4807.1899999999996</v>
      </c>
      <c r="AG19" s="438">
        <v>8124.86</v>
      </c>
      <c r="AH19" s="438">
        <v>0</v>
      </c>
      <c r="AI19" s="438">
        <v>0</v>
      </c>
      <c r="AJ19" s="438">
        <v>0</v>
      </c>
      <c r="AK19" s="438">
        <v>0</v>
      </c>
      <c r="AL19" s="438">
        <v>0</v>
      </c>
      <c r="AM19" s="438">
        <v>41181.25</v>
      </c>
      <c r="AN19" s="438">
        <v>56510</v>
      </c>
      <c r="AO19" s="438">
        <v>1119619.82</v>
      </c>
      <c r="AP19" s="438">
        <v>0</v>
      </c>
      <c r="AQ19" s="438">
        <v>770644.29</v>
      </c>
      <c r="AR19" s="438">
        <v>90375.12</v>
      </c>
      <c r="AS19" s="438">
        <v>154617.84</v>
      </c>
      <c r="AT19" s="438">
        <v>0</v>
      </c>
      <c r="AU19" s="438">
        <v>40241.42</v>
      </c>
      <c r="AV19" s="438">
        <v>18699.72</v>
      </c>
      <c r="AW19" s="438">
        <v>13036.29</v>
      </c>
      <c r="AX19" s="438">
        <v>688.9</v>
      </c>
      <c r="AY19" s="438">
        <v>1983</v>
      </c>
      <c r="AZ19" s="438">
        <v>32780.160000000003</v>
      </c>
      <c r="BA19" s="438">
        <v>9844.25</v>
      </c>
      <c r="BB19" s="438">
        <v>65919.649999999994</v>
      </c>
      <c r="BC19" s="438">
        <v>9994.3700000000008</v>
      </c>
      <c r="BD19" s="438">
        <v>103740.18</v>
      </c>
      <c r="BE19" s="438">
        <v>58112</v>
      </c>
      <c r="BF19" s="438">
        <v>30144.57</v>
      </c>
      <c r="BG19" s="438">
        <v>107260.74</v>
      </c>
      <c r="BH19" s="438">
        <v>17845.03</v>
      </c>
      <c r="BI19" s="438">
        <v>0</v>
      </c>
      <c r="BJ19" s="438">
        <v>26049.41</v>
      </c>
      <c r="BK19" s="438">
        <v>16167.35</v>
      </c>
      <c r="BL19" s="438">
        <v>3728.06</v>
      </c>
      <c r="BM19" s="438">
        <v>115357.66</v>
      </c>
      <c r="BN19" s="438">
        <v>173921.46</v>
      </c>
      <c r="BO19" s="438">
        <v>154600.76999999999</v>
      </c>
      <c r="BP19" s="438">
        <v>53108.160000000003</v>
      </c>
      <c r="BQ19" s="438">
        <v>0</v>
      </c>
      <c r="BR19" s="438">
        <v>0</v>
      </c>
      <c r="BS19" s="438">
        <v>0</v>
      </c>
      <c r="BT19" s="438">
        <v>0</v>
      </c>
      <c r="BU19" s="438">
        <v>0</v>
      </c>
      <c r="BV19" s="438">
        <v>28954.09</v>
      </c>
      <c r="BW19" s="438">
        <v>0</v>
      </c>
      <c r="BX19" s="438">
        <v>0</v>
      </c>
      <c r="BY19" s="438">
        <v>6000</v>
      </c>
      <c r="BZ19" s="438">
        <v>0</v>
      </c>
      <c r="CA19" s="438">
        <v>48204.45</v>
      </c>
      <c r="CB19" s="438">
        <v>0</v>
      </c>
      <c r="CC19" s="438">
        <v>10651.64</v>
      </c>
      <c r="CD19" s="438">
        <v>0</v>
      </c>
      <c r="CE19" s="438">
        <v>144885</v>
      </c>
      <c r="CF19" s="438">
        <v>10677</v>
      </c>
      <c r="CG19" s="438">
        <v>0</v>
      </c>
      <c r="CH19" s="438">
        <v>0</v>
      </c>
      <c r="CI19" s="438">
        <v>0</v>
      </c>
      <c r="CJ19" s="111">
        <f t="shared" si="3"/>
        <v>144885</v>
      </c>
      <c r="CK19" s="111">
        <f t="shared" si="4"/>
        <v>10677</v>
      </c>
      <c r="CL19" s="111">
        <f t="shared" si="2"/>
        <v>144885</v>
      </c>
    </row>
    <row r="20" spans="1:90" ht="26.4">
      <c r="A20" s="435">
        <v>302</v>
      </c>
      <c r="B20" s="435">
        <v>2023</v>
      </c>
      <c r="C20" s="435" t="s">
        <v>597</v>
      </c>
      <c r="D20" s="435" t="s">
        <v>594</v>
      </c>
      <c r="E20" s="435"/>
      <c r="F20" s="435" t="s">
        <v>588</v>
      </c>
      <c r="G20" s="435">
        <v>0</v>
      </c>
      <c r="H20" s="435">
        <v>0</v>
      </c>
      <c r="I20" s="435" t="s">
        <v>695</v>
      </c>
      <c r="J20" s="435" t="s">
        <v>590</v>
      </c>
      <c r="K20" s="435" t="s">
        <v>591</v>
      </c>
      <c r="L20" s="435" t="s">
        <v>592</v>
      </c>
      <c r="M20" s="435" t="s">
        <v>591</v>
      </c>
      <c r="N20" s="435" t="s">
        <v>593</v>
      </c>
      <c r="O20" s="435" t="s">
        <v>188</v>
      </c>
      <c r="P20" s="435" t="s">
        <v>188</v>
      </c>
      <c r="Q20" s="438">
        <v>86770</v>
      </c>
      <c r="R20" s="438">
        <v>0</v>
      </c>
      <c r="S20" s="438">
        <v>1841</v>
      </c>
      <c r="T20" s="438">
        <v>2563114.88</v>
      </c>
      <c r="U20" s="438">
        <v>0</v>
      </c>
      <c r="V20" s="438">
        <v>140160.99</v>
      </c>
      <c r="W20" s="438">
        <v>0</v>
      </c>
      <c r="X20" s="438">
        <v>2200</v>
      </c>
      <c r="Y20" s="438">
        <v>149293.92000000001</v>
      </c>
      <c r="Z20" s="438">
        <v>238552.5</v>
      </c>
      <c r="AA20" s="438">
        <v>3475</v>
      </c>
      <c r="AB20" s="438">
        <v>11389.28</v>
      </c>
      <c r="AC20" s="438">
        <v>25597.23</v>
      </c>
      <c r="AD20" s="438">
        <v>0</v>
      </c>
      <c r="AE20" s="438">
        <v>0</v>
      </c>
      <c r="AF20" s="438">
        <v>11473.45</v>
      </c>
      <c r="AG20" s="438">
        <v>2290.38</v>
      </c>
      <c r="AH20" s="438">
        <v>0</v>
      </c>
      <c r="AI20" s="438">
        <v>0</v>
      </c>
      <c r="AJ20" s="438">
        <v>0</v>
      </c>
      <c r="AK20" s="438">
        <v>0</v>
      </c>
      <c r="AL20" s="438">
        <v>0</v>
      </c>
      <c r="AM20" s="438">
        <v>105875</v>
      </c>
      <c r="AN20" s="438">
        <v>31308</v>
      </c>
      <c r="AO20" s="438">
        <v>1278180.17</v>
      </c>
      <c r="AP20" s="438">
        <v>0</v>
      </c>
      <c r="AQ20" s="438">
        <v>836033.83</v>
      </c>
      <c r="AR20" s="438">
        <v>56181.27</v>
      </c>
      <c r="AS20" s="438">
        <v>217815.19</v>
      </c>
      <c r="AT20" s="438">
        <v>0</v>
      </c>
      <c r="AU20" s="438">
        <v>40644.019999999997</v>
      </c>
      <c r="AV20" s="438">
        <v>17333.07</v>
      </c>
      <c r="AW20" s="438">
        <v>11204.87</v>
      </c>
      <c r="AX20" s="438">
        <v>761.94</v>
      </c>
      <c r="AY20" s="438">
        <v>0</v>
      </c>
      <c r="AZ20" s="438">
        <v>38097.53</v>
      </c>
      <c r="BA20" s="438">
        <v>6117.49</v>
      </c>
      <c r="BB20" s="438">
        <v>63219.58</v>
      </c>
      <c r="BC20" s="438">
        <v>23606.21</v>
      </c>
      <c r="BD20" s="438">
        <v>73836.789999999994</v>
      </c>
      <c r="BE20" s="438">
        <v>0</v>
      </c>
      <c r="BF20" s="438">
        <v>9321.09</v>
      </c>
      <c r="BG20" s="438">
        <v>118197.55</v>
      </c>
      <c r="BH20" s="438">
        <v>18747.759999999998</v>
      </c>
      <c r="BI20" s="438">
        <v>0</v>
      </c>
      <c r="BJ20" s="438">
        <v>15566.82</v>
      </c>
      <c r="BK20" s="438">
        <v>17297.91</v>
      </c>
      <c r="BL20" s="438">
        <v>14836.34</v>
      </c>
      <c r="BM20" s="438">
        <v>117374.06</v>
      </c>
      <c r="BN20" s="438">
        <v>133297.26999999999</v>
      </c>
      <c r="BO20" s="438">
        <v>116534.1</v>
      </c>
      <c r="BP20" s="438">
        <v>40047.769999999997</v>
      </c>
      <c r="BQ20" s="438">
        <v>0</v>
      </c>
      <c r="BR20" s="438">
        <v>0</v>
      </c>
      <c r="BS20" s="438">
        <v>0</v>
      </c>
      <c r="BT20" s="438">
        <v>0</v>
      </c>
      <c r="BU20" s="438">
        <v>0</v>
      </c>
      <c r="BV20" s="438">
        <v>30385</v>
      </c>
      <c r="BW20" s="438">
        <v>0</v>
      </c>
      <c r="BX20" s="438">
        <v>0</v>
      </c>
      <c r="BY20" s="438">
        <v>6000</v>
      </c>
      <c r="BZ20" s="438">
        <v>0</v>
      </c>
      <c r="CA20" s="438">
        <v>0</v>
      </c>
      <c r="CB20" s="438">
        <v>10981</v>
      </c>
      <c r="CC20" s="438">
        <v>0</v>
      </c>
      <c r="CD20" s="438">
        <v>0</v>
      </c>
      <c r="CE20" s="438">
        <v>107248</v>
      </c>
      <c r="CF20" s="438">
        <v>21245</v>
      </c>
      <c r="CG20" s="438">
        <v>0</v>
      </c>
      <c r="CH20" s="438">
        <v>0</v>
      </c>
      <c r="CI20" s="438">
        <v>0</v>
      </c>
      <c r="CJ20" s="111">
        <f t="shared" si="3"/>
        <v>107248</v>
      </c>
      <c r="CK20" s="111">
        <f t="shared" si="4"/>
        <v>21245</v>
      </c>
      <c r="CL20" s="111">
        <f t="shared" si="2"/>
        <v>107248</v>
      </c>
    </row>
    <row r="21" spans="1:90">
      <c r="A21" s="435">
        <v>302</v>
      </c>
      <c r="B21" s="435">
        <v>2024</v>
      </c>
      <c r="C21" s="435" t="s">
        <v>61</v>
      </c>
      <c r="D21" s="435" t="s">
        <v>594</v>
      </c>
      <c r="E21" s="435"/>
      <c r="F21" s="435" t="s">
        <v>588</v>
      </c>
      <c r="G21" s="435">
        <v>0</v>
      </c>
      <c r="H21" s="435">
        <v>1</v>
      </c>
      <c r="I21" s="435" t="s">
        <v>695</v>
      </c>
      <c r="J21" s="435" t="s">
        <v>590</v>
      </c>
      <c r="K21" s="435" t="s">
        <v>591</v>
      </c>
      <c r="L21" s="435" t="s">
        <v>592</v>
      </c>
      <c r="M21" s="435" t="s">
        <v>591</v>
      </c>
      <c r="N21" s="435" t="s">
        <v>593</v>
      </c>
      <c r="O21" s="435" t="s">
        <v>188</v>
      </c>
      <c r="P21" s="435" t="s">
        <v>188</v>
      </c>
      <c r="Q21" s="438">
        <v>-72231</v>
      </c>
      <c r="R21" s="438">
        <v>307</v>
      </c>
      <c r="S21" s="438">
        <v>2865</v>
      </c>
      <c r="T21" s="438">
        <v>1412011.47</v>
      </c>
      <c r="U21" s="438">
        <v>0</v>
      </c>
      <c r="V21" s="438">
        <v>94728.84</v>
      </c>
      <c r="W21" s="438">
        <v>0</v>
      </c>
      <c r="X21" s="438">
        <v>99562.52</v>
      </c>
      <c r="Y21" s="438">
        <v>35576</v>
      </c>
      <c r="Z21" s="438">
        <v>10760.77</v>
      </c>
      <c r="AA21" s="438">
        <v>18168.05</v>
      </c>
      <c r="AB21" s="438">
        <v>1345.1</v>
      </c>
      <c r="AC21" s="438">
        <v>12504.02</v>
      </c>
      <c r="AD21" s="438">
        <v>0</v>
      </c>
      <c r="AE21" s="438">
        <v>0</v>
      </c>
      <c r="AF21" s="438">
        <v>82548.22</v>
      </c>
      <c r="AG21" s="438">
        <v>7471.46</v>
      </c>
      <c r="AH21" s="438">
        <v>0</v>
      </c>
      <c r="AI21" s="438">
        <v>180013</v>
      </c>
      <c r="AJ21" s="438">
        <v>0</v>
      </c>
      <c r="AK21" s="438">
        <v>0</v>
      </c>
      <c r="AL21" s="438">
        <v>0</v>
      </c>
      <c r="AM21" s="438">
        <v>34631.5</v>
      </c>
      <c r="AN21" s="438">
        <v>39689</v>
      </c>
      <c r="AO21" s="438">
        <v>708722.7</v>
      </c>
      <c r="AP21" s="438">
        <v>0</v>
      </c>
      <c r="AQ21" s="438">
        <v>284964.38</v>
      </c>
      <c r="AR21" s="438">
        <v>15961.28</v>
      </c>
      <c r="AS21" s="438">
        <v>79955.039999999994</v>
      </c>
      <c r="AT21" s="438">
        <v>0</v>
      </c>
      <c r="AU21" s="438">
        <v>307724.51</v>
      </c>
      <c r="AV21" s="438">
        <v>17983.080000000002</v>
      </c>
      <c r="AW21" s="438">
        <v>6100.06</v>
      </c>
      <c r="AX21" s="438">
        <v>336.98</v>
      </c>
      <c r="AY21" s="438">
        <v>0</v>
      </c>
      <c r="AZ21" s="438">
        <v>60873.09</v>
      </c>
      <c r="BA21" s="438">
        <v>2720.65</v>
      </c>
      <c r="BB21" s="438">
        <v>35477.99</v>
      </c>
      <c r="BC21" s="438">
        <v>3026.49</v>
      </c>
      <c r="BD21" s="438">
        <v>44368.83</v>
      </c>
      <c r="BE21" s="438">
        <v>47104</v>
      </c>
      <c r="BF21" s="438">
        <v>8117.97</v>
      </c>
      <c r="BG21" s="438">
        <v>36405.69</v>
      </c>
      <c r="BH21" s="438">
        <v>16290.2</v>
      </c>
      <c r="BI21" s="438">
        <v>0</v>
      </c>
      <c r="BJ21" s="438">
        <v>11071.93</v>
      </c>
      <c r="BK21" s="438">
        <v>7720.54</v>
      </c>
      <c r="BL21" s="438">
        <v>2309.1799999999998</v>
      </c>
      <c r="BM21" s="438">
        <v>62105.78</v>
      </c>
      <c r="BN21" s="438">
        <v>38273.839999999997</v>
      </c>
      <c r="BO21" s="438">
        <v>97381.54</v>
      </c>
      <c r="BP21" s="438">
        <v>50239.199999999997</v>
      </c>
      <c r="BQ21" s="438">
        <v>0</v>
      </c>
      <c r="BR21" s="438">
        <v>0</v>
      </c>
      <c r="BS21" s="438">
        <v>0</v>
      </c>
      <c r="BT21" s="438">
        <v>137846.69</v>
      </c>
      <c r="BU21" s="438">
        <v>31585.31</v>
      </c>
      <c r="BV21" s="438">
        <v>21777</v>
      </c>
      <c r="BW21" s="438">
        <v>0</v>
      </c>
      <c r="BX21" s="438">
        <v>0</v>
      </c>
      <c r="BY21" s="438">
        <v>6000</v>
      </c>
      <c r="BZ21" s="438">
        <v>0</v>
      </c>
      <c r="CA21" s="438">
        <v>0</v>
      </c>
      <c r="CB21" s="438">
        <v>3492</v>
      </c>
      <c r="CC21" s="438">
        <v>0</v>
      </c>
      <c r="CD21" s="438">
        <v>0</v>
      </c>
      <c r="CE21" s="438">
        <v>-168469</v>
      </c>
      <c r="CF21" s="438">
        <v>21150</v>
      </c>
      <c r="CG21" s="438">
        <v>0</v>
      </c>
      <c r="CH21" s="438">
        <v>10888</v>
      </c>
      <c r="CI21" s="438">
        <v>0</v>
      </c>
      <c r="CJ21" s="111">
        <f t="shared" si="3"/>
        <v>-157581</v>
      </c>
      <c r="CK21" s="111">
        <f t="shared" si="4"/>
        <v>21150</v>
      </c>
      <c r="CL21" s="111">
        <f t="shared" si="2"/>
        <v>-168469</v>
      </c>
    </row>
    <row r="22" spans="1:90">
      <c r="A22" s="435">
        <v>302</v>
      </c>
      <c r="B22" s="435">
        <v>2025</v>
      </c>
      <c r="C22" s="435" t="s">
        <v>62</v>
      </c>
      <c r="D22" s="435" t="s">
        <v>594</v>
      </c>
      <c r="E22" s="435"/>
      <c r="F22" s="435" t="s">
        <v>588</v>
      </c>
      <c r="G22" s="435">
        <v>0</v>
      </c>
      <c r="H22" s="435">
        <v>0</v>
      </c>
      <c r="I22" s="435" t="s">
        <v>695</v>
      </c>
      <c r="J22" s="435" t="s">
        <v>590</v>
      </c>
      <c r="K22" s="435" t="s">
        <v>591</v>
      </c>
      <c r="L22" s="435" t="s">
        <v>592</v>
      </c>
      <c r="M22" s="435" t="s">
        <v>591</v>
      </c>
      <c r="N22" s="435" t="s">
        <v>593</v>
      </c>
      <c r="O22" s="435" t="s">
        <v>188</v>
      </c>
      <c r="P22" s="435" t="s">
        <v>188</v>
      </c>
      <c r="Q22" s="438">
        <v>142833</v>
      </c>
      <c r="R22" s="438">
        <v>0</v>
      </c>
      <c r="S22" s="438">
        <v>9211</v>
      </c>
      <c r="T22" s="438">
        <v>1445989.24</v>
      </c>
      <c r="U22" s="438">
        <v>0</v>
      </c>
      <c r="V22" s="438">
        <v>63337.68</v>
      </c>
      <c r="W22" s="438">
        <v>0</v>
      </c>
      <c r="X22" s="438">
        <v>15695.04</v>
      </c>
      <c r="Y22" s="438">
        <v>3000</v>
      </c>
      <c r="Z22" s="438">
        <v>10015.799999999999</v>
      </c>
      <c r="AA22" s="438">
        <v>38960</v>
      </c>
      <c r="AB22" s="438">
        <v>29944.22</v>
      </c>
      <c r="AC22" s="438">
        <v>33418.18</v>
      </c>
      <c r="AD22" s="438">
        <v>0</v>
      </c>
      <c r="AE22" s="438">
        <v>0</v>
      </c>
      <c r="AF22" s="438">
        <v>65512.38</v>
      </c>
      <c r="AG22" s="438">
        <v>38770.410000000003</v>
      </c>
      <c r="AH22" s="438">
        <v>0</v>
      </c>
      <c r="AI22" s="438">
        <v>0</v>
      </c>
      <c r="AJ22" s="438">
        <v>0</v>
      </c>
      <c r="AK22" s="438">
        <v>0</v>
      </c>
      <c r="AL22" s="438">
        <v>0</v>
      </c>
      <c r="AM22" s="438">
        <v>0</v>
      </c>
      <c r="AN22" s="438">
        <v>72228.13</v>
      </c>
      <c r="AO22" s="438">
        <v>925358.05</v>
      </c>
      <c r="AP22" s="438">
        <v>22780.9</v>
      </c>
      <c r="AQ22" s="438">
        <v>262326.49</v>
      </c>
      <c r="AR22" s="438">
        <v>83318.41</v>
      </c>
      <c r="AS22" s="438">
        <v>70608.3</v>
      </c>
      <c r="AT22" s="438">
        <v>0</v>
      </c>
      <c r="AU22" s="438">
        <v>40473.54</v>
      </c>
      <c r="AV22" s="438">
        <v>7576.69</v>
      </c>
      <c r="AW22" s="438">
        <v>2643.32</v>
      </c>
      <c r="AX22" s="438">
        <v>526.22</v>
      </c>
      <c r="AY22" s="438">
        <v>0</v>
      </c>
      <c r="AZ22" s="438">
        <v>7379.94</v>
      </c>
      <c r="BA22" s="438">
        <v>0</v>
      </c>
      <c r="BB22" s="438">
        <v>5182.97</v>
      </c>
      <c r="BC22" s="438">
        <v>3700.3</v>
      </c>
      <c r="BD22" s="438">
        <v>39841.47</v>
      </c>
      <c r="BE22" s="438">
        <v>34048</v>
      </c>
      <c r="BF22" s="438">
        <v>6485.73</v>
      </c>
      <c r="BG22" s="438">
        <v>94204.17</v>
      </c>
      <c r="BH22" s="438">
        <v>6743.75</v>
      </c>
      <c r="BI22" s="438">
        <v>0</v>
      </c>
      <c r="BJ22" s="438">
        <v>9557.2800000000007</v>
      </c>
      <c r="BK22" s="438">
        <v>11694.13</v>
      </c>
      <c r="BL22" s="438">
        <v>6798.68</v>
      </c>
      <c r="BM22" s="438">
        <v>91635.25</v>
      </c>
      <c r="BN22" s="438">
        <v>36865</v>
      </c>
      <c r="BO22" s="438">
        <v>77470.570000000007</v>
      </c>
      <c r="BP22" s="438">
        <v>41397.919999999998</v>
      </c>
      <c r="BQ22" s="438">
        <v>0</v>
      </c>
      <c r="BR22" s="438">
        <v>0</v>
      </c>
      <c r="BS22" s="438">
        <v>0</v>
      </c>
      <c r="BT22" s="438">
        <v>0</v>
      </c>
      <c r="BU22" s="438">
        <v>0</v>
      </c>
      <c r="BV22" s="438">
        <v>23863</v>
      </c>
      <c r="BW22" s="438">
        <v>2096.1</v>
      </c>
      <c r="BX22" s="438">
        <v>0</v>
      </c>
      <c r="BY22" s="438">
        <v>6000</v>
      </c>
      <c r="BZ22" s="438">
        <v>0</v>
      </c>
      <c r="CA22" s="438">
        <v>15296.1</v>
      </c>
      <c r="CB22" s="438">
        <v>0</v>
      </c>
      <c r="CC22" s="438">
        <v>0</v>
      </c>
      <c r="CD22" s="438">
        <v>24752</v>
      </c>
      <c r="CE22" s="438">
        <v>46335</v>
      </c>
      <c r="CF22" s="438">
        <v>19874</v>
      </c>
      <c r="CG22" s="438">
        <v>0</v>
      </c>
      <c r="CH22" s="438">
        <v>0</v>
      </c>
      <c r="CI22" s="438">
        <v>0</v>
      </c>
      <c r="CJ22" s="111">
        <f t="shared" si="3"/>
        <v>71087</v>
      </c>
      <c r="CK22" s="111">
        <f t="shared" si="4"/>
        <v>19874</v>
      </c>
      <c r="CL22" s="111">
        <f t="shared" si="2"/>
        <v>71087</v>
      </c>
    </row>
    <row r="23" spans="1:90" ht="26.4">
      <c r="A23" s="435">
        <v>302</v>
      </c>
      <c r="B23" s="435">
        <v>2026</v>
      </c>
      <c r="C23" s="435" t="s">
        <v>63</v>
      </c>
      <c r="D23" s="435" t="s">
        <v>594</v>
      </c>
      <c r="E23" s="435"/>
      <c r="F23" s="435" t="s">
        <v>588</v>
      </c>
      <c r="G23" s="435">
        <v>0</v>
      </c>
      <c r="H23" s="435">
        <v>1</v>
      </c>
      <c r="I23" s="435" t="s">
        <v>695</v>
      </c>
      <c r="J23" s="435" t="s">
        <v>590</v>
      </c>
      <c r="K23" s="435" t="s">
        <v>591</v>
      </c>
      <c r="L23" s="435" t="s">
        <v>592</v>
      </c>
      <c r="M23" s="435" t="s">
        <v>591</v>
      </c>
      <c r="N23" s="435" t="s">
        <v>593</v>
      </c>
      <c r="O23" s="435" t="s">
        <v>188</v>
      </c>
      <c r="P23" s="435" t="s">
        <v>188</v>
      </c>
      <c r="Q23" s="438">
        <v>-232867</v>
      </c>
      <c r="R23" s="438">
        <v>0</v>
      </c>
      <c r="S23" s="438">
        <v>0</v>
      </c>
      <c r="T23" s="438">
        <v>2490086.9500000002</v>
      </c>
      <c r="U23" s="438">
        <v>0</v>
      </c>
      <c r="V23" s="438">
        <v>109911.13</v>
      </c>
      <c r="W23" s="438">
        <v>0</v>
      </c>
      <c r="X23" s="438">
        <v>121465.04</v>
      </c>
      <c r="Y23" s="438">
        <v>1589.67</v>
      </c>
      <c r="Z23" s="438">
        <v>10315.6</v>
      </c>
      <c r="AA23" s="438">
        <v>43639.9</v>
      </c>
      <c r="AB23" s="438">
        <v>4580.91</v>
      </c>
      <c r="AC23" s="438">
        <v>40654.86</v>
      </c>
      <c r="AD23" s="438">
        <v>0</v>
      </c>
      <c r="AE23" s="438">
        <v>0</v>
      </c>
      <c r="AF23" s="438">
        <v>218388.09</v>
      </c>
      <c r="AG23" s="438">
        <v>15298.37</v>
      </c>
      <c r="AH23" s="438">
        <v>0</v>
      </c>
      <c r="AI23" s="438">
        <v>0</v>
      </c>
      <c r="AJ23" s="438">
        <v>0</v>
      </c>
      <c r="AK23" s="438">
        <v>0</v>
      </c>
      <c r="AL23" s="438">
        <v>0</v>
      </c>
      <c r="AM23" s="438">
        <v>30457.75</v>
      </c>
      <c r="AN23" s="438">
        <v>72272</v>
      </c>
      <c r="AO23" s="438">
        <v>1365517.49</v>
      </c>
      <c r="AP23" s="438">
        <v>29130.74</v>
      </c>
      <c r="AQ23" s="438">
        <v>626880.17000000004</v>
      </c>
      <c r="AR23" s="438">
        <v>53736.28</v>
      </c>
      <c r="AS23" s="438">
        <v>160077.22</v>
      </c>
      <c r="AT23" s="438">
        <v>0</v>
      </c>
      <c r="AU23" s="438">
        <v>92182.33</v>
      </c>
      <c r="AV23" s="438">
        <v>14738.63</v>
      </c>
      <c r="AW23" s="438">
        <v>4174.28</v>
      </c>
      <c r="AX23" s="438">
        <v>753.64</v>
      </c>
      <c r="AY23" s="438">
        <v>0</v>
      </c>
      <c r="AZ23" s="438">
        <v>46289.17</v>
      </c>
      <c r="BA23" s="438">
        <v>5050.33</v>
      </c>
      <c r="BB23" s="438">
        <v>61694.83</v>
      </c>
      <c r="BC23" s="438">
        <v>6859.88</v>
      </c>
      <c r="BD23" s="438">
        <v>67602.64</v>
      </c>
      <c r="BE23" s="438">
        <v>39936</v>
      </c>
      <c r="BF23" s="438">
        <v>13486.88</v>
      </c>
      <c r="BG23" s="438">
        <v>93650.94</v>
      </c>
      <c r="BH23" s="438">
        <v>19181.169999999998</v>
      </c>
      <c r="BI23" s="438">
        <v>0</v>
      </c>
      <c r="BJ23" s="438">
        <v>31030.240000000002</v>
      </c>
      <c r="BK23" s="438">
        <v>17908.39</v>
      </c>
      <c r="BL23" s="438">
        <v>3682.56</v>
      </c>
      <c r="BM23" s="438">
        <v>121205.94</v>
      </c>
      <c r="BN23" s="438">
        <v>79710.34</v>
      </c>
      <c r="BO23" s="438">
        <v>176450.49</v>
      </c>
      <c r="BP23" s="438">
        <v>51507.69</v>
      </c>
      <c r="BQ23" s="438">
        <v>0</v>
      </c>
      <c r="BR23" s="438">
        <v>0</v>
      </c>
      <c r="BS23" s="438">
        <v>0</v>
      </c>
      <c r="BT23" s="438">
        <v>0</v>
      </c>
      <c r="BU23" s="438">
        <v>0</v>
      </c>
      <c r="BV23" s="438">
        <v>31020</v>
      </c>
      <c r="BW23" s="438">
        <v>0</v>
      </c>
      <c r="BX23" s="438">
        <v>0</v>
      </c>
      <c r="BY23" s="438">
        <v>6000</v>
      </c>
      <c r="BZ23" s="438">
        <v>0</v>
      </c>
      <c r="CA23" s="438">
        <v>0</v>
      </c>
      <c r="CB23" s="438">
        <v>0</v>
      </c>
      <c r="CC23" s="438">
        <v>12270</v>
      </c>
      <c r="CD23" s="438">
        <v>11836</v>
      </c>
      <c r="CE23" s="438">
        <v>-268481</v>
      </c>
      <c r="CF23" s="438">
        <v>18750</v>
      </c>
      <c r="CG23" s="438">
        <v>0</v>
      </c>
      <c r="CH23" s="438">
        <v>0</v>
      </c>
      <c r="CI23" s="438">
        <v>0</v>
      </c>
      <c r="CJ23" s="111">
        <f t="shared" si="3"/>
        <v>-256645</v>
      </c>
      <c r="CK23" s="111">
        <f t="shared" si="4"/>
        <v>18750</v>
      </c>
      <c r="CL23" s="111">
        <f t="shared" si="2"/>
        <v>-256645</v>
      </c>
    </row>
    <row r="24" spans="1:90" ht="26.4">
      <c r="A24" s="435">
        <v>302</v>
      </c>
      <c r="B24" s="435">
        <v>2027</v>
      </c>
      <c r="C24" s="435" t="s">
        <v>364</v>
      </c>
      <c r="D24" s="435" t="s">
        <v>594</v>
      </c>
      <c r="E24" s="435"/>
      <c r="F24" s="435" t="s">
        <v>588</v>
      </c>
      <c r="G24" s="435">
        <v>0</v>
      </c>
      <c r="H24" s="435">
        <v>1</v>
      </c>
      <c r="I24" s="435" t="s">
        <v>695</v>
      </c>
      <c r="J24" s="435" t="s">
        <v>590</v>
      </c>
      <c r="K24" s="435" t="s">
        <v>591</v>
      </c>
      <c r="L24" s="435" t="s">
        <v>592</v>
      </c>
      <c r="M24" s="435" t="s">
        <v>591</v>
      </c>
      <c r="N24" s="435" t="s">
        <v>593</v>
      </c>
      <c r="O24" s="435" t="s">
        <v>188</v>
      </c>
      <c r="P24" s="435" t="s">
        <v>188</v>
      </c>
      <c r="Q24" s="438">
        <v>-16540</v>
      </c>
      <c r="R24" s="438">
        <v>0</v>
      </c>
      <c r="S24" s="438">
        <v>0</v>
      </c>
      <c r="T24" s="438">
        <v>1656963.28</v>
      </c>
      <c r="U24" s="438">
        <v>0</v>
      </c>
      <c r="V24" s="438">
        <v>97924.6</v>
      </c>
      <c r="W24" s="438">
        <v>0</v>
      </c>
      <c r="X24" s="438">
        <v>111425.01</v>
      </c>
      <c r="Y24" s="438">
        <v>6300</v>
      </c>
      <c r="Z24" s="438">
        <v>14115.3</v>
      </c>
      <c r="AA24" s="438">
        <v>10704.5</v>
      </c>
      <c r="AB24" s="438">
        <v>13645.74</v>
      </c>
      <c r="AC24" s="438">
        <v>56236.65</v>
      </c>
      <c r="AD24" s="438">
        <v>0</v>
      </c>
      <c r="AE24" s="438">
        <v>0</v>
      </c>
      <c r="AF24" s="438">
        <v>66930.710000000006</v>
      </c>
      <c r="AG24" s="438">
        <v>15232.85</v>
      </c>
      <c r="AH24" s="438">
        <v>0</v>
      </c>
      <c r="AI24" s="438">
        <v>0</v>
      </c>
      <c r="AJ24" s="438">
        <v>0</v>
      </c>
      <c r="AK24" s="438">
        <v>0</v>
      </c>
      <c r="AL24" s="438">
        <v>3684</v>
      </c>
      <c r="AM24" s="438">
        <v>24073</v>
      </c>
      <c r="AN24" s="438">
        <v>19376</v>
      </c>
      <c r="AO24" s="438">
        <v>1048088.47</v>
      </c>
      <c r="AP24" s="438">
        <v>0</v>
      </c>
      <c r="AQ24" s="438">
        <v>335017.23</v>
      </c>
      <c r="AR24" s="438">
        <v>40307.379999999997</v>
      </c>
      <c r="AS24" s="438">
        <v>98100.85</v>
      </c>
      <c r="AT24" s="438">
        <v>0</v>
      </c>
      <c r="AU24" s="438">
        <v>23788.92</v>
      </c>
      <c r="AV24" s="438">
        <v>8981.26</v>
      </c>
      <c r="AW24" s="438">
        <v>2026.72</v>
      </c>
      <c r="AX24" s="438">
        <v>559.41999999999996</v>
      </c>
      <c r="AY24" s="438">
        <v>0</v>
      </c>
      <c r="AZ24" s="438">
        <v>13645.86</v>
      </c>
      <c r="BA24" s="438">
        <v>1247.0899999999999</v>
      </c>
      <c r="BB24" s="438">
        <v>25725.48</v>
      </c>
      <c r="BC24" s="438">
        <v>4788.6499999999996</v>
      </c>
      <c r="BD24" s="438">
        <v>40182.33</v>
      </c>
      <c r="BE24" s="438">
        <v>19543</v>
      </c>
      <c r="BF24" s="438">
        <v>15645.04</v>
      </c>
      <c r="BG24" s="438">
        <v>108199.29</v>
      </c>
      <c r="BH24" s="438">
        <v>16812.95</v>
      </c>
      <c r="BI24" s="438">
        <v>0</v>
      </c>
      <c r="BJ24" s="438">
        <v>16242.56</v>
      </c>
      <c r="BK24" s="438">
        <v>12622.76</v>
      </c>
      <c r="BL24" s="438">
        <v>8448.43</v>
      </c>
      <c r="BM24" s="438">
        <v>76928.100000000006</v>
      </c>
      <c r="BN24" s="438">
        <v>90209.81</v>
      </c>
      <c r="BO24" s="438">
        <v>103048.29</v>
      </c>
      <c r="BP24" s="438">
        <v>31155.75</v>
      </c>
      <c r="BQ24" s="438">
        <v>0</v>
      </c>
      <c r="BR24" s="438">
        <v>0</v>
      </c>
      <c r="BS24" s="438">
        <v>0</v>
      </c>
      <c r="BT24" s="438">
        <v>0</v>
      </c>
      <c r="BU24" s="438">
        <v>0</v>
      </c>
      <c r="BV24" s="438">
        <v>24849</v>
      </c>
      <c r="BW24" s="438">
        <v>7155</v>
      </c>
      <c r="BX24" s="438">
        <v>0</v>
      </c>
      <c r="BY24" s="438">
        <v>6000</v>
      </c>
      <c r="BZ24" s="438">
        <v>0</v>
      </c>
      <c r="CA24" s="438">
        <v>4817</v>
      </c>
      <c r="CB24" s="438">
        <v>0</v>
      </c>
      <c r="CC24" s="438">
        <v>7155</v>
      </c>
      <c r="CD24" s="438">
        <v>0</v>
      </c>
      <c r="CE24" s="438">
        <v>-61244</v>
      </c>
      <c r="CF24" s="438">
        <v>20032</v>
      </c>
      <c r="CG24" s="438">
        <v>0</v>
      </c>
      <c r="CH24" s="438">
        <v>0</v>
      </c>
      <c r="CI24" s="438">
        <v>0</v>
      </c>
      <c r="CJ24" s="111">
        <f t="shared" si="3"/>
        <v>-61244</v>
      </c>
      <c r="CK24" s="111">
        <f t="shared" si="4"/>
        <v>20032</v>
      </c>
      <c r="CL24" s="111">
        <f t="shared" si="2"/>
        <v>-61244</v>
      </c>
    </row>
    <row r="25" spans="1:90" ht="26.4">
      <c r="A25" s="435">
        <v>302</v>
      </c>
      <c r="B25" s="435">
        <v>2028</v>
      </c>
      <c r="C25" s="435" t="s">
        <v>598</v>
      </c>
      <c r="D25" s="435" t="s">
        <v>594</v>
      </c>
      <c r="E25" s="435"/>
      <c r="F25" s="435" t="s">
        <v>588</v>
      </c>
      <c r="G25" s="435">
        <v>0</v>
      </c>
      <c r="H25" s="435">
        <v>1</v>
      </c>
      <c r="I25" s="435" t="s">
        <v>695</v>
      </c>
      <c r="J25" s="435" t="s">
        <v>590</v>
      </c>
      <c r="K25" s="435" t="s">
        <v>591</v>
      </c>
      <c r="L25" s="435" t="s">
        <v>592</v>
      </c>
      <c r="M25" s="435" t="s">
        <v>591</v>
      </c>
      <c r="N25" s="435" t="s">
        <v>593</v>
      </c>
      <c r="O25" s="435" t="s">
        <v>188</v>
      </c>
      <c r="P25" s="435" t="s">
        <v>188</v>
      </c>
      <c r="Q25" s="438">
        <v>-34999</v>
      </c>
      <c r="R25" s="438">
        <v>0</v>
      </c>
      <c r="S25" s="438">
        <v>901</v>
      </c>
      <c r="T25" s="438">
        <v>1212913.17</v>
      </c>
      <c r="U25" s="438">
        <v>0</v>
      </c>
      <c r="V25" s="438">
        <v>74123.179999999993</v>
      </c>
      <c r="W25" s="438">
        <v>0</v>
      </c>
      <c r="X25" s="438">
        <v>66480</v>
      </c>
      <c r="Y25" s="438">
        <v>4305.3900000000003</v>
      </c>
      <c r="Z25" s="438">
        <v>35217.06</v>
      </c>
      <c r="AA25" s="438">
        <v>10123</v>
      </c>
      <c r="AB25" s="438">
        <v>8008.58</v>
      </c>
      <c r="AC25" s="438">
        <v>2942.47</v>
      </c>
      <c r="AD25" s="438">
        <v>0</v>
      </c>
      <c r="AE25" s="438">
        <v>0</v>
      </c>
      <c r="AF25" s="438">
        <v>5643.84</v>
      </c>
      <c r="AG25" s="438">
        <v>14307.4</v>
      </c>
      <c r="AH25" s="438">
        <v>0</v>
      </c>
      <c r="AI25" s="438">
        <v>0</v>
      </c>
      <c r="AJ25" s="438">
        <v>0</v>
      </c>
      <c r="AK25" s="438">
        <v>0</v>
      </c>
      <c r="AL25" s="438">
        <v>8419</v>
      </c>
      <c r="AM25" s="438">
        <v>12947</v>
      </c>
      <c r="AN25" s="438">
        <v>77329</v>
      </c>
      <c r="AO25" s="438">
        <v>790283.82</v>
      </c>
      <c r="AP25" s="438">
        <v>3066.42</v>
      </c>
      <c r="AQ25" s="438">
        <v>221351.61</v>
      </c>
      <c r="AR25" s="438">
        <v>40135.300000000003</v>
      </c>
      <c r="AS25" s="438">
        <v>96375.29</v>
      </c>
      <c r="AT25" s="438">
        <v>0</v>
      </c>
      <c r="AU25" s="438">
        <v>36790.94</v>
      </c>
      <c r="AV25" s="438">
        <v>10668.72</v>
      </c>
      <c r="AW25" s="438">
        <v>1260</v>
      </c>
      <c r="AX25" s="438">
        <v>368.52</v>
      </c>
      <c r="AY25" s="438">
        <v>0</v>
      </c>
      <c r="AZ25" s="438">
        <v>9225.16</v>
      </c>
      <c r="BA25" s="438">
        <v>1674.65</v>
      </c>
      <c r="BB25" s="438">
        <v>20975.98</v>
      </c>
      <c r="BC25" s="438">
        <v>3192.44</v>
      </c>
      <c r="BD25" s="438">
        <v>27520.63</v>
      </c>
      <c r="BE25" s="438">
        <v>19543</v>
      </c>
      <c r="BF25" s="438">
        <v>11052.76</v>
      </c>
      <c r="BG25" s="438">
        <v>19643.849999999999</v>
      </c>
      <c r="BH25" s="438">
        <v>9907.5499999999993</v>
      </c>
      <c r="BI25" s="438">
        <v>0</v>
      </c>
      <c r="BJ25" s="438">
        <v>11431.18</v>
      </c>
      <c r="BK25" s="438">
        <v>8507.6299999999992</v>
      </c>
      <c r="BL25" s="438">
        <v>1928.93</v>
      </c>
      <c r="BM25" s="438">
        <v>84159.74</v>
      </c>
      <c r="BN25" s="438">
        <v>44172.85</v>
      </c>
      <c r="BO25" s="438">
        <v>169983.67</v>
      </c>
      <c r="BP25" s="438">
        <v>29498.45</v>
      </c>
      <c r="BQ25" s="438">
        <v>0</v>
      </c>
      <c r="BR25" s="438">
        <v>0</v>
      </c>
      <c r="BS25" s="438">
        <v>0</v>
      </c>
      <c r="BT25" s="438">
        <v>0</v>
      </c>
      <c r="BU25" s="438">
        <v>0</v>
      </c>
      <c r="BV25" s="438">
        <v>37401</v>
      </c>
      <c r="BW25" s="438">
        <v>0</v>
      </c>
      <c r="BX25" s="438">
        <v>0</v>
      </c>
      <c r="BY25" s="438">
        <v>6000</v>
      </c>
      <c r="BZ25" s="438">
        <v>0</v>
      </c>
      <c r="CA25" s="438">
        <v>21016.560000000001</v>
      </c>
      <c r="CB25" s="438">
        <v>0</v>
      </c>
      <c r="CC25" s="438">
        <v>2522.44</v>
      </c>
      <c r="CD25" s="438">
        <v>0</v>
      </c>
      <c r="CE25" s="438">
        <v>-174959</v>
      </c>
      <c r="CF25" s="438">
        <v>14763</v>
      </c>
      <c r="CG25" s="438">
        <v>0</v>
      </c>
      <c r="CH25" s="438">
        <v>0</v>
      </c>
      <c r="CI25" s="438">
        <v>0</v>
      </c>
      <c r="CJ25" s="111">
        <f t="shared" si="3"/>
        <v>-174959</v>
      </c>
      <c r="CK25" s="111">
        <f t="shared" si="4"/>
        <v>14763</v>
      </c>
      <c r="CL25" s="111">
        <f t="shared" si="2"/>
        <v>-174959</v>
      </c>
    </row>
    <row r="26" spans="1:90" ht="26.4">
      <c r="A26" s="435">
        <v>302</v>
      </c>
      <c r="B26" s="435">
        <v>2029</v>
      </c>
      <c r="C26" s="435" t="s">
        <v>66</v>
      </c>
      <c r="D26" s="435" t="s">
        <v>594</v>
      </c>
      <c r="E26" s="435"/>
      <c r="F26" s="435" t="s">
        <v>588</v>
      </c>
      <c r="G26" s="435">
        <v>0</v>
      </c>
      <c r="H26" s="435">
        <v>0</v>
      </c>
      <c r="I26" s="435" t="s">
        <v>695</v>
      </c>
      <c r="J26" s="435" t="s">
        <v>590</v>
      </c>
      <c r="K26" s="435" t="s">
        <v>591</v>
      </c>
      <c r="L26" s="435" t="s">
        <v>592</v>
      </c>
      <c r="M26" s="435" t="s">
        <v>591</v>
      </c>
      <c r="N26" s="435" t="s">
        <v>593</v>
      </c>
      <c r="O26" s="435" t="s">
        <v>188</v>
      </c>
      <c r="P26" s="435" t="s">
        <v>188</v>
      </c>
      <c r="Q26" s="438">
        <v>-56739</v>
      </c>
      <c r="R26" s="438">
        <v>0</v>
      </c>
      <c r="S26" s="438">
        <v>22571</v>
      </c>
      <c r="T26" s="438">
        <v>2561792.44</v>
      </c>
      <c r="U26" s="438">
        <v>0</v>
      </c>
      <c r="V26" s="438">
        <v>165763.03</v>
      </c>
      <c r="W26" s="438">
        <v>0</v>
      </c>
      <c r="X26" s="438">
        <v>225730.02</v>
      </c>
      <c r="Y26" s="438">
        <v>930</v>
      </c>
      <c r="Z26" s="438">
        <v>6486.6</v>
      </c>
      <c r="AA26" s="438">
        <v>0</v>
      </c>
      <c r="AB26" s="438">
        <v>45080.03</v>
      </c>
      <c r="AC26" s="438">
        <v>34910.54</v>
      </c>
      <c r="AD26" s="438">
        <v>0</v>
      </c>
      <c r="AE26" s="438">
        <v>0</v>
      </c>
      <c r="AF26" s="438">
        <v>9258.2999999999993</v>
      </c>
      <c r="AG26" s="438">
        <v>9102.2000000000007</v>
      </c>
      <c r="AH26" s="438">
        <v>0</v>
      </c>
      <c r="AI26" s="438">
        <v>0</v>
      </c>
      <c r="AJ26" s="438">
        <v>0</v>
      </c>
      <c r="AK26" s="438">
        <v>0</v>
      </c>
      <c r="AL26" s="438">
        <v>0</v>
      </c>
      <c r="AM26" s="438">
        <v>68180.25</v>
      </c>
      <c r="AN26" s="438">
        <v>61665</v>
      </c>
      <c r="AO26" s="438">
        <v>1301572.1000000001</v>
      </c>
      <c r="AP26" s="438">
        <v>0</v>
      </c>
      <c r="AQ26" s="438">
        <v>666064.31999999995</v>
      </c>
      <c r="AR26" s="438">
        <v>104579.74</v>
      </c>
      <c r="AS26" s="438">
        <v>55288.41</v>
      </c>
      <c r="AT26" s="438">
        <v>79244.06</v>
      </c>
      <c r="AU26" s="438">
        <v>167656.84</v>
      </c>
      <c r="AV26" s="438">
        <v>13359.24</v>
      </c>
      <c r="AW26" s="438">
        <v>4214</v>
      </c>
      <c r="AX26" s="438">
        <v>683.92</v>
      </c>
      <c r="AY26" s="438">
        <v>0</v>
      </c>
      <c r="AZ26" s="438">
        <v>10885.52</v>
      </c>
      <c r="BA26" s="438">
        <v>2451.52</v>
      </c>
      <c r="BB26" s="438">
        <v>4270.1400000000003</v>
      </c>
      <c r="BC26" s="438">
        <v>61564.58</v>
      </c>
      <c r="BD26" s="438">
        <v>68647.5</v>
      </c>
      <c r="BE26" s="438">
        <v>26112</v>
      </c>
      <c r="BF26" s="438">
        <v>16498.8</v>
      </c>
      <c r="BG26" s="438">
        <v>88030.62</v>
      </c>
      <c r="BH26" s="438">
        <v>13858.78</v>
      </c>
      <c r="BI26" s="438">
        <v>0</v>
      </c>
      <c r="BJ26" s="438">
        <v>22765.96</v>
      </c>
      <c r="BK26" s="438">
        <v>15841.28</v>
      </c>
      <c r="BL26" s="438">
        <v>16274.21</v>
      </c>
      <c r="BM26" s="438">
        <v>85630.25</v>
      </c>
      <c r="BN26" s="438">
        <v>60853.1</v>
      </c>
      <c r="BO26" s="438">
        <v>181745.36</v>
      </c>
      <c r="BP26" s="438">
        <v>42140.160000000003</v>
      </c>
      <c r="BQ26" s="438">
        <v>0</v>
      </c>
      <c r="BR26" s="438">
        <v>0</v>
      </c>
      <c r="BS26" s="438">
        <v>0</v>
      </c>
      <c r="BT26" s="438">
        <v>0</v>
      </c>
      <c r="BU26" s="438">
        <v>0</v>
      </c>
      <c r="BV26" s="438">
        <v>28140</v>
      </c>
      <c r="BW26" s="438">
        <v>0</v>
      </c>
      <c r="BX26" s="438">
        <v>0</v>
      </c>
      <c r="BY26" s="438">
        <v>6000</v>
      </c>
      <c r="BZ26" s="438">
        <v>0</v>
      </c>
      <c r="CA26" s="438">
        <v>0</v>
      </c>
      <c r="CB26" s="438">
        <v>0</v>
      </c>
      <c r="CC26" s="438">
        <v>0</v>
      </c>
      <c r="CD26" s="438">
        <v>0</v>
      </c>
      <c r="CE26" s="438">
        <v>21927</v>
      </c>
      <c r="CF26" s="438">
        <v>50711</v>
      </c>
      <c r="CG26" s="438">
        <v>0</v>
      </c>
      <c r="CH26" s="438">
        <v>0</v>
      </c>
      <c r="CI26" s="438">
        <v>0</v>
      </c>
      <c r="CJ26" s="111">
        <f t="shared" si="3"/>
        <v>21927</v>
      </c>
      <c r="CK26" s="111">
        <f t="shared" si="4"/>
        <v>50711</v>
      </c>
      <c r="CL26" s="111">
        <f t="shared" si="2"/>
        <v>21927</v>
      </c>
    </row>
    <row r="27" spans="1:90" ht="26.4">
      <c r="A27" s="435">
        <v>302</v>
      </c>
      <c r="B27" s="435">
        <v>2031</v>
      </c>
      <c r="C27" s="435" t="s">
        <v>69</v>
      </c>
      <c r="D27" s="435" t="s">
        <v>594</v>
      </c>
      <c r="E27" s="435"/>
      <c r="F27" s="435" t="s">
        <v>588</v>
      </c>
      <c r="G27" s="435">
        <v>0</v>
      </c>
      <c r="H27" s="435">
        <v>0</v>
      </c>
      <c r="I27" s="435" t="s">
        <v>695</v>
      </c>
      <c r="J27" s="435" t="s">
        <v>590</v>
      </c>
      <c r="K27" s="435" t="s">
        <v>591</v>
      </c>
      <c r="L27" s="435" t="s">
        <v>592</v>
      </c>
      <c r="M27" s="435" t="s">
        <v>591</v>
      </c>
      <c r="N27" s="435" t="s">
        <v>593</v>
      </c>
      <c r="O27" s="435" t="s">
        <v>188</v>
      </c>
      <c r="P27" s="435" t="s">
        <v>188</v>
      </c>
      <c r="Q27" s="438">
        <v>-41728</v>
      </c>
      <c r="R27" s="438">
        <v>0</v>
      </c>
      <c r="S27" s="438">
        <v>789</v>
      </c>
      <c r="T27" s="438">
        <v>1220717.78</v>
      </c>
      <c r="U27" s="438">
        <v>0</v>
      </c>
      <c r="V27" s="438">
        <v>66376.13</v>
      </c>
      <c r="W27" s="438">
        <v>0</v>
      </c>
      <c r="X27" s="438">
        <v>94179.97</v>
      </c>
      <c r="Y27" s="438">
        <v>1000</v>
      </c>
      <c r="Z27" s="438">
        <v>2715</v>
      </c>
      <c r="AA27" s="438">
        <v>25424.58</v>
      </c>
      <c r="AB27" s="438">
        <v>38983.5</v>
      </c>
      <c r="AC27" s="438">
        <v>10362.67</v>
      </c>
      <c r="AD27" s="438">
        <v>0</v>
      </c>
      <c r="AE27" s="438">
        <v>0</v>
      </c>
      <c r="AF27" s="438">
        <v>18168</v>
      </c>
      <c r="AG27" s="438">
        <v>54761.03</v>
      </c>
      <c r="AH27" s="438">
        <v>0</v>
      </c>
      <c r="AI27" s="438">
        <v>0</v>
      </c>
      <c r="AJ27" s="438">
        <v>0</v>
      </c>
      <c r="AK27" s="438">
        <v>0</v>
      </c>
      <c r="AL27" s="438">
        <v>0</v>
      </c>
      <c r="AM27" s="438">
        <v>47244.25</v>
      </c>
      <c r="AN27" s="438">
        <v>36174</v>
      </c>
      <c r="AO27" s="438">
        <v>650406.85</v>
      </c>
      <c r="AP27" s="438">
        <v>0</v>
      </c>
      <c r="AQ27" s="438">
        <v>347831.83</v>
      </c>
      <c r="AR27" s="438">
        <v>37993.46</v>
      </c>
      <c r="AS27" s="438">
        <v>90906.6</v>
      </c>
      <c r="AT27" s="438">
        <v>0</v>
      </c>
      <c r="AU27" s="438">
        <v>32047.53</v>
      </c>
      <c r="AV27" s="438">
        <v>2638.77</v>
      </c>
      <c r="AW27" s="438">
        <v>3638.85</v>
      </c>
      <c r="AX27" s="438">
        <v>307.10000000000002</v>
      </c>
      <c r="AY27" s="438">
        <v>0</v>
      </c>
      <c r="AZ27" s="438">
        <v>7801.7</v>
      </c>
      <c r="BA27" s="438">
        <v>4525.54</v>
      </c>
      <c r="BB27" s="438">
        <v>21120.65</v>
      </c>
      <c r="BC27" s="438">
        <v>3674.79</v>
      </c>
      <c r="BD27" s="438">
        <v>18409.05</v>
      </c>
      <c r="BE27" s="438">
        <v>4019.2</v>
      </c>
      <c r="BF27" s="438">
        <v>19970.46</v>
      </c>
      <c r="BG27" s="438">
        <v>54687.8</v>
      </c>
      <c r="BH27" s="438">
        <v>7554.36</v>
      </c>
      <c r="BI27" s="438">
        <v>0</v>
      </c>
      <c r="BJ27" s="438">
        <v>6122.3</v>
      </c>
      <c r="BK27" s="438">
        <v>7038.85</v>
      </c>
      <c r="BL27" s="438">
        <v>3033.66</v>
      </c>
      <c r="BM27" s="438">
        <v>46712.61</v>
      </c>
      <c r="BN27" s="438">
        <v>51197.01</v>
      </c>
      <c r="BO27" s="438">
        <v>106661.96</v>
      </c>
      <c r="BP27" s="438">
        <v>27214.98</v>
      </c>
      <c r="BQ27" s="438">
        <v>0</v>
      </c>
      <c r="BR27" s="438">
        <v>0</v>
      </c>
      <c r="BS27" s="438">
        <v>0</v>
      </c>
      <c r="BT27" s="438">
        <v>0</v>
      </c>
      <c r="BU27" s="438">
        <v>0</v>
      </c>
      <c r="BV27" s="438">
        <v>35714.6</v>
      </c>
      <c r="BW27" s="438">
        <v>0</v>
      </c>
      <c r="BX27" s="438">
        <v>0</v>
      </c>
      <c r="BY27" s="438">
        <v>6000</v>
      </c>
      <c r="BZ27" s="438">
        <v>0</v>
      </c>
      <c r="CA27" s="438">
        <v>5667.6</v>
      </c>
      <c r="CB27" s="438">
        <v>0</v>
      </c>
      <c r="CC27" s="438">
        <v>0</v>
      </c>
      <c r="CD27" s="438">
        <v>0</v>
      </c>
      <c r="CE27" s="438">
        <v>18863</v>
      </c>
      <c r="CF27" s="438">
        <v>30836</v>
      </c>
      <c r="CG27" s="438">
        <v>0</v>
      </c>
      <c r="CH27" s="438">
        <v>0</v>
      </c>
      <c r="CI27" s="438">
        <v>0</v>
      </c>
      <c r="CJ27" s="111">
        <f t="shared" si="3"/>
        <v>18863</v>
      </c>
      <c r="CK27" s="111">
        <f t="shared" si="4"/>
        <v>30836</v>
      </c>
      <c r="CL27" s="111">
        <f t="shared" si="2"/>
        <v>18863</v>
      </c>
    </row>
    <row r="28" spans="1:90" ht="26.4">
      <c r="A28" s="435">
        <v>302</v>
      </c>
      <c r="B28" s="435">
        <v>2032</v>
      </c>
      <c r="C28" s="435" t="s">
        <v>70</v>
      </c>
      <c r="D28" s="435" t="s">
        <v>594</v>
      </c>
      <c r="E28" s="435"/>
      <c r="F28" s="435" t="s">
        <v>588</v>
      </c>
      <c r="G28" s="435">
        <v>0</v>
      </c>
      <c r="H28" s="435">
        <v>0</v>
      </c>
      <c r="I28" s="435" t="s">
        <v>695</v>
      </c>
      <c r="J28" s="435" t="s">
        <v>590</v>
      </c>
      <c r="K28" s="435" t="s">
        <v>591</v>
      </c>
      <c r="L28" s="435" t="s">
        <v>592</v>
      </c>
      <c r="M28" s="435" t="s">
        <v>591</v>
      </c>
      <c r="N28" s="435" t="s">
        <v>593</v>
      </c>
      <c r="O28" s="435" t="s">
        <v>188</v>
      </c>
      <c r="P28" s="435" t="s">
        <v>188</v>
      </c>
      <c r="Q28" s="438">
        <v>108951</v>
      </c>
      <c r="R28" s="438">
        <v>0</v>
      </c>
      <c r="S28" s="438">
        <v>-3071</v>
      </c>
      <c r="T28" s="438">
        <v>2226936.83</v>
      </c>
      <c r="U28" s="438">
        <v>0</v>
      </c>
      <c r="V28" s="438">
        <v>186830.44</v>
      </c>
      <c r="W28" s="438">
        <v>0</v>
      </c>
      <c r="X28" s="438">
        <v>128568.93</v>
      </c>
      <c r="Y28" s="438">
        <v>2130</v>
      </c>
      <c r="Z28" s="438">
        <v>5399.51</v>
      </c>
      <c r="AA28" s="438">
        <v>0</v>
      </c>
      <c r="AB28" s="438">
        <v>111949.24</v>
      </c>
      <c r="AC28" s="438">
        <v>47955.1</v>
      </c>
      <c r="AD28" s="438">
        <v>0</v>
      </c>
      <c r="AE28" s="438">
        <v>0</v>
      </c>
      <c r="AF28" s="438">
        <v>70578.039999999994</v>
      </c>
      <c r="AG28" s="438">
        <v>3026.29</v>
      </c>
      <c r="AH28" s="438">
        <v>0</v>
      </c>
      <c r="AI28" s="438">
        <v>0</v>
      </c>
      <c r="AJ28" s="438">
        <v>0</v>
      </c>
      <c r="AK28" s="438">
        <v>0</v>
      </c>
      <c r="AL28" s="438">
        <v>0</v>
      </c>
      <c r="AM28" s="438">
        <v>0</v>
      </c>
      <c r="AN28" s="438">
        <v>98129.75</v>
      </c>
      <c r="AO28" s="438">
        <v>1410345.06</v>
      </c>
      <c r="AP28" s="438">
        <v>0</v>
      </c>
      <c r="AQ28" s="438">
        <v>700184.51</v>
      </c>
      <c r="AR28" s="438">
        <v>43300.99</v>
      </c>
      <c r="AS28" s="438">
        <v>48945.57</v>
      </c>
      <c r="AT28" s="438">
        <v>0</v>
      </c>
      <c r="AU28" s="438">
        <v>55106.46</v>
      </c>
      <c r="AV28" s="438">
        <v>13797.25</v>
      </c>
      <c r="AW28" s="438">
        <v>4851.82</v>
      </c>
      <c r="AX28" s="438">
        <v>690.56</v>
      </c>
      <c r="AY28" s="438">
        <v>0</v>
      </c>
      <c r="AZ28" s="438">
        <v>21247.48</v>
      </c>
      <c r="BA28" s="438">
        <v>3142.53</v>
      </c>
      <c r="BB28" s="438">
        <v>59018.239999999998</v>
      </c>
      <c r="BC28" s="438">
        <v>5706.39</v>
      </c>
      <c r="BD28" s="438">
        <v>52073.120000000003</v>
      </c>
      <c r="BE28" s="438">
        <v>26880</v>
      </c>
      <c r="BF28" s="438">
        <v>9086.0400000000009</v>
      </c>
      <c r="BG28" s="438">
        <v>99072.99</v>
      </c>
      <c r="BH28" s="438">
        <v>13613.71</v>
      </c>
      <c r="BI28" s="438">
        <v>0</v>
      </c>
      <c r="BJ28" s="438">
        <v>14901.55</v>
      </c>
      <c r="BK28" s="438">
        <v>15812.44</v>
      </c>
      <c r="BL28" s="438">
        <v>4133.9799999999996</v>
      </c>
      <c r="BM28" s="438">
        <v>105234.08</v>
      </c>
      <c r="BN28" s="438">
        <v>173368.81</v>
      </c>
      <c r="BO28" s="438">
        <v>59585.95</v>
      </c>
      <c r="BP28" s="438">
        <v>47531.6</v>
      </c>
      <c r="BQ28" s="438">
        <v>0</v>
      </c>
      <c r="BR28" s="438">
        <v>0</v>
      </c>
      <c r="BS28" s="438">
        <v>0</v>
      </c>
      <c r="BT28" s="438">
        <v>0</v>
      </c>
      <c r="BU28" s="438">
        <v>0</v>
      </c>
      <c r="BV28" s="438">
        <v>28885</v>
      </c>
      <c r="BW28" s="438">
        <v>0</v>
      </c>
      <c r="BX28" s="438">
        <v>0</v>
      </c>
      <c r="BY28" s="438">
        <v>6000</v>
      </c>
      <c r="BZ28" s="438">
        <v>0</v>
      </c>
      <c r="CA28" s="438">
        <v>0</v>
      </c>
      <c r="CB28" s="438">
        <v>0</v>
      </c>
      <c r="CC28" s="438">
        <v>25814</v>
      </c>
      <c r="CD28" s="438">
        <v>0</v>
      </c>
      <c r="CE28" s="438">
        <v>2824</v>
      </c>
      <c r="CF28" s="438">
        <v>0</v>
      </c>
      <c r="CG28" s="438">
        <v>0</v>
      </c>
      <c r="CH28" s="438">
        <v>0</v>
      </c>
      <c r="CI28" s="438">
        <v>0</v>
      </c>
      <c r="CJ28" s="111">
        <f t="shared" si="3"/>
        <v>2824</v>
      </c>
      <c r="CK28" s="111">
        <f t="shared" si="4"/>
        <v>0</v>
      </c>
      <c r="CL28" s="111">
        <f t="shared" si="2"/>
        <v>2824</v>
      </c>
    </row>
    <row r="29" spans="1:90" ht="26.4">
      <c r="A29" s="435">
        <v>302</v>
      </c>
      <c r="B29" s="435">
        <v>2036</v>
      </c>
      <c r="C29" s="435" t="s">
        <v>72</v>
      </c>
      <c r="D29" s="435" t="s">
        <v>594</v>
      </c>
      <c r="E29" s="435"/>
      <c r="F29" s="435" t="s">
        <v>588</v>
      </c>
      <c r="G29" s="435">
        <v>0</v>
      </c>
      <c r="H29" s="435">
        <v>0</v>
      </c>
      <c r="I29" s="435" t="s">
        <v>695</v>
      </c>
      <c r="J29" s="435" t="s">
        <v>590</v>
      </c>
      <c r="K29" s="435" t="s">
        <v>591</v>
      </c>
      <c r="L29" s="435" t="s">
        <v>592</v>
      </c>
      <c r="M29" s="435" t="s">
        <v>591</v>
      </c>
      <c r="N29" s="435" t="s">
        <v>593</v>
      </c>
      <c r="O29" s="435" t="s">
        <v>188</v>
      </c>
      <c r="P29" s="435" t="s">
        <v>188</v>
      </c>
      <c r="Q29" s="438">
        <v>748244</v>
      </c>
      <c r="R29" s="438">
        <v>0</v>
      </c>
      <c r="S29" s="438">
        <v>7553</v>
      </c>
      <c r="T29" s="438">
        <v>1697933.12</v>
      </c>
      <c r="U29" s="438">
        <v>0</v>
      </c>
      <c r="V29" s="438">
        <v>421302.99</v>
      </c>
      <c r="W29" s="438">
        <v>0</v>
      </c>
      <c r="X29" s="438">
        <v>130983</v>
      </c>
      <c r="Y29" s="438">
        <v>0</v>
      </c>
      <c r="Z29" s="438">
        <v>8435</v>
      </c>
      <c r="AA29" s="438">
        <v>6556</v>
      </c>
      <c r="AB29" s="438">
        <v>56286.14</v>
      </c>
      <c r="AC29" s="438">
        <v>15349.86</v>
      </c>
      <c r="AD29" s="438">
        <v>0</v>
      </c>
      <c r="AE29" s="438">
        <v>0</v>
      </c>
      <c r="AF29" s="438">
        <v>28729.78</v>
      </c>
      <c r="AG29" s="438">
        <v>12807.48</v>
      </c>
      <c r="AH29" s="438">
        <v>0</v>
      </c>
      <c r="AI29" s="438">
        <v>0</v>
      </c>
      <c r="AJ29" s="438">
        <v>0</v>
      </c>
      <c r="AK29" s="438">
        <v>0</v>
      </c>
      <c r="AL29" s="438">
        <v>0</v>
      </c>
      <c r="AM29" s="438">
        <v>0</v>
      </c>
      <c r="AN29" s="438">
        <v>54684.2</v>
      </c>
      <c r="AO29" s="438">
        <v>1003156.76</v>
      </c>
      <c r="AP29" s="438">
        <v>13946.72</v>
      </c>
      <c r="AQ29" s="438">
        <v>706880.3</v>
      </c>
      <c r="AR29" s="438">
        <v>82739.259999999995</v>
      </c>
      <c r="AS29" s="438">
        <v>35486.18</v>
      </c>
      <c r="AT29" s="438">
        <v>0</v>
      </c>
      <c r="AU29" s="438">
        <v>76806.53</v>
      </c>
      <c r="AV29" s="438">
        <v>12504.9</v>
      </c>
      <c r="AW29" s="438">
        <v>1908.97</v>
      </c>
      <c r="AX29" s="438">
        <v>350.26</v>
      </c>
      <c r="AY29" s="438">
        <v>0</v>
      </c>
      <c r="AZ29" s="438">
        <v>39317.78</v>
      </c>
      <c r="BA29" s="438">
        <v>11889.35</v>
      </c>
      <c r="BB29" s="438">
        <v>6230.6</v>
      </c>
      <c r="BC29" s="438">
        <v>2254.6999999999998</v>
      </c>
      <c r="BD29" s="438">
        <v>37845.129999999997</v>
      </c>
      <c r="BE29" s="438">
        <v>23453</v>
      </c>
      <c r="BF29" s="438">
        <v>18677.490000000002</v>
      </c>
      <c r="BG29" s="438">
        <v>59295.25</v>
      </c>
      <c r="BH29" s="438">
        <v>32577.32</v>
      </c>
      <c r="BI29" s="438">
        <v>0</v>
      </c>
      <c r="BJ29" s="438">
        <v>19737.599999999999</v>
      </c>
      <c r="BK29" s="438">
        <v>11068.38</v>
      </c>
      <c r="BL29" s="438">
        <v>11274.78</v>
      </c>
      <c r="BM29" s="438">
        <v>57213.99</v>
      </c>
      <c r="BN29" s="438">
        <v>0</v>
      </c>
      <c r="BO29" s="438">
        <v>100164.64</v>
      </c>
      <c r="BP29" s="438">
        <v>42541</v>
      </c>
      <c r="BQ29" s="438">
        <v>2655.68</v>
      </c>
      <c r="BR29" s="438">
        <v>0</v>
      </c>
      <c r="BS29" s="438">
        <v>8651</v>
      </c>
      <c r="BT29" s="438">
        <v>0</v>
      </c>
      <c r="BU29" s="438">
        <v>0</v>
      </c>
      <c r="BV29" s="438">
        <v>22434.91</v>
      </c>
      <c r="BW29" s="438">
        <v>0</v>
      </c>
      <c r="BX29" s="438">
        <v>8650.83</v>
      </c>
      <c r="BY29" s="438">
        <v>6000</v>
      </c>
      <c r="BZ29" s="438">
        <v>0</v>
      </c>
      <c r="CA29" s="438">
        <v>32031.22</v>
      </c>
      <c r="CB29" s="438">
        <v>0</v>
      </c>
      <c r="CC29" s="438">
        <v>6607.52</v>
      </c>
      <c r="CD29" s="438">
        <v>72000</v>
      </c>
      <c r="CE29" s="438">
        <v>690684</v>
      </c>
      <c r="CF29" s="438">
        <v>0</v>
      </c>
      <c r="CG29" s="438">
        <v>0</v>
      </c>
      <c r="CH29" s="438">
        <v>0</v>
      </c>
      <c r="CI29" s="438">
        <v>0</v>
      </c>
      <c r="CJ29" s="111">
        <f t="shared" si="3"/>
        <v>762684</v>
      </c>
      <c r="CK29" s="111">
        <f t="shared" si="4"/>
        <v>0</v>
      </c>
      <c r="CL29" s="111">
        <f t="shared" si="2"/>
        <v>762684</v>
      </c>
    </row>
    <row r="30" spans="1:90" ht="26.4">
      <c r="A30" s="435">
        <v>302</v>
      </c>
      <c r="B30" s="435">
        <v>2037</v>
      </c>
      <c r="C30" s="435" t="s">
        <v>599</v>
      </c>
      <c r="D30" s="435" t="s">
        <v>594</v>
      </c>
      <c r="E30" s="435"/>
      <c r="F30" s="435" t="s">
        <v>588</v>
      </c>
      <c r="G30" s="435">
        <v>0</v>
      </c>
      <c r="H30" s="435">
        <v>0</v>
      </c>
      <c r="I30" s="435" t="s">
        <v>695</v>
      </c>
      <c r="J30" s="435" t="s">
        <v>590</v>
      </c>
      <c r="K30" s="435" t="s">
        <v>591</v>
      </c>
      <c r="L30" s="435" t="s">
        <v>592</v>
      </c>
      <c r="M30" s="435" t="s">
        <v>591</v>
      </c>
      <c r="N30" s="435" t="s">
        <v>593</v>
      </c>
      <c r="O30" s="435" t="s">
        <v>188</v>
      </c>
      <c r="P30" s="435" t="s">
        <v>188</v>
      </c>
      <c r="Q30" s="438">
        <v>214553</v>
      </c>
      <c r="R30" s="438">
        <v>0</v>
      </c>
      <c r="S30" s="438">
        <v>21846</v>
      </c>
      <c r="T30" s="438">
        <v>1397412.64</v>
      </c>
      <c r="U30" s="438">
        <v>0</v>
      </c>
      <c r="V30" s="438">
        <v>83593.17</v>
      </c>
      <c r="W30" s="438">
        <v>0</v>
      </c>
      <c r="X30" s="438">
        <v>59730.04</v>
      </c>
      <c r="Y30" s="438">
        <v>10618.5</v>
      </c>
      <c r="Z30" s="438">
        <v>6393</v>
      </c>
      <c r="AA30" s="438">
        <v>16448.68</v>
      </c>
      <c r="AB30" s="438">
        <v>59195.19</v>
      </c>
      <c r="AC30" s="438">
        <v>24098.32</v>
      </c>
      <c r="AD30" s="438">
        <v>0</v>
      </c>
      <c r="AE30" s="438">
        <v>0</v>
      </c>
      <c r="AF30" s="438">
        <v>20554</v>
      </c>
      <c r="AG30" s="438">
        <v>20761.34</v>
      </c>
      <c r="AH30" s="438">
        <v>0</v>
      </c>
      <c r="AI30" s="438">
        <v>0</v>
      </c>
      <c r="AJ30" s="438">
        <v>0</v>
      </c>
      <c r="AK30" s="438">
        <v>0</v>
      </c>
      <c r="AL30" s="438">
        <v>0</v>
      </c>
      <c r="AM30" s="438">
        <v>12754</v>
      </c>
      <c r="AN30" s="438">
        <v>51876</v>
      </c>
      <c r="AO30" s="438">
        <v>691252.49</v>
      </c>
      <c r="AP30" s="438">
        <v>0</v>
      </c>
      <c r="AQ30" s="438">
        <v>392763.27</v>
      </c>
      <c r="AR30" s="438">
        <v>29108.27</v>
      </c>
      <c r="AS30" s="438">
        <v>54979.76</v>
      </c>
      <c r="AT30" s="438">
        <v>0</v>
      </c>
      <c r="AU30" s="438">
        <v>72867.42</v>
      </c>
      <c r="AV30" s="438">
        <v>2328.7199999999998</v>
      </c>
      <c r="AW30" s="438">
        <v>361.5</v>
      </c>
      <c r="AX30" s="438">
        <v>395.08</v>
      </c>
      <c r="AY30" s="438">
        <v>42</v>
      </c>
      <c r="AZ30" s="438">
        <v>7566.17</v>
      </c>
      <c r="BA30" s="438">
        <v>3264.99</v>
      </c>
      <c r="BB30" s="438">
        <v>27168.57</v>
      </c>
      <c r="BC30" s="438">
        <v>1409.32</v>
      </c>
      <c r="BD30" s="438">
        <v>50741.120000000003</v>
      </c>
      <c r="BE30" s="438">
        <v>27648</v>
      </c>
      <c r="BF30" s="438">
        <v>3862.42</v>
      </c>
      <c r="BG30" s="438">
        <v>43493.08</v>
      </c>
      <c r="BH30" s="438">
        <v>7577.76</v>
      </c>
      <c r="BI30" s="438">
        <v>0</v>
      </c>
      <c r="BJ30" s="438">
        <v>8602.43</v>
      </c>
      <c r="BK30" s="438">
        <v>9301.1299999999992</v>
      </c>
      <c r="BL30" s="438">
        <v>15498.8</v>
      </c>
      <c r="BM30" s="438">
        <v>75992.990000000005</v>
      </c>
      <c r="BN30" s="438">
        <v>65638.97</v>
      </c>
      <c r="BO30" s="438">
        <v>97181.51</v>
      </c>
      <c r="BP30" s="438">
        <v>35233.11</v>
      </c>
      <c r="BQ30" s="438">
        <v>0</v>
      </c>
      <c r="BR30" s="438">
        <v>0</v>
      </c>
      <c r="BS30" s="438">
        <v>0</v>
      </c>
      <c r="BT30" s="438">
        <v>0</v>
      </c>
      <c r="BU30" s="438">
        <v>0</v>
      </c>
      <c r="BV30" s="438">
        <v>23024.99</v>
      </c>
      <c r="BW30" s="438">
        <v>0</v>
      </c>
      <c r="BX30" s="438">
        <v>0</v>
      </c>
      <c r="BY30" s="438">
        <v>6000</v>
      </c>
      <c r="BZ30" s="438">
        <v>0</v>
      </c>
      <c r="CA30" s="438">
        <v>9627</v>
      </c>
      <c r="CB30" s="438">
        <v>0</v>
      </c>
      <c r="CC30" s="438">
        <v>6440.99</v>
      </c>
      <c r="CD30" s="438">
        <v>0</v>
      </c>
      <c r="CE30" s="438">
        <v>253709</v>
      </c>
      <c r="CF30" s="438">
        <v>28803</v>
      </c>
      <c r="CG30" s="438">
        <v>0</v>
      </c>
      <c r="CH30" s="438">
        <v>0</v>
      </c>
      <c r="CI30" s="438">
        <v>0</v>
      </c>
      <c r="CJ30" s="111">
        <f t="shared" si="3"/>
        <v>253709</v>
      </c>
      <c r="CK30" s="111">
        <f t="shared" si="4"/>
        <v>28803</v>
      </c>
      <c r="CL30" s="111">
        <f t="shared" si="2"/>
        <v>253709</v>
      </c>
    </row>
    <row r="31" spans="1:90" ht="26.4">
      <c r="A31" s="435">
        <v>302</v>
      </c>
      <c r="B31" s="435">
        <v>2042</v>
      </c>
      <c r="C31" s="435" t="s">
        <v>79</v>
      </c>
      <c r="D31" s="435" t="s">
        <v>594</v>
      </c>
      <c r="E31" s="435"/>
      <c r="F31" s="435" t="s">
        <v>588</v>
      </c>
      <c r="G31" s="435">
        <v>0</v>
      </c>
      <c r="H31" s="435">
        <v>0</v>
      </c>
      <c r="I31" s="435" t="s">
        <v>695</v>
      </c>
      <c r="J31" s="435" t="s">
        <v>590</v>
      </c>
      <c r="K31" s="435" t="s">
        <v>591</v>
      </c>
      <c r="L31" s="435" t="s">
        <v>592</v>
      </c>
      <c r="M31" s="435" t="s">
        <v>591</v>
      </c>
      <c r="N31" s="435" t="s">
        <v>593</v>
      </c>
      <c r="O31" s="435" t="s">
        <v>188</v>
      </c>
      <c r="P31" s="435" t="s">
        <v>188</v>
      </c>
      <c r="Q31" s="438">
        <v>336472</v>
      </c>
      <c r="R31" s="438">
        <v>0</v>
      </c>
      <c r="S31" s="438">
        <v>26172</v>
      </c>
      <c r="T31" s="438">
        <v>1921644.83</v>
      </c>
      <c r="U31" s="438">
        <v>0</v>
      </c>
      <c r="V31" s="438">
        <v>80216.800000000003</v>
      </c>
      <c r="W31" s="438">
        <v>0</v>
      </c>
      <c r="X31" s="438">
        <v>42850.64</v>
      </c>
      <c r="Y31" s="438">
        <v>0</v>
      </c>
      <c r="Z31" s="438">
        <v>7275</v>
      </c>
      <c r="AA31" s="438">
        <v>121049.15</v>
      </c>
      <c r="AB31" s="438">
        <v>15006.73</v>
      </c>
      <c r="AC31" s="438">
        <v>48454</v>
      </c>
      <c r="AD31" s="438">
        <v>13039.5</v>
      </c>
      <c r="AE31" s="438">
        <v>0</v>
      </c>
      <c r="AF31" s="438">
        <v>37393.72</v>
      </c>
      <c r="AG31" s="438">
        <v>10179.049999999999</v>
      </c>
      <c r="AH31" s="438">
        <v>0</v>
      </c>
      <c r="AI31" s="438">
        <v>0</v>
      </c>
      <c r="AJ31" s="438">
        <v>0</v>
      </c>
      <c r="AK31" s="438">
        <v>0</v>
      </c>
      <c r="AL31" s="438">
        <v>0</v>
      </c>
      <c r="AM31" s="438">
        <v>9648.8799999999992</v>
      </c>
      <c r="AN31" s="438">
        <v>81281</v>
      </c>
      <c r="AO31" s="438">
        <v>1071093</v>
      </c>
      <c r="AP31" s="438">
        <v>0</v>
      </c>
      <c r="AQ31" s="438">
        <v>557778.44999999995</v>
      </c>
      <c r="AR31" s="438">
        <v>32797.42</v>
      </c>
      <c r="AS31" s="438">
        <v>82339.44</v>
      </c>
      <c r="AT31" s="438">
        <v>0</v>
      </c>
      <c r="AU31" s="438">
        <v>173558.2</v>
      </c>
      <c r="AV31" s="438">
        <v>9438.2999999999993</v>
      </c>
      <c r="AW31" s="438">
        <v>913</v>
      </c>
      <c r="AX31" s="438">
        <v>10536.38</v>
      </c>
      <c r="AY31" s="438">
        <v>0</v>
      </c>
      <c r="AZ31" s="438">
        <v>10604.98</v>
      </c>
      <c r="BA31" s="438">
        <v>8680</v>
      </c>
      <c r="BB31" s="438">
        <v>40182.239999999998</v>
      </c>
      <c r="BC31" s="438">
        <v>3860.28</v>
      </c>
      <c r="BD31" s="438">
        <v>32595.45</v>
      </c>
      <c r="BE31" s="438">
        <v>0</v>
      </c>
      <c r="BF31" s="438">
        <v>11115.9</v>
      </c>
      <c r="BG31" s="438">
        <v>76675.649999999994</v>
      </c>
      <c r="BH31" s="438">
        <v>7856.33</v>
      </c>
      <c r="BI31" s="438">
        <v>0</v>
      </c>
      <c r="BJ31" s="438">
        <v>11679.71</v>
      </c>
      <c r="BK31" s="438">
        <v>15604.47</v>
      </c>
      <c r="BL31" s="438">
        <v>5435.22</v>
      </c>
      <c r="BM31" s="438">
        <v>115031.99</v>
      </c>
      <c r="BN31" s="438">
        <v>16664.759999999998</v>
      </c>
      <c r="BO31" s="438">
        <v>111915.15</v>
      </c>
      <c r="BP31" s="438">
        <v>13764.98</v>
      </c>
      <c r="BQ31" s="438">
        <v>0</v>
      </c>
      <c r="BR31" s="438">
        <v>0</v>
      </c>
      <c r="BS31" s="438">
        <v>0</v>
      </c>
      <c r="BT31" s="438">
        <v>0</v>
      </c>
      <c r="BU31" s="438">
        <v>0</v>
      </c>
      <c r="BV31" s="438">
        <v>27244</v>
      </c>
      <c r="BW31" s="438">
        <v>0</v>
      </c>
      <c r="BX31" s="438">
        <v>0</v>
      </c>
      <c r="BY31" s="438">
        <v>6000</v>
      </c>
      <c r="BZ31" s="438">
        <v>0</v>
      </c>
      <c r="CA31" s="438">
        <v>10247</v>
      </c>
      <c r="CB31" s="438">
        <v>0</v>
      </c>
      <c r="CC31" s="438">
        <v>0</v>
      </c>
      <c r="CD31" s="438">
        <v>41072</v>
      </c>
      <c r="CE31" s="438">
        <v>263318</v>
      </c>
      <c r="CF31" s="438">
        <v>43169</v>
      </c>
      <c r="CG31" s="438">
        <v>0</v>
      </c>
      <c r="CH31" s="438">
        <v>0</v>
      </c>
      <c r="CI31" s="438">
        <v>0</v>
      </c>
      <c r="CJ31" s="111">
        <f t="shared" si="3"/>
        <v>304390</v>
      </c>
      <c r="CK31" s="111">
        <f t="shared" si="4"/>
        <v>43169</v>
      </c>
      <c r="CL31" s="111">
        <f t="shared" si="2"/>
        <v>304390</v>
      </c>
    </row>
    <row r="32" spans="1:90" ht="26.4">
      <c r="A32" s="435">
        <v>302</v>
      </c>
      <c r="B32" s="435">
        <v>2043</v>
      </c>
      <c r="C32" s="435" t="s">
        <v>81</v>
      </c>
      <c r="D32" s="435" t="s">
        <v>594</v>
      </c>
      <c r="E32" s="435"/>
      <c r="F32" s="435" t="s">
        <v>588</v>
      </c>
      <c r="G32" s="435">
        <v>0</v>
      </c>
      <c r="H32" s="435">
        <v>1</v>
      </c>
      <c r="I32" s="435" t="s">
        <v>695</v>
      </c>
      <c r="J32" s="435" t="s">
        <v>590</v>
      </c>
      <c r="K32" s="435" t="s">
        <v>591</v>
      </c>
      <c r="L32" s="435" t="s">
        <v>592</v>
      </c>
      <c r="M32" s="435" t="s">
        <v>591</v>
      </c>
      <c r="N32" s="435" t="s">
        <v>593</v>
      </c>
      <c r="O32" s="435" t="s">
        <v>188</v>
      </c>
      <c r="P32" s="435" t="s">
        <v>188</v>
      </c>
      <c r="Q32" s="438">
        <v>-172144</v>
      </c>
      <c r="R32" s="438">
        <v>0</v>
      </c>
      <c r="S32" s="438">
        <v>5613</v>
      </c>
      <c r="T32" s="438">
        <v>2061637.42</v>
      </c>
      <c r="U32" s="438">
        <v>0</v>
      </c>
      <c r="V32" s="438">
        <v>111142.55</v>
      </c>
      <c r="W32" s="438">
        <v>0</v>
      </c>
      <c r="X32" s="438">
        <v>124955.03</v>
      </c>
      <c r="Y32" s="438">
        <v>0</v>
      </c>
      <c r="Z32" s="438">
        <v>50811.08</v>
      </c>
      <c r="AA32" s="438">
        <v>68769.210000000006</v>
      </c>
      <c r="AB32" s="438">
        <v>7690.47</v>
      </c>
      <c r="AC32" s="438">
        <v>80883</v>
      </c>
      <c r="AD32" s="438">
        <v>870</v>
      </c>
      <c r="AE32" s="438">
        <v>0</v>
      </c>
      <c r="AF32" s="438">
        <v>54684.36</v>
      </c>
      <c r="AG32" s="438">
        <v>18429.18</v>
      </c>
      <c r="AH32" s="438">
        <v>0</v>
      </c>
      <c r="AI32" s="438">
        <v>0</v>
      </c>
      <c r="AJ32" s="438">
        <v>0</v>
      </c>
      <c r="AK32" s="438">
        <v>0</v>
      </c>
      <c r="AL32" s="438">
        <v>0</v>
      </c>
      <c r="AM32" s="438">
        <v>29245</v>
      </c>
      <c r="AN32" s="438">
        <v>20416</v>
      </c>
      <c r="AO32" s="438">
        <v>1203172.2</v>
      </c>
      <c r="AP32" s="438">
        <v>812.11</v>
      </c>
      <c r="AQ32" s="438">
        <v>381019.44</v>
      </c>
      <c r="AR32" s="438">
        <v>27283.62</v>
      </c>
      <c r="AS32" s="438">
        <v>61261.11</v>
      </c>
      <c r="AT32" s="438">
        <v>0</v>
      </c>
      <c r="AU32" s="438">
        <v>27919.25</v>
      </c>
      <c r="AV32" s="438">
        <v>9228.3799999999992</v>
      </c>
      <c r="AW32" s="438">
        <v>6012.54</v>
      </c>
      <c r="AX32" s="438">
        <v>8196</v>
      </c>
      <c r="AY32" s="438">
        <v>5427.39</v>
      </c>
      <c r="AZ32" s="438">
        <v>29790.09</v>
      </c>
      <c r="BA32" s="438">
        <v>4244.7</v>
      </c>
      <c r="BB32" s="438">
        <v>78925.95</v>
      </c>
      <c r="BC32" s="438">
        <v>18435.240000000002</v>
      </c>
      <c r="BD32" s="438">
        <v>87569.66</v>
      </c>
      <c r="BE32" s="438">
        <v>7235.5</v>
      </c>
      <c r="BF32" s="438">
        <v>12251.93</v>
      </c>
      <c r="BG32" s="438">
        <v>102422.2</v>
      </c>
      <c r="BH32" s="438">
        <v>11194.3</v>
      </c>
      <c r="BI32" s="438">
        <v>0</v>
      </c>
      <c r="BJ32" s="438">
        <v>25535.86</v>
      </c>
      <c r="BK32" s="438">
        <v>16416.05</v>
      </c>
      <c r="BL32" s="438">
        <v>844.5</v>
      </c>
      <c r="BM32" s="438">
        <v>90926.399999999994</v>
      </c>
      <c r="BN32" s="438">
        <v>69486</v>
      </c>
      <c r="BO32" s="438">
        <v>189649.15</v>
      </c>
      <c r="BP32" s="438">
        <v>36339.730000000003</v>
      </c>
      <c r="BQ32" s="438">
        <v>0</v>
      </c>
      <c r="BR32" s="438">
        <v>0</v>
      </c>
      <c r="BS32" s="438">
        <v>0</v>
      </c>
      <c r="BT32" s="438">
        <v>0</v>
      </c>
      <c r="BU32" s="438">
        <v>0</v>
      </c>
      <c r="BV32" s="438">
        <v>27808</v>
      </c>
      <c r="BW32" s="438">
        <v>0</v>
      </c>
      <c r="BX32" s="438">
        <v>0</v>
      </c>
      <c r="BY32" s="438">
        <v>6000</v>
      </c>
      <c r="BZ32" s="438">
        <v>0</v>
      </c>
      <c r="CA32" s="438">
        <v>0</v>
      </c>
      <c r="CB32" s="438">
        <v>0</v>
      </c>
      <c r="CC32" s="438">
        <v>0</v>
      </c>
      <c r="CD32" s="438">
        <v>46219</v>
      </c>
      <c r="CE32" s="438">
        <v>-100429</v>
      </c>
      <c r="CF32" s="438">
        <v>33421</v>
      </c>
      <c r="CG32" s="438">
        <v>0</v>
      </c>
      <c r="CH32" s="438">
        <v>0</v>
      </c>
      <c r="CI32" s="438">
        <v>0</v>
      </c>
      <c r="CJ32" s="111">
        <f t="shared" si="3"/>
        <v>-54210</v>
      </c>
      <c r="CK32" s="111">
        <f t="shared" si="4"/>
        <v>33421</v>
      </c>
      <c r="CL32" s="111">
        <f t="shared" si="2"/>
        <v>-54210</v>
      </c>
    </row>
    <row r="33" spans="1:90" ht="26.4">
      <c r="A33" s="435">
        <v>302</v>
      </c>
      <c r="B33" s="435">
        <v>2044</v>
      </c>
      <c r="C33" s="435" t="s">
        <v>80</v>
      </c>
      <c r="D33" s="435" t="s">
        <v>594</v>
      </c>
      <c r="E33" s="435"/>
      <c r="F33" s="435" t="s">
        <v>588</v>
      </c>
      <c r="G33" s="435">
        <v>0</v>
      </c>
      <c r="H33" s="435">
        <v>1</v>
      </c>
      <c r="I33" s="435" t="s">
        <v>695</v>
      </c>
      <c r="J33" s="435" t="s">
        <v>590</v>
      </c>
      <c r="K33" s="435" t="s">
        <v>591</v>
      </c>
      <c r="L33" s="435" t="s">
        <v>592</v>
      </c>
      <c r="M33" s="435" t="s">
        <v>591</v>
      </c>
      <c r="N33" s="435" t="s">
        <v>593</v>
      </c>
      <c r="O33" s="435" t="s">
        <v>188</v>
      </c>
      <c r="P33" s="435" t="s">
        <v>188</v>
      </c>
      <c r="Q33" s="438">
        <v>-88904</v>
      </c>
      <c r="R33" s="438">
        <v>0</v>
      </c>
      <c r="S33" s="438">
        <v>7926</v>
      </c>
      <c r="T33" s="438">
        <v>1750104.96</v>
      </c>
      <c r="U33" s="438">
        <v>0</v>
      </c>
      <c r="V33" s="438">
        <v>65385.919999999998</v>
      </c>
      <c r="W33" s="438">
        <v>0</v>
      </c>
      <c r="X33" s="438">
        <v>72459.97</v>
      </c>
      <c r="Y33" s="438">
        <v>0</v>
      </c>
      <c r="Z33" s="438">
        <v>30873</v>
      </c>
      <c r="AA33" s="438">
        <v>14668.19</v>
      </c>
      <c r="AB33" s="438">
        <v>48413.74</v>
      </c>
      <c r="AC33" s="438">
        <v>0</v>
      </c>
      <c r="AD33" s="438">
        <v>240</v>
      </c>
      <c r="AE33" s="438">
        <v>0</v>
      </c>
      <c r="AF33" s="438">
        <v>5606.55</v>
      </c>
      <c r="AG33" s="438">
        <v>1807.41</v>
      </c>
      <c r="AH33" s="438">
        <v>0</v>
      </c>
      <c r="AI33" s="438">
        <v>0</v>
      </c>
      <c r="AJ33" s="438">
        <v>0</v>
      </c>
      <c r="AK33" s="438">
        <v>0</v>
      </c>
      <c r="AL33" s="438">
        <v>0</v>
      </c>
      <c r="AM33" s="438">
        <v>12006.75</v>
      </c>
      <c r="AN33" s="438">
        <v>144572.04</v>
      </c>
      <c r="AO33" s="438">
        <v>878570.79</v>
      </c>
      <c r="AP33" s="438">
        <v>5130.37</v>
      </c>
      <c r="AQ33" s="438">
        <v>338542.81</v>
      </c>
      <c r="AR33" s="438">
        <v>24520.18</v>
      </c>
      <c r="AS33" s="438">
        <v>92400.1</v>
      </c>
      <c r="AT33" s="438">
        <v>0</v>
      </c>
      <c r="AU33" s="438">
        <v>69287.350000000006</v>
      </c>
      <c r="AV33" s="438">
        <v>6733.4</v>
      </c>
      <c r="AW33" s="438">
        <v>2920.11</v>
      </c>
      <c r="AX33" s="438">
        <v>6714.96</v>
      </c>
      <c r="AY33" s="438">
        <v>4302.03</v>
      </c>
      <c r="AZ33" s="438">
        <v>24088.65</v>
      </c>
      <c r="BA33" s="438">
        <v>0</v>
      </c>
      <c r="BB33" s="438">
        <v>54632.42</v>
      </c>
      <c r="BC33" s="438">
        <v>12770.91</v>
      </c>
      <c r="BD33" s="438">
        <v>59870.94</v>
      </c>
      <c r="BE33" s="438">
        <v>0</v>
      </c>
      <c r="BF33" s="438">
        <v>8832.77</v>
      </c>
      <c r="BG33" s="438">
        <v>46343.199999999997</v>
      </c>
      <c r="BH33" s="438">
        <v>4828.01</v>
      </c>
      <c r="BI33" s="438">
        <v>0</v>
      </c>
      <c r="BJ33" s="438">
        <v>17448.849999999999</v>
      </c>
      <c r="BK33" s="438">
        <v>13132.84</v>
      </c>
      <c r="BL33" s="438">
        <v>538.5</v>
      </c>
      <c r="BM33" s="438">
        <v>121743.97</v>
      </c>
      <c r="BN33" s="438">
        <v>70637.7</v>
      </c>
      <c r="BO33" s="438">
        <v>216216.7</v>
      </c>
      <c r="BP33" s="438">
        <v>36430.97</v>
      </c>
      <c r="BQ33" s="438">
        <v>0</v>
      </c>
      <c r="BR33" s="438">
        <v>0</v>
      </c>
      <c r="BS33" s="438">
        <v>0</v>
      </c>
      <c r="BT33" s="438">
        <v>0</v>
      </c>
      <c r="BU33" s="438">
        <v>0</v>
      </c>
      <c r="BV33" s="438">
        <v>24864.720000000001</v>
      </c>
      <c r="BW33" s="438">
        <v>0</v>
      </c>
      <c r="BX33" s="438">
        <v>0</v>
      </c>
      <c r="BY33" s="438">
        <v>6000</v>
      </c>
      <c r="BZ33" s="438">
        <v>0</v>
      </c>
      <c r="CA33" s="438">
        <v>0</v>
      </c>
      <c r="CB33" s="438">
        <v>0</v>
      </c>
      <c r="CC33" s="438">
        <v>8560.7199999999993</v>
      </c>
      <c r="CD33" s="438">
        <v>11515</v>
      </c>
      <c r="CE33" s="438">
        <v>-70919</v>
      </c>
      <c r="CF33" s="438">
        <v>24230</v>
      </c>
      <c r="CG33" s="438">
        <v>0</v>
      </c>
      <c r="CH33" s="438">
        <v>0</v>
      </c>
      <c r="CI33" s="438">
        <v>0</v>
      </c>
      <c r="CJ33" s="111">
        <f t="shared" si="3"/>
        <v>-59404</v>
      </c>
      <c r="CK33" s="111">
        <f t="shared" si="4"/>
        <v>24230</v>
      </c>
      <c r="CL33" s="111">
        <f t="shared" si="2"/>
        <v>-59404</v>
      </c>
    </row>
    <row r="34" spans="1:90" ht="26.4">
      <c r="A34" s="435">
        <v>302</v>
      </c>
      <c r="B34" s="435">
        <v>2045</v>
      </c>
      <c r="C34" s="435" t="s">
        <v>82</v>
      </c>
      <c r="D34" s="435" t="s">
        <v>594</v>
      </c>
      <c r="E34" s="435"/>
      <c r="F34" s="435" t="s">
        <v>588</v>
      </c>
      <c r="G34" s="435">
        <v>0</v>
      </c>
      <c r="H34" s="435">
        <v>0</v>
      </c>
      <c r="I34" s="435" t="s">
        <v>695</v>
      </c>
      <c r="J34" s="435" t="s">
        <v>590</v>
      </c>
      <c r="K34" s="435" t="s">
        <v>591</v>
      </c>
      <c r="L34" s="435" t="s">
        <v>592</v>
      </c>
      <c r="M34" s="435" t="s">
        <v>591</v>
      </c>
      <c r="N34" s="435" t="s">
        <v>593</v>
      </c>
      <c r="O34" s="435" t="s">
        <v>188</v>
      </c>
      <c r="P34" s="435" t="s">
        <v>188</v>
      </c>
      <c r="Q34" s="438">
        <v>75160</v>
      </c>
      <c r="R34" s="438">
        <v>0</v>
      </c>
      <c r="S34" s="438">
        <v>885</v>
      </c>
      <c r="T34" s="438">
        <v>1441979.31</v>
      </c>
      <c r="U34" s="438">
        <v>0</v>
      </c>
      <c r="V34" s="438">
        <v>87044.21</v>
      </c>
      <c r="W34" s="438">
        <v>0</v>
      </c>
      <c r="X34" s="438">
        <v>60669.48</v>
      </c>
      <c r="Y34" s="438">
        <v>0</v>
      </c>
      <c r="Z34" s="438">
        <v>1483</v>
      </c>
      <c r="AA34" s="438">
        <v>12375.24</v>
      </c>
      <c r="AB34" s="438">
        <v>76029.350000000006</v>
      </c>
      <c r="AC34" s="438">
        <v>29747.040000000001</v>
      </c>
      <c r="AD34" s="438">
        <v>0</v>
      </c>
      <c r="AE34" s="438">
        <v>0</v>
      </c>
      <c r="AF34" s="438">
        <v>51532.480000000003</v>
      </c>
      <c r="AG34" s="438">
        <v>33804.080000000002</v>
      </c>
      <c r="AH34" s="438">
        <v>0</v>
      </c>
      <c r="AI34" s="438">
        <v>0</v>
      </c>
      <c r="AJ34" s="438">
        <v>0</v>
      </c>
      <c r="AK34" s="438">
        <v>0</v>
      </c>
      <c r="AL34" s="438">
        <v>0</v>
      </c>
      <c r="AM34" s="438">
        <v>11936</v>
      </c>
      <c r="AN34" s="438">
        <v>44936</v>
      </c>
      <c r="AO34" s="438">
        <v>751134.74</v>
      </c>
      <c r="AP34" s="438">
        <v>0</v>
      </c>
      <c r="AQ34" s="438">
        <v>574836.14</v>
      </c>
      <c r="AR34" s="438">
        <v>61721.88</v>
      </c>
      <c r="AS34" s="438">
        <v>54882.91</v>
      </c>
      <c r="AT34" s="438">
        <v>0</v>
      </c>
      <c r="AU34" s="438">
        <v>40039.440000000002</v>
      </c>
      <c r="AV34" s="438">
        <v>6875.67</v>
      </c>
      <c r="AW34" s="438">
        <v>4208.16</v>
      </c>
      <c r="AX34" s="438">
        <v>348.6</v>
      </c>
      <c r="AY34" s="438">
        <v>0</v>
      </c>
      <c r="AZ34" s="438">
        <v>6271.29</v>
      </c>
      <c r="BA34" s="438">
        <v>306.68</v>
      </c>
      <c r="BB34" s="438">
        <v>452.95</v>
      </c>
      <c r="BC34" s="438">
        <v>3589.97</v>
      </c>
      <c r="BD34" s="438">
        <v>33843.480000000003</v>
      </c>
      <c r="BE34" s="438">
        <v>30464</v>
      </c>
      <c r="BF34" s="438">
        <v>8657.84</v>
      </c>
      <c r="BG34" s="438">
        <v>100631.58</v>
      </c>
      <c r="BH34" s="438">
        <v>15022.98</v>
      </c>
      <c r="BI34" s="438">
        <v>0</v>
      </c>
      <c r="BJ34" s="438">
        <v>10188.530000000001</v>
      </c>
      <c r="BK34" s="438">
        <v>8200</v>
      </c>
      <c r="BL34" s="438">
        <v>19525</v>
      </c>
      <c r="BM34" s="438">
        <v>55679.35</v>
      </c>
      <c r="BN34" s="438">
        <v>10281</v>
      </c>
      <c r="BO34" s="438">
        <v>70841</v>
      </c>
      <c r="BP34" s="438">
        <v>33487</v>
      </c>
      <c r="BQ34" s="438">
        <v>0</v>
      </c>
      <c r="BR34" s="438">
        <v>0</v>
      </c>
      <c r="BS34" s="438">
        <v>0</v>
      </c>
      <c r="BT34" s="438">
        <v>0</v>
      </c>
      <c r="BU34" s="438">
        <v>0</v>
      </c>
      <c r="BV34" s="438">
        <v>21621</v>
      </c>
      <c r="BW34" s="438">
        <v>0</v>
      </c>
      <c r="BX34" s="438">
        <v>0</v>
      </c>
      <c r="BY34" s="438">
        <v>6000</v>
      </c>
      <c r="BZ34" s="438">
        <v>0</v>
      </c>
      <c r="CA34" s="438">
        <v>0</v>
      </c>
      <c r="CB34" s="438">
        <v>0</v>
      </c>
      <c r="CC34" s="438">
        <v>0</v>
      </c>
      <c r="CD34" s="438">
        <v>23674</v>
      </c>
      <c r="CE34" s="438">
        <v>1532</v>
      </c>
      <c r="CF34" s="438">
        <v>22506</v>
      </c>
      <c r="CG34" s="438">
        <v>0</v>
      </c>
      <c r="CH34" s="438">
        <v>0</v>
      </c>
      <c r="CI34" s="438">
        <v>0</v>
      </c>
      <c r="CJ34" s="111">
        <f t="shared" si="3"/>
        <v>25206</v>
      </c>
      <c r="CK34" s="111">
        <f t="shared" si="4"/>
        <v>22506</v>
      </c>
      <c r="CL34" s="111">
        <f t="shared" si="2"/>
        <v>25206</v>
      </c>
    </row>
    <row r="35" spans="1:90" ht="26.4">
      <c r="A35" s="435">
        <v>302</v>
      </c>
      <c r="B35" s="435">
        <v>2053</v>
      </c>
      <c r="C35" s="435" t="s">
        <v>443</v>
      </c>
      <c r="D35" s="435" t="s">
        <v>594</v>
      </c>
      <c r="E35" s="435"/>
      <c r="F35" s="435" t="s">
        <v>588</v>
      </c>
      <c r="G35" s="435">
        <v>0</v>
      </c>
      <c r="H35" s="435">
        <v>0</v>
      </c>
      <c r="I35" s="435" t="s">
        <v>695</v>
      </c>
      <c r="J35" s="435" t="s">
        <v>590</v>
      </c>
      <c r="K35" s="435" t="s">
        <v>591</v>
      </c>
      <c r="L35" s="435" t="s">
        <v>592</v>
      </c>
      <c r="M35" s="435" t="s">
        <v>591</v>
      </c>
      <c r="N35" s="435" t="s">
        <v>593</v>
      </c>
      <c r="O35" s="435" t="s">
        <v>188</v>
      </c>
      <c r="P35" s="435" t="s">
        <v>188</v>
      </c>
      <c r="Q35" s="438">
        <v>10066</v>
      </c>
      <c r="R35" s="438">
        <v>0</v>
      </c>
      <c r="S35" s="438">
        <v>0</v>
      </c>
      <c r="T35" s="438">
        <v>1130038.72</v>
      </c>
      <c r="U35" s="438">
        <v>0</v>
      </c>
      <c r="V35" s="438">
        <v>67126.78</v>
      </c>
      <c r="W35" s="438">
        <v>0</v>
      </c>
      <c r="X35" s="438">
        <v>5540.03</v>
      </c>
      <c r="Y35" s="438">
        <v>47805.13</v>
      </c>
      <c r="Z35" s="438">
        <v>3169.82</v>
      </c>
      <c r="AA35" s="438">
        <v>7750.64</v>
      </c>
      <c r="AB35" s="438">
        <v>0</v>
      </c>
      <c r="AC35" s="438">
        <v>5565.36</v>
      </c>
      <c r="AD35" s="438">
        <v>0</v>
      </c>
      <c r="AE35" s="438">
        <v>0</v>
      </c>
      <c r="AF35" s="438">
        <v>8097.26</v>
      </c>
      <c r="AG35" s="438">
        <v>526363.57999999996</v>
      </c>
      <c r="AH35" s="438">
        <v>0</v>
      </c>
      <c r="AI35" s="438">
        <v>0</v>
      </c>
      <c r="AJ35" s="438">
        <v>0</v>
      </c>
      <c r="AK35" s="438">
        <v>0</v>
      </c>
      <c r="AL35" s="438">
        <v>0</v>
      </c>
      <c r="AM35" s="438">
        <v>2664.88</v>
      </c>
      <c r="AN35" s="438">
        <v>56009</v>
      </c>
      <c r="AO35" s="438">
        <v>661606.44999999995</v>
      </c>
      <c r="AP35" s="438">
        <v>0</v>
      </c>
      <c r="AQ35" s="438">
        <v>675264.59</v>
      </c>
      <c r="AR35" s="438">
        <v>16731.28</v>
      </c>
      <c r="AS35" s="438">
        <v>134048.22</v>
      </c>
      <c r="AT35" s="438">
        <v>0</v>
      </c>
      <c r="AU35" s="438">
        <v>0</v>
      </c>
      <c r="AV35" s="438">
        <v>6887.38</v>
      </c>
      <c r="AW35" s="438">
        <v>4675.66</v>
      </c>
      <c r="AX35" s="438">
        <v>338.64</v>
      </c>
      <c r="AY35" s="438">
        <v>0</v>
      </c>
      <c r="AZ35" s="438">
        <v>21802.22</v>
      </c>
      <c r="BA35" s="438">
        <v>10947.34</v>
      </c>
      <c r="BB35" s="438">
        <v>32993.589999999997</v>
      </c>
      <c r="BC35" s="438">
        <v>485.71</v>
      </c>
      <c r="BD35" s="438">
        <v>10688.9</v>
      </c>
      <c r="BE35" s="438">
        <v>7782.4</v>
      </c>
      <c r="BF35" s="438">
        <v>53891.02</v>
      </c>
      <c r="BG35" s="438">
        <v>58959.38</v>
      </c>
      <c r="BH35" s="438">
        <v>17936.099999999999</v>
      </c>
      <c r="BI35" s="438">
        <v>0</v>
      </c>
      <c r="BJ35" s="438">
        <v>16810.73</v>
      </c>
      <c r="BK35" s="438">
        <v>16883.27</v>
      </c>
      <c r="BL35" s="438">
        <v>580.66999999999996</v>
      </c>
      <c r="BM35" s="438">
        <v>39780.9</v>
      </c>
      <c r="BN35" s="438">
        <v>8673.02</v>
      </c>
      <c r="BO35" s="438">
        <v>47113.35</v>
      </c>
      <c r="BP35" s="438">
        <v>21008.38</v>
      </c>
      <c r="BQ35" s="438">
        <v>0</v>
      </c>
      <c r="BR35" s="438">
        <v>0</v>
      </c>
      <c r="BS35" s="438">
        <v>0</v>
      </c>
      <c r="BT35" s="438">
        <v>0</v>
      </c>
      <c r="BU35" s="438">
        <v>0</v>
      </c>
      <c r="BV35" s="438">
        <v>0</v>
      </c>
      <c r="BW35" s="438">
        <v>0</v>
      </c>
      <c r="BX35" s="438">
        <v>0</v>
      </c>
      <c r="BY35" s="438">
        <v>6000</v>
      </c>
      <c r="BZ35" s="438">
        <v>0</v>
      </c>
      <c r="CA35" s="438">
        <v>0</v>
      </c>
      <c r="CB35" s="438">
        <v>0</v>
      </c>
      <c r="CC35" s="438">
        <v>0</v>
      </c>
      <c r="CD35" s="438">
        <v>0</v>
      </c>
      <c r="CE35" s="438">
        <v>4308</v>
      </c>
      <c r="CF35" s="438">
        <v>0</v>
      </c>
      <c r="CG35" s="438">
        <v>0</v>
      </c>
      <c r="CH35" s="438">
        <v>0</v>
      </c>
      <c r="CI35" s="438">
        <v>0</v>
      </c>
      <c r="CJ35" s="111">
        <f t="shared" si="3"/>
        <v>4308</v>
      </c>
      <c r="CK35" s="111">
        <f t="shared" si="4"/>
        <v>0</v>
      </c>
      <c r="CL35" s="111">
        <f t="shared" si="2"/>
        <v>4308</v>
      </c>
    </row>
    <row r="36" spans="1:90" ht="26.4">
      <c r="A36" s="435">
        <v>302</v>
      </c>
      <c r="B36" s="435">
        <v>2054</v>
      </c>
      <c r="C36" s="435" t="s">
        <v>113</v>
      </c>
      <c r="D36" s="435" t="s">
        <v>594</v>
      </c>
      <c r="E36" s="435"/>
      <c r="F36" s="435" t="s">
        <v>588</v>
      </c>
      <c r="G36" s="435">
        <v>0</v>
      </c>
      <c r="H36" s="435">
        <v>0</v>
      </c>
      <c r="I36" s="435" t="s">
        <v>695</v>
      </c>
      <c r="J36" s="435" t="s">
        <v>590</v>
      </c>
      <c r="K36" s="435" t="s">
        <v>591</v>
      </c>
      <c r="L36" s="435" t="s">
        <v>592</v>
      </c>
      <c r="M36" s="435" t="s">
        <v>591</v>
      </c>
      <c r="N36" s="435" t="s">
        <v>593</v>
      </c>
      <c r="O36" s="435" t="s">
        <v>188</v>
      </c>
      <c r="P36" s="435" t="s">
        <v>188</v>
      </c>
      <c r="Q36" s="438">
        <v>103227</v>
      </c>
      <c r="R36" s="438">
        <v>0</v>
      </c>
      <c r="S36" s="438">
        <v>10058</v>
      </c>
      <c r="T36" s="438">
        <v>1007079.15</v>
      </c>
      <c r="U36" s="438">
        <v>0</v>
      </c>
      <c r="V36" s="438">
        <v>65539.149999999994</v>
      </c>
      <c r="W36" s="438">
        <v>0</v>
      </c>
      <c r="X36" s="438">
        <v>23144.99</v>
      </c>
      <c r="Y36" s="438">
        <v>0</v>
      </c>
      <c r="Z36" s="438">
        <v>1850</v>
      </c>
      <c r="AA36" s="438">
        <v>44755.05</v>
      </c>
      <c r="AB36" s="438">
        <v>22422.799999999999</v>
      </c>
      <c r="AC36" s="438">
        <v>29063.21</v>
      </c>
      <c r="AD36" s="438">
        <v>0</v>
      </c>
      <c r="AE36" s="438">
        <v>0</v>
      </c>
      <c r="AF36" s="438">
        <v>42581.01</v>
      </c>
      <c r="AG36" s="438">
        <v>44716.75</v>
      </c>
      <c r="AH36" s="438">
        <v>0</v>
      </c>
      <c r="AI36" s="438">
        <v>0</v>
      </c>
      <c r="AJ36" s="438">
        <v>0</v>
      </c>
      <c r="AK36" s="438">
        <v>0</v>
      </c>
      <c r="AL36" s="438">
        <v>0</v>
      </c>
      <c r="AM36" s="438">
        <v>4234.75</v>
      </c>
      <c r="AN36" s="438">
        <v>57722</v>
      </c>
      <c r="AO36" s="438">
        <v>585544.74</v>
      </c>
      <c r="AP36" s="438">
        <v>2063.5300000000002</v>
      </c>
      <c r="AQ36" s="438">
        <v>166656.69</v>
      </c>
      <c r="AR36" s="438">
        <v>50092.56</v>
      </c>
      <c r="AS36" s="438">
        <v>67417.67</v>
      </c>
      <c r="AT36" s="438">
        <v>0</v>
      </c>
      <c r="AU36" s="438">
        <v>39904.980000000003</v>
      </c>
      <c r="AV36" s="438">
        <v>7462.79</v>
      </c>
      <c r="AW36" s="438">
        <v>2201.64</v>
      </c>
      <c r="AX36" s="438">
        <v>2865.11</v>
      </c>
      <c r="AY36" s="438">
        <v>871</v>
      </c>
      <c r="AZ36" s="438">
        <v>21971.97</v>
      </c>
      <c r="BA36" s="438">
        <v>2046.64</v>
      </c>
      <c r="BB36" s="438">
        <v>12408.08</v>
      </c>
      <c r="BC36" s="438">
        <v>2906.76</v>
      </c>
      <c r="BD36" s="438">
        <v>17254.259999999998</v>
      </c>
      <c r="BE36" s="438">
        <v>19086.75</v>
      </c>
      <c r="BF36" s="438">
        <v>9343.7800000000007</v>
      </c>
      <c r="BG36" s="438">
        <v>77995.02</v>
      </c>
      <c r="BH36" s="438">
        <v>12552.94</v>
      </c>
      <c r="BI36" s="438">
        <v>0</v>
      </c>
      <c r="BJ36" s="438">
        <v>10199.280000000001</v>
      </c>
      <c r="BK36" s="438">
        <v>6691.45</v>
      </c>
      <c r="BL36" s="438">
        <v>10493.08</v>
      </c>
      <c r="BM36" s="438">
        <v>65802.5</v>
      </c>
      <c r="BN36" s="438">
        <v>14288.65</v>
      </c>
      <c r="BO36" s="438">
        <v>145624.39000000001</v>
      </c>
      <c r="BP36" s="438">
        <v>18312.599999999999</v>
      </c>
      <c r="BQ36" s="438">
        <v>0</v>
      </c>
      <c r="BR36" s="438">
        <v>0</v>
      </c>
      <c r="BS36" s="438">
        <v>0</v>
      </c>
      <c r="BT36" s="438">
        <v>0</v>
      </c>
      <c r="BU36" s="438">
        <v>0</v>
      </c>
      <c r="BV36" s="438">
        <v>20450</v>
      </c>
      <c r="BW36" s="438">
        <v>0</v>
      </c>
      <c r="BX36" s="438">
        <v>0</v>
      </c>
      <c r="BY36" s="438">
        <v>6000</v>
      </c>
      <c r="BZ36" s="438">
        <v>0</v>
      </c>
      <c r="CA36" s="438">
        <v>0</v>
      </c>
      <c r="CB36" s="438">
        <v>0</v>
      </c>
      <c r="CC36" s="438">
        <v>0</v>
      </c>
      <c r="CD36" s="438">
        <v>5836</v>
      </c>
      <c r="CE36" s="438">
        <v>68441</v>
      </c>
      <c r="CF36" s="438">
        <v>30508</v>
      </c>
      <c r="CG36" s="438">
        <v>0</v>
      </c>
      <c r="CH36" s="438">
        <v>0</v>
      </c>
      <c r="CI36" s="438">
        <v>0</v>
      </c>
      <c r="CJ36" s="111">
        <f t="shared" si="3"/>
        <v>74277</v>
      </c>
      <c r="CK36" s="111">
        <f t="shared" si="4"/>
        <v>30508</v>
      </c>
      <c r="CL36" s="111">
        <f t="shared" si="2"/>
        <v>74277</v>
      </c>
    </row>
    <row r="37" spans="1:90">
      <c r="A37" s="435">
        <v>302</v>
      </c>
      <c r="B37" s="435">
        <v>2055</v>
      </c>
      <c r="C37" s="435" t="s">
        <v>107</v>
      </c>
      <c r="D37" s="435" t="s">
        <v>594</v>
      </c>
      <c r="E37" s="435"/>
      <c r="F37" s="435" t="s">
        <v>588</v>
      </c>
      <c r="G37" s="435">
        <v>0</v>
      </c>
      <c r="H37" s="435">
        <v>1</v>
      </c>
      <c r="I37" s="435" t="s">
        <v>695</v>
      </c>
      <c r="J37" s="435" t="s">
        <v>590</v>
      </c>
      <c r="K37" s="435" t="s">
        <v>591</v>
      </c>
      <c r="L37" s="435" t="s">
        <v>592</v>
      </c>
      <c r="M37" s="435" t="s">
        <v>591</v>
      </c>
      <c r="N37" s="435" t="s">
        <v>593</v>
      </c>
      <c r="O37" s="435" t="s">
        <v>188</v>
      </c>
      <c r="P37" s="435" t="s">
        <v>188</v>
      </c>
      <c r="Q37" s="438">
        <v>-99271</v>
      </c>
      <c r="R37" s="438">
        <v>0</v>
      </c>
      <c r="S37" s="438">
        <v>19725</v>
      </c>
      <c r="T37" s="438">
        <v>1374422.33</v>
      </c>
      <c r="U37" s="438">
        <v>0</v>
      </c>
      <c r="V37" s="438">
        <v>60765.51</v>
      </c>
      <c r="W37" s="438">
        <v>0</v>
      </c>
      <c r="X37" s="438">
        <v>103875</v>
      </c>
      <c r="Y37" s="438">
        <v>36806.379999999997</v>
      </c>
      <c r="Z37" s="438">
        <v>3812</v>
      </c>
      <c r="AA37" s="438">
        <v>405</v>
      </c>
      <c r="AB37" s="438">
        <v>15114.13</v>
      </c>
      <c r="AC37" s="438">
        <v>16952.2</v>
      </c>
      <c r="AD37" s="438">
        <v>0</v>
      </c>
      <c r="AE37" s="438">
        <v>0</v>
      </c>
      <c r="AF37" s="438">
        <v>4365.59</v>
      </c>
      <c r="AG37" s="438">
        <v>1235</v>
      </c>
      <c r="AH37" s="438">
        <v>0</v>
      </c>
      <c r="AI37" s="438">
        <v>0</v>
      </c>
      <c r="AJ37" s="438">
        <v>0</v>
      </c>
      <c r="AK37" s="438">
        <v>6500</v>
      </c>
      <c r="AL37" s="438">
        <v>0</v>
      </c>
      <c r="AM37" s="438">
        <v>40303</v>
      </c>
      <c r="AN37" s="438">
        <v>46526</v>
      </c>
      <c r="AO37" s="438">
        <v>784744.65</v>
      </c>
      <c r="AP37" s="438">
        <v>0</v>
      </c>
      <c r="AQ37" s="438">
        <v>318415.59999999998</v>
      </c>
      <c r="AR37" s="438">
        <v>32231.35</v>
      </c>
      <c r="AS37" s="438">
        <v>37720.22</v>
      </c>
      <c r="AT37" s="438">
        <v>0</v>
      </c>
      <c r="AU37" s="438">
        <v>41781.71</v>
      </c>
      <c r="AV37" s="438">
        <v>18029.82</v>
      </c>
      <c r="AW37" s="438">
        <v>2730</v>
      </c>
      <c r="AX37" s="438">
        <v>355</v>
      </c>
      <c r="AY37" s="438">
        <v>816</v>
      </c>
      <c r="AZ37" s="438">
        <v>9420.2000000000007</v>
      </c>
      <c r="BA37" s="438">
        <v>8243.8799999999992</v>
      </c>
      <c r="BB37" s="438">
        <v>27213.64</v>
      </c>
      <c r="BC37" s="438">
        <v>4320.34</v>
      </c>
      <c r="BD37" s="438">
        <v>50158.01</v>
      </c>
      <c r="BE37" s="438">
        <v>26112</v>
      </c>
      <c r="BF37" s="438">
        <v>9756.74</v>
      </c>
      <c r="BG37" s="438">
        <v>59850.96</v>
      </c>
      <c r="BH37" s="438">
        <v>6168.82</v>
      </c>
      <c r="BI37" s="438">
        <v>0</v>
      </c>
      <c r="BJ37" s="438">
        <v>9037.98</v>
      </c>
      <c r="BK37" s="438">
        <v>8400.4599999999991</v>
      </c>
      <c r="BL37" s="438">
        <v>8634.7900000000009</v>
      </c>
      <c r="BM37" s="438">
        <v>63519.07</v>
      </c>
      <c r="BN37" s="438">
        <v>38185.800000000003</v>
      </c>
      <c r="BO37" s="438">
        <v>147189.67000000001</v>
      </c>
      <c r="BP37" s="438">
        <v>32848.39</v>
      </c>
      <c r="BQ37" s="438">
        <v>758.04</v>
      </c>
      <c r="BR37" s="438">
        <v>0</v>
      </c>
      <c r="BS37" s="438">
        <v>0</v>
      </c>
      <c r="BT37" s="438">
        <v>0</v>
      </c>
      <c r="BU37" s="438">
        <v>0</v>
      </c>
      <c r="BV37" s="438">
        <v>21019.96</v>
      </c>
      <c r="BW37" s="438">
        <v>0</v>
      </c>
      <c r="BX37" s="438">
        <v>0</v>
      </c>
      <c r="BY37" s="438">
        <v>6000</v>
      </c>
      <c r="BZ37" s="438">
        <v>0</v>
      </c>
      <c r="CA37" s="438">
        <v>0</v>
      </c>
      <c r="CB37" s="438">
        <v>2935</v>
      </c>
      <c r="CC37" s="438">
        <v>5048.96</v>
      </c>
      <c r="CD37" s="438">
        <v>0</v>
      </c>
      <c r="CE37" s="438">
        <v>-134832</v>
      </c>
      <c r="CF37" s="438">
        <v>32761</v>
      </c>
      <c r="CG37" s="438">
        <v>0</v>
      </c>
      <c r="CH37" s="438">
        <v>0</v>
      </c>
      <c r="CI37" s="438">
        <v>0</v>
      </c>
      <c r="CJ37" s="111">
        <f t="shared" si="3"/>
        <v>-134832</v>
      </c>
      <c r="CK37" s="111">
        <f t="shared" si="4"/>
        <v>32761</v>
      </c>
      <c r="CL37" s="111">
        <f t="shared" si="2"/>
        <v>-134832</v>
      </c>
    </row>
    <row r="38" spans="1:90" ht="26.4">
      <c r="A38" s="435">
        <v>302</v>
      </c>
      <c r="B38" s="435">
        <v>2057</v>
      </c>
      <c r="C38" s="435" t="s">
        <v>433</v>
      </c>
      <c r="D38" s="435" t="s">
        <v>594</v>
      </c>
      <c r="E38" s="435"/>
      <c r="F38" s="435" t="s">
        <v>588</v>
      </c>
      <c r="G38" s="435">
        <v>0</v>
      </c>
      <c r="H38" s="435">
        <v>0</v>
      </c>
      <c r="I38" s="435" t="s">
        <v>695</v>
      </c>
      <c r="J38" s="435" t="s">
        <v>590</v>
      </c>
      <c r="K38" s="435" t="s">
        <v>591</v>
      </c>
      <c r="L38" s="435" t="s">
        <v>592</v>
      </c>
      <c r="M38" s="435" t="s">
        <v>591</v>
      </c>
      <c r="N38" s="435" t="s">
        <v>593</v>
      </c>
      <c r="O38" s="435" t="s">
        <v>188</v>
      </c>
      <c r="P38" s="435" t="s">
        <v>188</v>
      </c>
      <c r="Q38" s="438">
        <v>32448</v>
      </c>
      <c r="R38" s="438">
        <v>20999</v>
      </c>
      <c r="S38" s="438">
        <v>13444</v>
      </c>
      <c r="T38" s="438">
        <v>2873285.42</v>
      </c>
      <c r="U38" s="438">
        <v>0</v>
      </c>
      <c r="V38" s="438">
        <v>186099.26</v>
      </c>
      <c r="W38" s="438">
        <v>0</v>
      </c>
      <c r="X38" s="438">
        <v>284012.03000000003</v>
      </c>
      <c r="Y38" s="438">
        <v>2650</v>
      </c>
      <c r="Z38" s="438">
        <v>92942.85</v>
      </c>
      <c r="AA38" s="438">
        <v>9276.3799999999992</v>
      </c>
      <c r="AB38" s="438">
        <v>68454.100000000006</v>
      </c>
      <c r="AC38" s="438">
        <v>30308.76</v>
      </c>
      <c r="AD38" s="438">
        <v>0</v>
      </c>
      <c r="AE38" s="438">
        <v>2996</v>
      </c>
      <c r="AF38" s="438">
        <v>21123.45</v>
      </c>
      <c r="AG38" s="438">
        <v>19138.64</v>
      </c>
      <c r="AH38" s="438">
        <v>0</v>
      </c>
      <c r="AI38" s="438">
        <v>187416</v>
      </c>
      <c r="AJ38" s="438">
        <v>7651.54</v>
      </c>
      <c r="AK38" s="438">
        <v>0</v>
      </c>
      <c r="AL38" s="438">
        <v>0</v>
      </c>
      <c r="AM38" s="438">
        <v>28818.63</v>
      </c>
      <c r="AN38" s="438">
        <v>61450</v>
      </c>
      <c r="AO38" s="438">
        <v>1359737.82</v>
      </c>
      <c r="AP38" s="438">
        <v>0</v>
      </c>
      <c r="AQ38" s="438">
        <v>919478.72</v>
      </c>
      <c r="AR38" s="438">
        <v>75241.240000000005</v>
      </c>
      <c r="AS38" s="438">
        <v>100440.71</v>
      </c>
      <c r="AT38" s="438">
        <v>0</v>
      </c>
      <c r="AU38" s="438">
        <v>91909.47</v>
      </c>
      <c r="AV38" s="438">
        <v>17042.46</v>
      </c>
      <c r="AW38" s="438">
        <v>3148.33</v>
      </c>
      <c r="AX38" s="438">
        <v>801.78</v>
      </c>
      <c r="AY38" s="438">
        <v>0</v>
      </c>
      <c r="AZ38" s="438">
        <v>20457.21</v>
      </c>
      <c r="BA38" s="438">
        <v>10648.66</v>
      </c>
      <c r="BB38" s="438">
        <v>10183.280000000001</v>
      </c>
      <c r="BC38" s="438">
        <v>10118.030000000001</v>
      </c>
      <c r="BD38" s="438">
        <v>64415.82</v>
      </c>
      <c r="BE38" s="438">
        <v>54272</v>
      </c>
      <c r="BF38" s="438">
        <v>14356.6</v>
      </c>
      <c r="BG38" s="438">
        <v>76561.600000000006</v>
      </c>
      <c r="BH38" s="438">
        <v>8870.43</v>
      </c>
      <c r="BI38" s="438">
        <v>0</v>
      </c>
      <c r="BJ38" s="438">
        <v>27734.91</v>
      </c>
      <c r="BK38" s="438">
        <v>16563.87</v>
      </c>
      <c r="BL38" s="438">
        <v>27108.33</v>
      </c>
      <c r="BM38" s="438">
        <v>113120.47</v>
      </c>
      <c r="BN38" s="438">
        <v>205613.91</v>
      </c>
      <c r="BO38" s="438">
        <v>222668.18</v>
      </c>
      <c r="BP38" s="438">
        <v>28411.69</v>
      </c>
      <c r="BQ38" s="438">
        <v>0</v>
      </c>
      <c r="BR38" s="438">
        <v>0</v>
      </c>
      <c r="BS38" s="438">
        <v>0</v>
      </c>
      <c r="BT38" s="438">
        <v>139587.32</v>
      </c>
      <c r="BU38" s="438">
        <v>63942.22</v>
      </c>
      <c r="BV38" s="438">
        <v>48696</v>
      </c>
      <c r="BW38" s="438">
        <v>0</v>
      </c>
      <c r="BX38" s="438">
        <v>0</v>
      </c>
      <c r="BY38" s="438">
        <v>6000</v>
      </c>
      <c r="BZ38" s="438">
        <v>0</v>
      </c>
      <c r="CA38" s="438">
        <v>0</v>
      </c>
      <c r="CB38" s="438">
        <v>13520</v>
      </c>
      <c r="CC38" s="438">
        <v>0</v>
      </c>
      <c r="CD38" s="438">
        <v>34858</v>
      </c>
      <c r="CE38" s="438">
        <v>199240</v>
      </c>
      <c r="CF38" s="438">
        <v>48620</v>
      </c>
      <c r="CG38" s="438">
        <v>0</v>
      </c>
      <c r="CH38" s="438">
        <v>12537</v>
      </c>
      <c r="CI38" s="438">
        <v>0</v>
      </c>
      <c r="CJ38" s="111">
        <f t="shared" si="3"/>
        <v>246635</v>
      </c>
      <c r="CK38" s="111">
        <f t="shared" si="4"/>
        <v>48620</v>
      </c>
      <c r="CL38" s="111">
        <f t="shared" si="2"/>
        <v>234098</v>
      </c>
    </row>
    <row r="39" spans="1:90" ht="26.4">
      <c r="A39" s="435">
        <v>302</v>
      </c>
      <c r="B39" s="435">
        <v>2060</v>
      </c>
      <c r="C39" s="435" t="s">
        <v>111</v>
      </c>
      <c r="D39" s="435" t="s">
        <v>594</v>
      </c>
      <c r="E39" s="435"/>
      <c r="F39" s="435" t="s">
        <v>588</v>
      </c>
      <c r="G39" s="435">
        <v>0</v>
      </c>
      <c r="H39" s="435">
        <v>1</v>
      </c>
      <c r="I39" s="435" t="s">
        <v>695</v>
      </c>
      <c r="J39" s="435" t="s">
        <v>590</v>
      </c>
      <c r="K39" s="435" t="s">
        <v>591</v>
      </c>
      <c r="L39" s="435" t="s">
        <v>592</v>
      </c>
      <c r="M39" s="435" t="s">
        <v>591</v>
      </c>
      <c r="N39" s="435" t="s">
        <v>593</v>
      </c>
      <c r="O39" s="435" t="s">
        <v>188</v>
      </c>
      <c r="P39" s="435" t="s">
        <v>188</v>
      </c>
      <c r="Q39" s="438">
        <v>88453</v>
      </c>
      <c r="R39" s="438">
        <v>0</v>
      </c>
      <c r="S39" s="438">
        <v>18830</v>
      </c>
      <c r="T39" s="438">
        <v>2684767.93</v>
      </c>
      <c r="U39" s="438">
        <v>0</v>
      </c>
      <c r="V39" s="438">
        <v>166882.23000000001</v>
      </c>
      <c r="W39" s="438">
        <v>0</v>
      </c>
      <c r="X39" s="438">
        <v>199314.02</v>
      </c>
      <c r="Y39" s="438">
        <v>2930</v>
      </c>
      <c r="Z39" s="438">
        <v>25757.22</v>
      </c>
      <c r="AA39" s="438">
        <v>93985.08</v>
      </c>
      <c r="AB39" s="438">
        <v>77536.38</v>
      </c>
      <c r="AC39" s="438">
        <v>31579.34</v>
      </c>
      <c r="AD39" s="438">
        <v>0</v>
      </c>
      <c r="AE39" s="438">
        <v>0</v>
      </c>
      <c r="AF39" s="438">
        <v>23346.04</v>
      </c>
      <c r="AG39" s="438">
        <v>11847.78</v>
      </c>
      <c r="AH39" s="438">
        <v>0</v>
      </c>
      <c r="AI39" s="438">
        <v>0</v>
      </c>
      <c r="AJ39" s="438">
        <v>0</v>
      </c>
      <c r="AK39" s="438">
        <v>0</v>
      </c>
      <c r="AL39" s="438">
        <v>0</v>
      </c>
      <c r="AM39" s="438">
        <v>18950.25</v>
      </c>
      <c r="AN39" s="438">
        <v>56409</v>
      </c>
      <c r="AO39" s="438">
        <v>1340963.05</v>
      </c>
      <c r="AP39" s="438">
        <v>0</v>
      </c>
      <c r="AQ39" s="438">
        <v>826322.11</v>
      </c>
      <c r="AR39" s="438">
        <v>81804.81</v>
      </c>
      <c r="AS39" s="438">
        <v>73512.36</v>
      </c>
      <c r="AT39" s="438">
        <v>0</v>
      </c>
      <c r="AU39" s="438">
        <v>105440.6</v>
      </c>
      <c r="AV39" s="438">
        <v>16408.18</v>
      </c>
      <c r="AW39" s="438">
        <v>5593.21</v>
      </c>
      <c r="AX39" s="438">
        <v>698.86</v>
      </c>
      <c r="AY39" s="438">
        <v>0</v>
      </c>
      <c r="AZ39" s="438">
        <v>55241.1</v>
      </c>
      <c r="BA39" s="438">
        <v>7307</v>
      </c>
      <c r="BB39" s="438">
        <v>41874.339999999997</v>
      </c>
      <c r="BC39" s="438">
        <v>-674.04</v>
      </c>
      <c r="BD39" s="438">
        <v>125817.60000000001</v>
      </c>
      <c r="BE39" s="438">
        <v>89600</v>
      </c>
      <c r="BF39" s="438">
        <v>16676.57</v>
      </c>
      <c r="BG39" s="438">
        <v>108658.84</v>
      </c>
      <c r="BH39" s="438">
        <v>11941.4</v>
      </c>
      <c r="BI39" s="438">
        <v>0</v>
      </c>
      <c r="BJ39" s="438">
        <v>14588.63</v>
      </c>
      <c r="BK39" s="438">
        <v>17196.89</v>
      </c>
      <c r="BL39" s="438">
        <v>8697.9500000000007</v>
      </c>
      <c r="BM39" s="438">
        <v>114628.12</v>
      </c>
      <c r="BN39" s="438">
        <v>47696.89</v>
      </c>
      <c r="BO39" s="438">
        <v>89366.95</v>
      </c>
      <c r="BP39" s="438">
        <v>59492.85</v>
      </c>
      <c r="BQ39" s="438">
        <v>0</v>
      </c>
      <c r="BR39" s="438">
        <v>0</v>
      </c>
      <c r="BS39" s="438">
        <v>0</v>
      </c>
      <c r="BT39" s="438">
        <v>0</v>
      </c>
      <c r="BU39" s="438">
        <v>0</v>
      </c>
      <c r="BV39" s="438">
        <v>28361.9</v>
      </c>
      <c r="BW39" s="438">
        <v>6249.79</v>
      </c>
      <c r="BX39" s="438">
        <v>0</v>
      </c>
      <c r="BY39" s="438">
        <v>6000</v>
      </c>
      <c r="BZ39" s="438">
        <v>0</v>
      </c>
      <c r="CA39" s="438">
        <v>5192.5</v>
      </c>
      <c r="CB39" s="438">
        <v>6250.19</v>
      </c>
      <c r="CC39" s="438">
        <v>7300</v>
      </c>
      <c r="CD39" s="438">
        <v>49806</v>
      </c>
      <c r="CE39" s="438">
        <v>173098</v>
      </c>
      <c r="CF39" s="438">
        <v>34699</v>
      </c>
      <c r="CG39" s="438">
        <v>0</v>
      </c>
      <c r="CH39" s="438">
        <v>0</v>
      </c>
      <c r="CI39" s="438">
        <v>0</v>
      </c>
      <c r="CJ39" s="111">
        <f t="shared" si="3"/>
        <v>222904</v>
      </c>
      <c r="CK39" s="111">
        <f t="shared" si="4"/>
        <v>34699</v>
      </c>
      <c r="CL39" s="111">
        <f t="shared" si="2"/>
        <v>222904</v>
      </c>
    </row>
    <row r="40" spans="1:90" ht="26.4">
      <c r="A40" s="435">
        <v>302</v>
      </c>
      <c r="B40" s="435">
        <v>2067</v>
      </c>
      <c r="C40" s="435" t="s">
        <v>44</v>
      </c>
      <c r="D40" s="435" t="s">
        <v>594</v>
      </c>
      <c r="E40" s="435"/>
      <c r="F40" s="435" t="s">
        <v>588</v>
      </c>
      <c r="G40" s="435">
        <v>0</v>
      </c>
      <c r="H40" s="435">
        <v>0</v>
      </c>
      <c r="I40" s="435" t="s">
        <v>695</v>
      </c>
      <c r="J40" s="435" t="s">
        <v>590</v>
      </c>
      <c r="K40" s="435" t="s">
        <v>591</v>
      </c>
      <c r="L40" s="435" t="s">
        <v>592</v>
      </c>
      <c r="M40" s="435" t="s">
        <v>591</v>
      </c>
      <c r="N40" s="435" t="s">
        <v>593</v>
      </c>
      <c r="O40" s="435" t="s">
        <v>188</v>
      </c>
      <c r="P40" s="435" t="s">
        <v>188</v>
      </c>
      <c r="Q40" s="438">
        <v>40899</v>
      </c>
      <c r="R40" s="438">
        <v>0</v>
      </c>
      <c r="S40" s="438">
        <v>6576</v>
      </c>
      <c r="T40" s="438">
        <v>1295290.6499999999</v>
      </c>
      <c r="U40" s="438">
        <v>0</v>
      </c>
      <c r="V40" s="438">
        <v>334533.59000000003</v>
      </c>
      <c r="W40" s="438">
        <v>0</v>
      </c>
      <c r="X40" s="438">
        <v>72020.03</v>
      </c>
      <c r="Y40" s="438">
        <v>7540</v>
      </c>
      <c r="Z40" s="438">
        <v>42320.47</v>
      </c>
      <c r="AA40" s="438">
        <v>15472.4</v>
      </c>
      <c r="AB40" s="438">
        <v>15805.43</v>
      </c>
      <c r="AC40" s="438">
        <v>20089.03</v>
      </c>
      <c r="AD40" s="438">
        <v>0</v>
      </c>
      <c r="AE40" s="438">
        <v>0</v>
      </c>
      <c r="AF40" s="438">
        <v>20929.580000000002</v>
      </c>
      <c r="AG40" s="438">
        <v>10704.61</v>
      </c>
      <c r="AH40" s="438">
        <v>0</v>
      </c>
      <c r="AI40" s="438">
        <v>0</v>
      </c>
      <c r="AJ40" s="438">
        <v>0</v>
      </c>
      <c r="AK40" s="438">
        <v>0</v>
      </c>
      <c r="AL40" s="438">
        <v>0</v>
      </c>
      <c r="AM40" s="438">
        <v>0</v>
      </c>
      <c r="AN40" s="438">
        <v>64544.82</v>
      </c>
      <c r="AO40" s="438">
        <v>851533.23</v>
      </c>
      <c r="AP40" s="438">
        <v>0</v>
      </c>
      <c r="AQ40" s="438">
        <v>445259.92</v>
      </c>
      <c r="AR40" s="438">
        <v>35394.93</v>
      </c>
      <c r="AS40" s="438">
        <v>65455.08</v>
      </c>
      <c r="AT40" s="438">
        <v>0</v>
      </c>
      <c r="AU40" s="438">
        <v>9095.1</v>
      </c>
      <c r="AV40" s="438">
        <v>14644.52</v>
      </c>
      <c r="AW40" s="438">
        <v>3216.43</v>
      </c>
      <c r="AX40" s="438">
        <v>376.82</v>
      </c>
      <c r="AY40" s="438">
        <v>0</v>
      </c>
      <c r="AZ40" s="438">
        <v>12892.98</v>
      </c>
      <c r="BA40" s="438">
        <v>5401.07</v>
      </c>
      <c r="BB40" s="438">
        <v>32365.35</v>
      </c>
      <c r="BC40" s="438">
        <v>3747.89</v>
      </c>
      <c r="BD40" s="438">
        <v>27339.040000000001</v>
      </c>
      <c r="BE40" s="438">
        <v>34560</v>
      </c>
      <c r="BF40" s="438">
        <v>10417.01</v>
      </c>
      <c r="BG40" s="438">
        <v>57358.23</v>
      </c>
      <c r="BH40" s="438">
        <v>13707.89</v>
      </c>
      <c r="BI40" s="438">
        <v>0</v>
      </c>
      <c r="BJ40" s="438">
        <v>9124.09</v>
      </c>
      <c r="BK40" s="438">
        <v>8374.0300000000007</v>
      </c>
      <c r="BL40" s="438">
        <v>7578.81</v>
      </c>
      <c r="BM40" s="438">
        <v>59074.47</v>
      </c>
      <c r="BN40" s="438">
        <v>31134.06</v>
      </c>
      <c r="BO40" s="438">
        <v>132744.16</v>
      </c>
      <c r="BP40" s="438">
        <v>41989.5</v>
      </c>
      <c r="BQ40" s="438">
        <v>0</v>
      </c>
      <c r="BR40" s="438">
        <v>0</v>
      </c>
      <c r="BS40" s="438">
        <v>0</v>
      </c>
      <c r="BT40" s="438">
        <v>0</v>
      </c>
      <c r="BU40" s="438">
        <v>0</v>
      </c>
      <c r="BV40" s="438">
        <v>21452</v>
      </c>
      <c r="BW40" s="438">
        <v>0</v>
      </c>
      <c r="BX40" s="438">
        <v>0</v>
      </c>
      <c r="BY40" s="438">
        <v>6000</v>
      </c>
      <c r="BZ40" s="438">
        <v>0</v>
      </c>
      <c r="CA40" s="438">
        <v>0</v>
      </c>
      <c r="CB40" s="438">
        <v>0</v>
      </c>
      <c r="CC40" s="438">
        <v>7120</v>
      </c>
      <c r="CD40" s="438">
        <v>0</v>
      </c>
      <c r="CE40" s="438">
        <v>27365</v>
      </c>
      <c r="CF40" s="438">
        <v>20908</v>
      </c>
      <c r="CG40" s="438">
        <v>0</v>
      </c>
      <c r="CH40" s="438">
        <v>0</v>
      </c>
      <c r="CI40" s="438">
        <v>0</v>
      </c>
      <c r="CJ40" s="111">
        <f t="shared" si="3"/>
        <v>27365</v>
      </c>
      <c r="CK40" s="111">
        <f t="shared" si="4"/>
        <v>20908</v>
      </c>
      <c r="CL40" s="111">
        <f t="shared" si="2"/>
        <v>27365</v>
      </c>
    </row>
    <row r="41" spans="1:90" ht="26.4">
      <c r="A41" s="435">
        <v>302</v>
      </c>
      <c r="B41" s="435">
        <v>2070</v>
      </c>
      <c r="C41" s="435" t="s">
        <v>105</v>
      </c>
      <c r="D41" s="435" t="s">
        <v>594</v>
      </c>
      <c r="E41" s="435"/>
      <c r="F41" s="435" t="s">
        <v>588</v>
      </c>
      <c r="G41" s="435">
        <v>0</v>
      </c>
      <c r="H41" s="435">
        <v>0</v>
      </c>
      <c r="I41" s="435" t="s">
        <v>695</v>
      </c>
      <c r="J41" s="435" t="s">
        <v>590</v>
      </c>
      <c r="K41" s="435" t="s">
        <v>591</v>
      </c>
      <c r="L41" s="435" t="s">
        <v>592</v>
      </c>
      <c r="M41" s="435" t="s">
        <v>591</v>
      </c>
      <c r="N41" s="435" t="s">
        <v>593</v>
      </c>
      <c r="O41" s="435" t="s">
        <v>188</v>
      </c>
      <c r="P41" s="435" t="s">
        <v>188</v>
      </c>
      <c r="Q41" s="438">
        <v>309779</v>
      </c>
      <c r="R41" s="438">
        <v>0</v>
      </c>
      <c r="S41" s="438">
        <v>6709</v>
      </c>
      <c r="T41" s="438">
        <v>1354211.8</v>
      </c>
      <c r="U41" s="438">
        <v>0</v>
      </c>
      <c r="V41" s="438">
        <v>68003.360000000001</v>
      </c>
      <c r="W41" s="438">
        <v>0</v>
      </c>
      <c r="X41" s="438">
        <v>106800</v>
      </c>
      <c r="Y41" s="438">
        <v>716.39</v>
      </c>
      <c r="Z41" s="438">
        <v>8841.3799999999992</v>
      </c>
      <c r="AA41" s="438">
        <v>18926.3</v>
      </c>
      <c r="AB41" s="438">
        <v>17860.38</v>
      </c>
      <c r="AC41" s="438">
        <v>17123.669999999998</v>
      </c>
      <c r="AD41" s="438">
        <v>0</v>
      </c>
      <c r="AE41" s="438">
        <v>0</v>
      </c>
      <c r="AF41" s="438">
        <v>32682.65</v>
      </c>
      <c r="AG41" s="438">
        <v>3256.59</v>
      </c>
      <c r="AH41" s="438">
        <v>0</v>
      </c>
      <c r="AI41" s="438">
        <v>0</v>
      </c>
      <c r="AJ41" s="438">
        <v>0</v>
      </c>
      <c r="AK41" s="438">
        <v>0</v>
      </c>
      <c r="AL41" s="438">
        <v>0</v>
      </c>
      <c r="AM41" s="438">
        <v>21599</v>
      </c>
      <c r="AN41" s="438">
        <v>47380</v>
      </c>
      <c r="AO41" s="438">
        <v>789256.36</v>
      </c>
      <c r="AP41" s="438">
        <v>0</v>
      </c>
      <c r="AQ41" s="438">
        <v>350461.25</v>
      </c>
      <c r="AR41" s="438">
        <v>69392.81</v>
      </c>
      <c r="AS41" s="438">
        <v>134079.17000000001</v>
      </c>
      <c r="AT41" s="438">
        <v>0</v>
      </c>
      <c r="AU41" s="438">
        <v>37876.99</v>
      </c>
      <c r="AV41" s="438">
        <v>8713.86</v>
      </c>
      <c r="AW41" s="438">
        <v>1382.5</v>
      </c>
      <c r="AX41" s="438">
        <v>343.62</v>
      </c>
      <c r="AY41" s="438">
        <v>0</v>
      </c>
      <c r="AZ41" s="438">
        <v>22898.29</v>
      </c>
      <c r="BA41" s="438">
        <v>1305.32</v>
      </c>
      <c r="BB41" s="438">
        <v>2844.41</v>
      </c>
      <c r="BC41" s="438">
        <v>5081.7</v>
      </c>
      <c r="BD41" s="438">
        <v>20376.29</v>
      </c>
      <c r="BE41" s="438">
        <v>25199.5</v>
      </c>
      <c r="BF41" s="438">
        <v>9507.19</v>
      </c>
      <c r="BG41" s="438">
        <v>56529.8</v>
      </c>
      <c r="BH41" s="438">
        <v>16495.79</v>
      </c>
      <c r="BI41" s="438">
        <v>0</v>
      </c>
      <c r="BJ41" s="438">
        <v>9750.08</v>
      </c>
      <c r="BK41" s="438">
        <v>8127.23</v>
      </c>
      <c r="BL41" s="438">
        <v>5140.2700000000004</v>
      </c>
      <c r="BM41" s="438">
        <v>70909.210000000006</v>
      </c>
      <c r="BN41" s="438">
        <v>330</v>
      </c>
      <c r="BO41" s="438">
        <v>39910.379999999997</v>
      </c>
      <c r="BP41" s="438">
        <v>12896.5</v>
      </c>
      <c r="BQ41" s="438">
        <v>0</v>
      </c>
      <c r="BR41" s="438">
        <v>0</v>
      </c>
      <c r="BS41" s="438">
        <v>0</v>
      </c>
      <c r="BT41" s="438">
        <v>0</v>
      </c>
      <c r="BU41" s="438">
        <v>0</v>
      </c>
      <c r="BV41" s="438">
        <v>21727.5</v>
      </c>
      <c r="BW41" s="438">
        <v>0</v>
      </c>
      <c r="BX41" s="438">
        <v>0</v>
      </c>
      <c r="BY41" s="438">
        <v>6000</v>
      </c>
      <c r="BZ41" s="438">
        <v>0</v>
      </c>
      <c r="CA41" s="438">
        <v>0</v>
      </c>
      <c r="CB41" s="438">
        <v>10068.5</v>
      </c>
      <c r="CC41" s="438">
        <v>0</v>
      </c>
      <c r="CD41" s="438">
        <v>10613</v>
      </c>
      <c r="CE41" s="438">
        <v>297759</v>
      </c>
      <c r="CF41" s="438">
        <v>18368</v>
      </c>
      <c r="CG41" s="438">
        <v>0</v>
      </c>
      <c r="CH41" s="438">
        <v>0</v>
      </c>
      <c r="CI41" s="438">
        <v>0</v>
      </c>
      <c r="CJ41" s="111">
        <f t="shared" si="3"/>
        <v>308372</v>
      </c>
      <c r="CK41" s="111">
        <f t="shared" si="4"/>
        <v>18368</v>
      </c>
      <c r="CL41" s="111">
        <f t="shared" si="2"/>
        <v>308372</v>
      </c>
    </row>
    <row r="42" spans="1:90" ht="26.4">
      <c r="A42" s="435">
        <v>302</v>
      </c>
      <c r="B42" s="435">
        <v>2072</v>
      </c>
      <c r="C42" s="435" t="s">
        <v>88</v>
      </c>
      <c r="D42" s="435" t="s">
        <v>586</v>
      </c>
      <c r="E42" s="435" t="s">
        <v>602</v>
      </c>
      <c r="F42" s="435" t="s">
        <v>588</v>
      </c>
      <c r="G42" s="435">
        <v>0</v>
      </c>
      <c r="H42" s="435">
        <v>0</v>
      </c>
      <c r="I42" s="435" t="s">
        <v>695</v>
      </c>
      <c r="J42" s="435" t="s">
        <v>590</v>
      </c>
      <c r="K42" s="435" t="s">
        <v>591</v>
      </c>
      <c r="L42" s="435" t="s">
        <v>592</v>
      </c>
      <c r="M42" s="435" t="s">
        <v>591</v>
      </c>
      <c r="N42" s="435" t="s">
        <v>593</v>
      </c>
      <c r="O42" s="435" t="s">
        <v>188</v>
      </c>
      <c r="P42" s="435" t="s">
        <v>188</v>
      </c>
      <c r="Q42" s="438">
        <v>116307</v>
      </c>
      <c r="R42" s="438">
        <v>0</v>
      </c>
      <c r="S42" s="438">
        <v>3941</v>
      </c>
      <c r="T42" s="438">
        <v>2786981.34</v>
      </c>
      <c r="U42" s="438">
        <v>0</v>
      </c>
      <c r="V42" s="438">
        <v>225078.59</v>
      </c>
      <c r="W42" s="438">
        <v>0</v>
      </c>
      <c r="X42" s="438">
        <v>193250.02</v>
      </c>
      <c r="Y42" s="438">
        <v>7511.4</v>
      </c>
      <c r="Z42" s="438">
        <v>11838.43</v>
      </c>
      <c r="AA42" s="438">
        <v>47805.07</v>
      </c>
      <c r="AB42" s="438">
        <v>100108.55</v>
      </c>
      <c r="AC42" s="438">
        <v>41261.9</v>
      </c>
      <c r="AD42" s="438">
        <v>17178.349999999999</v>
      </c>
      <c r="AE42" s="438">
        <v>18367.849999999999</v>
      </c>
      <c r="AF42" s="438">
        <v>37281.21</v>
      </c>
      <c r="AG42" s="438">
        <v>23849.38</v>
      </c>
      <c r="AH42" s="438">
        <v>0</v>
      </c>
      <c r="AI42" s="438">
        <v>0</v>
      </c>
      <c r="AJ42" s="438">
        <v>0</v>
      </c>
      <c r="AK42" s="438">
        <v>0</v>
      </c>
      <c r="AL42" s="438">
        <v>0</v>
      </c>
      <c r="AM42" s="438">
        <v>16524.13</v>
      </c>
      <c r="AN42" s="438">
        <v>82075</v>
      </c>
      <c r="AO42" s="438">
        <v>1581251.31</v>
      </c>
      <c r="AP42" s="438">
        <v>0</v>
      </c>
      <c r="AQ42" s="438">
        <v>946825.6</v>
      </c>
      <c r="AR42" s="438">
        <v>70393.58</v>
      </c>
      <c r="AS42" s="438">
        <v>182719.38</v>
      </c>
      <c r="AT42" s="438">
        <v>0</v>
      </c>
      <c r="AU42" s="438">
        <v>63472.24</v>
      </c>
      <c r="AV42" s="438">
        <v>17685.98</v>
      </c>
      <c r="AW42" s="438">
        <v>7499.24</v>
      </c>
      <c r="AX42" s="438">
        <v>13044.27</v>
      </c>
      <c r="AY42" s="438">
        <v>12279</v>
      </c>
      <c r="AZ42" s="438">
        <v>28941.58</v>
      </c>
      <c r="BA42" s="438">
        <v>21165.5</v>
      </c>
      <c r="BB42" s="438">
        <v>67911.360000000001</v>
      </c>
      <c r="BC42" s="438">
        <v>5205.83</v>
      </c>
      <c r="BD42" s="438">
        <v>51885.9</v>
      </c>
      <c r="BE42" s="438">
        <v>46825.75</v>
      </c>
      <c r="BF42" s="438">
        <v>18870.32</v>
      </c>
      <c r="BG42" s="438">
        <v>78144.100000000006</v>
      </c>
      <c r="BH42" s="438">
        <v>14119.4</v>
      </c>
      <c r="BI42" s="438">
        <v>0</v>
      </c>
      <c r="BJ42" s="438">
        <v>26216.48</v>
      </c>
      <c r="BK42" s="438">
        <v>18791.29</v>
      </c>
      <c r="BL42" s="438">
        <v>10133.540000000001</v>
      </c>
      <c r="BM42" s="438">
        <v>132819.62</v>
      </c>
      <c r="BN42" s="438">
        <v>35764.74</v>
      </c>
      <c r="BO42" s="438">
        <v>155647.82</v>
      </c>
      <c r="BP42" s="438">
        <v>23949.39</v>
      </c>
      <c r="BQ42" s="438">
        <v>0</v>
      </c>
      <c r="BR42" s="438">
        <v>0</v>
      </c>
      <c r="BS42" s="438">
        <v>0</v>
      </c>
      <c r="BT42" s="438">
        <v>0</v>
      </c>
      <c r="BU42" s="438">
        <v>0</v>
      </c>
      <c r="BV42" s="438">
        <v>44588</v>
      </c>
      <c r="BW42" s="438">
        <v>0</v>
      </c>
      <c r="BX42" s="438">
        <v>0</v>
      </c>
      <c r="BY42" s="438">
        <v>6000</v>
      </c>
      <c r="BZ42" s="438">
        <v>0</v>
      </c>
      <c r="CA42" s="438">
        <v>0</v>
      </c>
      <c r="CB42" s="438">
        <v>0</v>
      </c>
      <c r="CC42" s="438">
        <v>17035</v>
      </c>
      <c r="CD42" s="438">
        <v>50211</v>
      </c>
      <c r="CE42" s="438">
        <v>43644</v>
      </c>
      <c r="CF42" s="438">
        <v>31494</v>
      </c>
      <c r="CG42" s="438">
        <v>0</v>
      </c>
      <c r="CH42" s="438">
        <v>0</v>
      </c>
      <c r="CI42" s="438">
        <v>0</v>
      </c>
      <c r="CJ42" s="111">
        <f t="shared" si="3"/>
        <v>93855</v>
      </c>
      <c r="CK42" s="111">
        <f t="shared" si="4"/>
        <v>31494</v>
      </c>
      <c r="CL42" s="111">
        <f t="shared" si="2"/>
        <v>93855</v>
      </c>
    </row>
    <row r="43" spans="1:90" ht="26.4">
      <c r="A43" s="435">
        <v>302</v>
      </c>
      <c r="B43" s="435">
        <v>2073</v>
      </c>
      <c r="C43" s="435" t="s">
        <v>54</v>
      </c>
      <c r="D43" s="435" t="s">
        <v>594</v>
      </c>
      <c r="E43" s="435"/>
      <c r="F43" s="435" t="s">
        <v>588</v>
      </c>
      <c r="G43" s="435">
        <v>0</v>
      </c>
      <c r="H43" s="435">
        <v>1</v>
      </c>
      <c r="I43" s="435" t="s">
        <v>695</v>
      </c>
      <c r="J43" s="435" t="s">
        <v>590</v>
      </c>
      <c r="K43" s="435" t="s">
        <v>591</v>
      </c>
      <c r="L43" s="435" t="s">
        <v>592</v>
      </c>
      <c r="M43" s="435" t="s">
        <v>591</v>
      </c>
      <c r="N43" s="435" t="s">
        <v>593</v>
      </c>
      <c r="O43" s="435" t="s">
        <v>188</v>
      </c>
      <c r="P43" s="435" t="s">
        <v>188</v>
      </c>
      <c r="Q43" s="438">
        <v>119954</v>
      </c>
      <c r="R43" s="438">
        <v>-1965</v>
      </c>
      <c r="S43" s="438">
        <v>8177</v>
      </c>
      <c r="T43" s="438">
        <v>3039649.43</v>
      </c>
      <c r="U43" s="438">
        <v>0</v>
      </c>
      <c r="V43" s="438">
        <v>317038.62</v>
      </c>
      <c r="W43" s="438">
        <v>0</v>
      </c>
      <c r="X43" s="438">
        <v>256138</v>
      </c>
      <c r="Y43" s="438">
        <v>11400</v>
      </c>
      <c r="Z43" s="438">
        <v>12001.66</v>
      </c>
      <c r="AA43" s="438">
        <v>1200</v>
      </c>
      <c r="AB43" s="438">
        <v>117341.92</v>
      </c>
      <c r="AC43" s="438">
        <v>74326.77</v>
      </c>
      <c r="AD43" s="438">
        <v>0</v>
      </c>
      <c r="AE43" s="438">
        <v>25995.45</v>
      </c>
      <c r="AF43" s="438">
        <v>62707.85</v>
      </c>
      <c r="AG43" s="438">
        <v>11322.46</v>
      </c>
      <c r="AH43" s="438">
        <v>0</v>
      </c>
      <c r="AI43" s="438">
        <v>0</v>
      </c>
      <c r="AJ43" s="438">
        <v>0</v>
      </c>
      <c r="AK43" s="438">
        <v>0</v>
      </c>
      <c r="AL43" s="438">
        <v>0</v>
      </c>
      <c r="AM43" s="438">
        <v>50387</v>
      </c>
      <c r="AN43" s="438">
        <v>99354</v>
      </c>
      <c r="AO43" s="438">
        <v>1592931.79</v>
      </c>
      <c r="AP43" s="438">
        <v>0</v>
      </c>
      <c r="AQ43" s="438">
        <v>1124432.44</v>
      </c>
      <c r="AR43" s="438">
        <v>182577.77</v>
      </c>
      <c r="AS43" s="438">
        <v>119255.09</v>
      </c>
      <c r="AT43" s="438">
        <v>165697.32999999999</v>
      </c>
      <c r="AU43" s="438">
        <v>196276.17</v>
      </c>
      <c r="AV43" s="438">
        <v>16184.72</v>
      </c>
      <c r="AW43" s="438">
        <v>17718.849999999999</v>
      </c>
      <c r="AX43" s="438">
        <v>1022.56</v>
      </c>
      <c r="AY43" s="438">
        <v>0</v>
      </c>
      <c r="AZ43" s="438">
        <v>43137.02</v>
      </c>
      <c r="BA43" s="438">
        <v>14855.92</v>
      </c>
      <c r="BB43" s="438">
        <v>7018.38</v>
      </c>
      <c r="BC43" s="438">
        <v>6827.56</v>
      </c>
      <c r="BD43" s="438">
        <v>76467.539999999994</v>
      </c>
      <c r="BE43" s="438">
        <v>53534.400000000001</v>
      </c>
      <c r="BF43" s="438">
        <v>31108.12</v>
      </c>
      <c r="BG43" s="438">
        <v>91147.39</v>
      </c>
      <c r="BH43" s="438">
        <v>29832.92</v>
      </c>
      <c r="BI43" s="438">
        <v>0</v>
      </c>
      <c r="BJ43" s="438">
        <v>53147.15</v>
      </c>
      <c r="BK43" s="438">
        <v>24824.240000000002</v>
      </c>
      <c r="BL43" s="438">
        <v>15213.67</v>
      </c>
      <c r="BM43" s="438">
        <v>139329.47</v>
      </c>
      <c r="BN43" s="438">
        <v>49417.84</v>
      </c>
      <c r="BO43" s="438">
        <v>148659.38</v>
      </c>
      <c r="BP43" s="438">
        <v>40741.440000000002</v>
      </c>
      <c r="BQ43" s="438">
        <v>0</v>
      </c>
      <c r="BR43" s="438">
        <v>0</v>
      </c>
      <c r="BS43" s="438">
        <v>25995</v>
      </c>
      <c r="BT43" s="438">
        <v>0</v>
      </c>
      <c r="BU43" s="438">
        <v>0</v>
      </c>
      <c r="BV43" s="438">
        <v>33333.93</v>
      </c>
      <c r="BW43" s="438">
        <v>0</v>
      </c>
      <c r="BX43" s="438">
        <v>25995</v>
      </c>
      <c r="BY43" s="438">
        <v>6000</v>
      </c>
      <c r="BZ43" s="438">
        <v>0</v>
      </c>
      <c r="CA43" s="438">
        <v>35724.93</v>
      </c>
      <c r="CB43" s="438">
        <v>0</v>
      </c>
      <c r="CC43" s="438">
        <v>0</v>
      </c>
      <c r="CD43" s="438">
        <v>0</v>
      </c>
      <c r="CE43" s="438">
        <v>-68537</v>
      </c>
      <c r="CF43" s="438">
        <v>31781</v>
      </c>
      <c r="CG43" s="438">
        <v>0</v>
      </c>
      <c r="CH43" s="438">
        <v>-1965</v>
      </c>
      <c r="CI43" s="438">
        <v>0</v>
      </c>
      <c r="CJ43" s="111">
        <f t="shared" si="3"/>
        <v>-70502</v>
      </c>
      <c r="CK43" s="111">
        <f t="shared" si="4"/>
        <v>31781</v>
      </c>
      <c r="CL43" s="111">
        <f t="shared" si="2"/>
        <v>-68537</v>
      </c>
    </row>
    <row r="44" spans="1:90" ht="39.6">
      <c r="A44" s="435">
        <v>302</v>
      </c>
      <c r="B44" s="435">
        <v>2076</v>
      </c>
      <c r="C44" s="435" t="s">
        <v>110</v>
      </c>
      <c r="D44" s="435" t="s">
        <v>594</v>
      </c>
      <c r="E44" s="435"/>
      <c r="F44" s="435" t="s">
        <v>588</v>
      </c>
      <c r="G44" s="435">
        <v>0</v>
      </c>
      <c r="H44" s="435">
        <v>0</v>
      </c>
      <c r="I44" s="435" t="s">
        <v>695</v>
      </c>
      <c r="J44" s="435" t="s">
        <v>590</v>
      </c>
      <c r="K44" s="435" t="s">
        <v>591</v>
      </c>
      <c r="L44" s="435" t="s">
        <v>592</v>
      </c>
      <c r="M44" s="435" t="s">
        <v>591</v>
      </c>
      <c r="N44" s="435" t="s">
        <v>593</v>
      </c>
      <c r="O44" s="435" t="s">
        <v>188</v>
      </c>
      <c r="P44" s="435" t="s">
        <v>188</v>
      </c>
      <c r="Q44" s="438">
        <v>188972</v>
      </c>
      <c r="R44" s="438">
        <v>0</v>
      </c>
      <c r="S44" s="438">
        <v>6041</v>
      </c>
      <c r="T44" s="438">
        <v>1886270.6</v>
      </c>
      <c r="U44" s="438">
        <v>0</v>
      </c>
      <c r="V44" s="438">
        <v>154379.45000000001</v>
      </c>
      <c r="W44" s="438">
        <v>0</v>
      </c>
      <c r="X44" s="438">
        <v>157435.97</v>
      </c>
      <c r="Y44" s="438">
        <v>3130</v>
      </c>
      <c r="Z44" s="438">
        <v>11267.1</v>
      </c>
      <c r="AA44" s="438">
        <v>72761</v>
      </c>
      <c r="AB44" s="438">
        <v>35481.47</v>
      </c>
      <c r="AC44" s="438">
        <v>21902.34</v>
      </c>
      <c r="AD44" s="438">
        <v>0</v>
      </c>
      <c r="AE44" s="438">
        <v>0</v>
      </c>
      <c r="AF44" s="438">
        <v>9898.64</v>
      </c>
      <c r="AG44" s="438">
        <v>5352.39</v>
      </c>
      <c r="AH44" s="438">
        <v>0</v>
      </c>
      <c r="AI44" s="438">
        <v>0</v>
      </c>
      <c r="AJ44" s="438">
        <v>0</v>
      </c>
      <c r="AK44" s="438">
        <v>0</v>
      </c>
      <c r="AL44" s="438">
        <v>0</v>
      </c>
      <c r="AM44" s="438">
        <v>35976.629999999997</v>
      </c>
      <c r="AN44" s="438">
        <v>57280</v>
      </c>
      <c r="AO44" s="438">
        <v>1050668.3799999999</v>
      </c>
      <c r="AP44" s="438">
        <v>10344.290000000001</v>
      </c>
      <c r="AQ44" s="438">
        <v>418823.84</v>
      </c>
      <c r="AR44" s="438">
        <v>7730.81</v>
      </c>
      <c r="AS44" s="438">
        <v>205141.16</v>
      </c>
      <c r="AT44" s="438">
        <v>0</v>
      </c>
      <c r="AU44" s="438">
        <v>46598.22</v>
      </c>
      <c r="AV44" s="438">
        <v>9954.83</v>
      </c>
      <c r="AW44" s="438">
        <v>5673.95</v>
      </c>
      <c r="AX44" s="438">
        <v>542.82000000000005</v>
      </c>
      <c r="AY44" s="438">
        <v>0</v>
      </c>
      <c r="AZ44" s="438">
        <v>27858.99</v>
      </c>
      <c r="BA44" s="438">
        <v>3709.26</v>
      </c>
      <c r="BB44" s="438">
        <v>75829.98</v>
      </c>
      <c r="BC44" s="438">
        <v>16571.59</v>
      </c>
      <c r="BD44" s="438">
        <v>67692.75</v>
      </c>
      <c r="BE44" s="438">
        <v>32000</v>
      </c>
      <c r="BF44" s="438">
        <v>10732.05</v>
      </c>
      <c r="BG44" s="438">
        <v>42406.52</v>
      </c>
      <c r="BH44" s="438">
        <v>20347.400000000001</v>
      </c>
      <c r="BI44" s="438">
        <v>0</v>
      </c>
      <c r="BJ44" s="438">
        <v>14265.67</v>
      </c>
      <c r="BK44" s="438">
        <v>13161.85</v>
      </c>
      <c r="BL44" s="438">
        <v>5230.04</v>
      </c>
      <c r="BM44" s="438">
        <v>94282.1</v>
      </c>
      <c r="BN44" s="438">
        <v>38841.07</v>
      </c>
      <c r="BO44" s="438">
        <v>227725.53</v>
      </c>
      <c r="BP44" s="438">
        <v>24359.49</v>
      </c>
      <c r="BQ44" s="438">
        <v>0</v>
      </c>
      <c r="BR44" s="438">
        <v>0</v>
      </c>
      <c r="BS44" s="438">
        <v>12500</v>
      </c>
      <c r="BT44" s="438">
        <v>0</v>
      </c>
      <c r="BU44" s="438">
        <v>0</v>
      </c>
      <c r="BV44" s="438">
        <v>25747.51</v>
      </c>
      <c r="BW44" s="438">
        <v>0</v>
      </c>
      <c r="BX44" s="438">
        <v>12500</v>
      </c>
      <c r="BY44" s="438">
        <v>6000</v>
      </c>
      <c r="BZ44" s="438">
        <v>0</v>
      </c>
      <c r="CA44" s="438">
        <v>7695.51</v>
      </c>
      <c r="CB44" s="438">
        <v>12500</v>
      </c>
      <c r="CC44" s="438">
        <v>0</v>
      </c>
      <c r="CD44" s="438">
        <v>32101</v>
      </c>
      <c r="CE44" s="438">
        <v>125014</v>
      </c>
      <c r="CF44" s="438">
        <v>24093</v>
      </c>
      <c r="CG44" s="438">
        <v>0</v>
      </c>
      <c r="CH44" s="438">
        <v>0</v>
      </c>
      <c r="CI44" s="438">
        <v>0</v>
      </c>
      <c r="CJ44" s="111">
        <f t="shared" si="3"/>
        <v>157115</v>
      </c>
      <c r="CK44" s="111">
        <f t="shared" si="4"/>
        <v>24093</v>
      </c>
      <c r="CL44" s="111">
        <f t="shared" si="2"/>
        <v>157115</v>
      </c>
    </row>
    <row r="45" spans="1:90">
      <c r="A45" s="435">
        <v>302</v>
      </c>
      <c r="B45" s="435">
        <v>2077</v>
      </c>
      <c r="C45" s="435" t="s">
        <v>83</v>
      </c>
      <c r="D45" s="435" t="s">
        <v>594</v>
      </c>
      <c r="E45" s="435"/>
      <c r="F45" s="435" t="s">
        <v>588</v>
      </c>
      <c r="G45" s="435">
        <v>0</v>
      </c>
      <c r="H45" s="435">
        <v>1</v>
      </c>
      <c r="I45" s="435" t="s">
        <v>695</v>
      </c>
      <c r="J45" s="435" t="s">
        <v>590</v>
      </c>
      <c r="K45" s="435" t="s">
        <v>591</v>
      </c>
      <c r="L45" s="435" t="s">
        <v>592</v>
      </c>
      <c r="M45" s="435" t="s">
        <v>591</v>
      </c>
      <c r="N45" s="435" t="s">
        <v>593</v>
      </c>
      <c r="O45" s="435" t="s">
        <v>188</v>
      </c>
      <c r="P45" s="435" t="s">
        <v>188</v>
      </c>
      <c r="Q45" s="438">
        <v>-81978</v>
      </c>
      <c r="R45" s="438">
        <v>0</v>
      </c>
      <c r="S45" s="438">
        <v>25664</v>
      </c>
      <c r="T45" s="438">
        <v>5714022.25</v>
      </c>
      <c r="U45" s="438">
        <v>0</v>
      </c>
      <c r="V45" s="438">
        <v>749450.93</v>
      </c>
      <c r="W45" s="438">
        <v>0</v>
      </c>
      <c r="X45" s="438">
        <v>588400.02</v>
      </c>
      <c r="Y45" s="438">
        <v>23520</v>
      </c>
      <c r="Z45" s="438">
        <v>27433.599999999999</v>
      </c>
      <c r="AA45" s="438">
        <v>15522.5</v>
      </c>
      <c r="AB45" s="438">
        <v>152397.53</v>
      </c>
      <c r="AC45" s="438">
        <v>73602.17</v>
      </c>
      <c r="AD45" s="438">
        <v>0</v>
      </c>
      <c r="AE45" s="438">
        <v>0</v>
      </c>
      <c r="AF45" s="438">
        <v>12577</v>
      </c>
      <c r="AG45" s="438">
        <v>33949.040000000001</v>
      </c>
      <c r="AH45" s="438">
        <v>0</v>
      </c>
      <c r="AI45" s="438">
        <v>0</v>
      </c>
      <c r="AJ45" s="438">
        <v>0</v>
      </c>
      <c r="AK45" s="438">
        <v>0</v>
      </c>
      <c r="AL45" s="438">
        <v>86274.880000000005</v>
      </c>
      <c r="AM45" s="438">
        <v>83975.5</v>
      </c>
      <c r="AN45" s="438">
        <v>115980</v>
      </c>
      <c r="AO45" s="438">
        <v>3028982.94</v>
      </c>
      <c r="AP45" s="438">
        <v>0</v>
      </c>
      <c r="AQ45" s="438">
        <v>1982367.97</v>
      </c>
      <c r="AR45" s="438">
        <v>299007.84999999998</v>
      </c>
      <c r="AS45" s="438">
        <v>269187.86</v>
      </c>
      <c r="AT45" s="438">
        <v>164826.26</v>
      </c>
      <c r="AU45" s="438">
        <v>286900.99</v>
      </c>
      <c r="AV45" s="438">
        <v>28710.93</v>
      </c>
      <c r="AW45" s="438">
        <v>3949.99</v>
      </c>
      <c r="AX45" s="438">
        <v>1392.74</v>
      </c>
      <c r="AY45" s="438">
        <v>0</v>
      </c>
      <c r="AZ45" s="438">
        <v>89842.51</v>
      </c>
      <c r="BA45" s="438">
        <v>19479.259999999998</v>
      </c>
      <c r="BB45" s="438">
        <v>12165.81</v>
      </c>
      <c r="BC45" s="438">
        <v>52009.07</v>
      </c>
      <c r="BD45" s="438">
        <v>122923.86</v>
      </c>
      <c r="BE45" s="438">
        <v>111126.2</v>
      </c>
      <c r="BF45" s="438">
        <v>45965.91</v>
      </c>
      <c r="BG45" s="438">
        <v>262830.81</v>
      </c>
      <c r="BH45" s="438">
        <v>28569.07</v>
      </c>
      <c r="BI45" s="438">
        <v>0</v>
      </c>
      <c r="BJ45" s="438">
        <v>95664.43</v>
      </c>
      <c r="BK45" s="438">
        <v>34669.22</v>
      </c>
      <c r="BL45" s="438">
        <v>39417.879999999997</v>
      </c>
      <c r="BM45" s="438">
        <v>200541.16</v>
      </c>
      <c r="BN45" s="438">
        <v>116103.66</v>
      </c>
      <c r="BO45" s="438">
        <v>363090.72</v>
      </c>
      <c r="BP45" s="438">
        <v>82650.320000000007</v>
      </c>
      <c r="BQ45" s="438">
        <v>0</v>
      </c>
      <c r="BR45" s="438">
        <v>0</v>
      </c>
      <c r="BS45" s="438">
        <v>0</v>
      </c>
      <c r="BT45" s="438">
        <v>0</v>
      </c>
      <c r="BU45" s="438">
        <v>0</v>
      </c>
      <c r="BV45" s="438">
        <v>66575.429999999993</v>
      </c>
      <c r="BW45" s="438">
        <v>0</v>
      </c>
      <c r="BX45" s="438">
        <v>0</v>
      </c>
      <c r="BY45" s="438">
        <v>6000</v>
      </c>
      <c r="BZ45" s="438">
        <v>0</v>
      </c>
      <c r="CA45" s="438">
        <v>22890</v>
      </c>
      <c r="CB45" s="438">
        <v>0</v>
      </c>
      <c r="CC45" s="438">
        <v>17723.43</v>
      </c>
      <c r="CD45" s="438">
        <v>0</v>
      </c>
      <c r="CE45" s="438">
        <v>-147250</v>
      </c>
      <c r="CF45" s="438">
        <v>51626</v>
      </c>
      <c r="CG45" s="438">
        <v>0</v>
      </c>
      <c r="CH45" s="438">
        <v>0</v>
      </c>
      <c r="CI45" s="438">
        <v>0</v>
      </c>
      <c r="CJ45" s="111">
        <f t="shared" si="3"/>
        <v>-147250</v>
      </c>
      <c r="CK45" s="111">
        <f t="shared" si="4"/>
        <v>51626</v>
      </c>
      <c r="CL45" s="111">
        <f t="shared" si="2"/>
        <v>-147250</v>
      </c>
    </row>
    <row r="46" spans="1:90" ht="26.4">
      <c r="A46" s="435">
        <v>302</v>
      </c>
      <c r="B46" s="435">
        <v>2078</v>
      </c>
      <c r="C46" s="435" t="s">
        <v>86</v>
      </c>
      <c r="D46" s="435" t="s">
        <v>594</v>
      </c>
      <c r="E46" s="435"/>
      <c r="F46" s="435" t="s">
        <v>588</v>
      </c>
      <c r="G46" s="435">
        <v>0</v>
      </c>
      <c r="H46" s="435">
        <v>1</v>
      </c>
      <c r="I46" s="435" t="s">
        <v>695</v>
      </c>
      <c r="J46" s="435" t="s">
        <v>590</v>
      </c>
      <c r="K46" s="435" t="s">
        <v>591</v>
      </c>
      <c r="L46" s="435" t="s">
        <v>592</v>
      </c>
      <c r="M46" s="435" t="s">
        <v>591</v>
      </c>
      <c r="N46" s="435" t="s">
        <v>593</v>
      </c>
      <c r="O46" s="435" t="s">
        <v>188</v>
      </c>
      <c r="P46" s="435" t="s">
        <v>188</v>
      </c>
      <c r="Q46" s="438">
        <v>-239423</v>
      </c>
      <c r="R46" s="438">
        <v>0</v>
      </c>
      <c r="S46" s="438">
        <v>1378</v>
      </c>
      <c r="T46" s="438">
        <v>1598293.01</v>
      </c>
      <c r="U46" s="438">
        <v>0</v>
      </c>
      <c r="V46" s="438">
        <v>62577.34</v>
      </c>
      <c r="W46" s="438">
        <v>0</v>
      </c>
      <c r="X46" s="438">
        <v>30470.03</v>
      </c>
      <c r="Y46" s="438">
        <v>42480.47</v>
      </c>
      <c r="Z46" s="438">
        <v>7500</v>
      </c>
      <c r="AA46" s="438">
        <v>0</v>
      </c>
      <c r="AB46" s="438">
        <v>4065.15</v>
      </c>
      <c r="AC46" s="438">
        <v>483.43</v>
      </c>
      <c r="AD46" s="438">
        <v>10800</v>
      </c>
      <c r="AE46" s="438">
        <v>1750</v>
      </c>
      <c r="AF46" s="438">
        <v>17013.97</v>
      </c>
      <c r="AG46" s="438">
        <v>187275.56</v>
      </c>
      <c r="AH46" s="438">
        <v>0</v>
      </c>
      <c r="AI46" s="438">
        <v>0</v>
      </c>
      <c r="AJ46" s="438">
        <v>0</v>
      </c>
      <c r="AK46" s="438">
        <v>0</v>
      </c>
      <c r="AL46" s="438">
        <v>0</v>
      </c>
      <c r="AM46" s="438">
        <v>0</v>
      </c>
      <c r="AN46" s="438">
        <v>80311.88</v>
      </c>
      <c r="AO46" s="438">
        <v>916568.45</v>
      </c>
      <c r="AP46" s="438">
        <v>0</v>
      </c>
      <c r="AQ46" s="438">
        <v>320002.84000000003</v>
      </c>
      <c r="AR46" s="438">
        <v>13424.1</v>
      </c>
      <c r="AS46" s="438">
        <v>173699.16</v>
      </c>
      <c r="AT46" s="438">
        <v>0</v>
      </c>
      <c r="AU46" s="438">
        <v>34611</v>
      </c>
      <c r="AV46" s="438">
        <v>5447.82</v>
      </c>
      <c r="AW46" s="438">
        <v>1773.23</v>
      </c>
      <c r="AX46" s="438">
        <v>23842.71</v>
      </c>
      <c r="AY46" s="438">
        <v>0</v>
      </c>
      <c r="AZ46" s="438">
        <v>24632.54</v>
      </c>
      <c r="BA46" s="438">
        <v>0</v>
      </c>
      <c r="BB46" s="438">
        <v>34053.26</v>
      </c>
      <c r="BC46" s="438">
        <v>1616.14</v>
      </c>
      <c r="BD46" s="438">
        <v>26753.98</v>
      </c>
      <c r="BE46" s="438">
        <v>0</v>
      </c>
      <c r="BF46" s="438">
        <v>72395.350000000006</v>
      </c>
      <c r="BG46" s="438">
        <v>88139.29</v>
      </c>
      <c r="BH46" s="438">
        <v>6461.83</v>
      </c>
      <c r="BI46" s="438">
        <v>0</v>
      </c>
      <c r="BJ46" s="438">
        <v>15793.21</v>
      </c>
      <c r="BK46" s="438">
        <v>5640.95</v>
      </c>
      <c r="BL46" s="438">
        <v>7601.84</v>
      </c>
      <c r="BM46" s="438">
        <v>49446.32</v>
      </c>
      <c r="BN46" s="438">
        <v>114712.77</v>
      </c>
      <c r="BO46" s="438">
        <v>56511.07</v>
      </c>
      <c r="BP46" s="438">
        <v>30754.98</v>
      </c>
      <c r="BQ46" s="438">
        <v>0</v>
      </c>
      <c r="BR46" s="438">
        <v>0</v>
      </c>
      <c r="BS46" s="438">
        <v>0</v>
      </c>
      <c r="BT46" s="438">
        <v>0</v>
      </c>
      <c r="BU46" s="438">
        <v>0</v>
      </c>
      <c r="BV46" s="438">
        <v>0</v>
      </c>
      <c r="BW46" s="438">
        <v>0</v>
      </c>
      <c r="BX46" s="438">
        <v>0</v>
      </c>
      <c r="BY46" s="438">
        <v>6000</v>
      </c>
      <c r="BZ46" s="438">
        <v>0</v>
      </c>
      <c r="CA46" s="438">
        <v>0</v>
      </c>
      <c r="CB46" s="438">
        <v>0</v>
      </c>
      <c r="CC46" s="438">
        <v>0</v>
      </c>
      <c r="CD46" s="438">
        <v>0</v>
      </c>
      <c r="CE46" s="438">
        <v>-220285</v>
      </c>
      <c r="CF46" s="438">
        <v>0</v>
      </c>
      <c r="CG46" s="438">
        <v>1378</v>
      </c>
      <c r="CH46" s="438">
        <v>0</v>
      </c>
      <c r="CI46" s="438">
        <v>0</v>
      </c>
      <c r="CJ46" s="111">
        <f t="shared" si="3"/>
        <v>-220285</v>
      </c>
      <c r="CK46" s="111">
        <f t="shared" si="4"/>
        <v>1378</v>
      </c>
      <c r="CL46" s="111">
        <f t="shared" si="2"/>
        <v>-220285</v>
      </c>
    </row>
    <row r="47" spans="1:90" ht="26.4">
      <c r="A47" s="435">
        <v>302</v>
      </c>
      <c r="B47" s="435">
        <v>2079</v>
      </c>
      <c r="C47" s="435" t="s">
        <v>603</v>
      </c>
      <c r="D47" s="435" t="s">
        <v>594</v>
      </c>
      <c r="E47" s="435"/>
      <c r="F47" s="435" t="s">
        <v>588</v>
      </c>
      <c r="G47" s="435">
        <v>0</v>
      </c>
      <c r="H47" s="435">
        <v>1</v>
      </c>
      <c r="I47" s="435" t="s">
        <v>695</v>
      </c>
      <c r="J47" s="435" t="s">
        <v>590</v>
      </c>
      <c r="K47" s="435" t="s">
        <v>591</v>
      </c>
      <c r="L47" s="435" t="s">
        <v>592</v>
      </c>
      <c r="M47" s="435" t="s">
        <v>591</v>
      </c>
      <c r="N47" s="435" t="s">
        <v>593</v>
      </c>
      <c r="O47" s="435" t="s">
        <v>188</v>
      </c>
      <c r="P47" s="435" t="s">
        <v>188</v>
      </c>
      <c r="Q47" s="438">
        <v>36553</v>
      </c>
      <c r="R47" s="438">
        <v>0</v>
      </c>
      <c r="S47" s="438">
        <v>0</v>
      </c>
      <c r="T47" s="438">
        <v>2130975.23</v>
      </c>
      <c r="U47" s="438">
        <v>0</v>
      </c>
      <c r="V47" s="438">
        <v>15862.16</v>
      </c>
      <c r="W47" s="438">
        <v>0</v>
      </c>
      <c r="X47" s="438">
        <v>24930</v>
      </c>
      <c r="Y47" s="438">
        <v>0</v>
      </c>
      <c r="Z47" s="438">
        <v>19.5</v>
      </c>
      <c r="AA47" s="438">
        <v>0</v>
      </c>
      <c r="AB47" s="438">
        <v>700</v>
      </c>
      <c r="AC47" s="438">
        <v>0</v>
      </c>
      <c r="AD47" s="438">
        <v>0</v>
      </c>
      <c r="AE47" s="438">
        <v>0</v>
      </c>
      <c r="AF47" s="438">
        <v>0</v>
      </c>
      <c r="AG47" s="438">
        <v>0</v>
      </c>
      <c r="AH47" s="438">
        <v>0</v>
      </c>
      <c r="AI47" s="438">
        <v>0</v>
      </c>
      <c r="AJ47" s="438">
        <v>0</v>
      </c>
      <c r="AK47" s="438">
        <v>0</v>
      </c>
      <c r="AL47" s="438">
        <v>0</v>
      </c>
      <c r="AM47" s="438">
        <v>0</v>
      </c>
      <c r="AN47" s="438">
        <v>110443.23</v>
      </c>
      <c r="AO47" s="438">
        <v>1427132.85</v>
      </c>
      <c r="AP47" s="438">
        <v>0</v>
      </c>
      <c r="AQ47" s="438">
        <v>192777.95</v>
      </c>
      <c r="AR47" s="438">
        <v>42775.56</v>
      </c>
      <c r="AS47" s="438">
        <v>94564.47</v>
      </c>
      <c r="AT47" s="438">
        <v>0</v>
      </c>
      <c r="AU47" s="438">
        <v>53139.5</v>
      </c>
      <c r="AV47" s="438">
        <v>17588.060000000001</v>
      </c>
      <c r="AW47" s="438">
        <v>2493.09</v>
      </c>
      <c r="AX47" s="438">
        <v>697.2</v>
      </c>
      <c r="AY47" s="438">
        <v>0</v>
      </c>
      <c r="AZ47" s="438">
        <v>37791.65</v>
      </c>
      <c r="BA47" s="438">
        <v>0</v>
      </c>
      <c r="BB47" s="438">
        <v>55719.88</v>
      </c>
      <c r="BC47" s="438">
        <v>9398.66</v>
      </c>
      <c r="BD47" s="438">
        <v>43722.559999999998</v>
      </c>
      <c r="BE47" s="438">
        <v>0</v>
      </c>
      <c r="BF47" s="438">
        <v>23966.95</v>
      </c>
      <c r="BG47" s="438">
        <v>58090.2</v>
      </c>
      <c r="BH47" s="438">
        <v>36853.870000000003</v>
      </c>
      <c r="BI47" s="438">
        <v>0</v>
      </c>
      <c r="BJ47" s="438">
        <v>24428.15</v>
      </c>
      <c r="BK47" s="438">
        <v>6673.8</v>
      </c>
      <c r="BL47" s="438">
        <v>81582.81</v>
      </c>
      <c r="BM47" s="438">
        <v>85061.36</v>
      </c>
      <c r="BN47" s="438">
        <v>0</v>
      </c>
      <c r="BO47" s="438">
        <v>34981.35</v>
      </c>
      <c r="BP47" s="438">
        <v>46325.2</v>
      </c>
      <c r="BQ47" s="438">
        <v>0</v>
      </c>
      <c r="BR47" s="438">
        <v>0</v>
      </c>
      <c r="BS47" s="438">
        <v>0</v>
      </c>
      <c r="BT47" s="438">
        <v>0</v>
      </c>
      <c r="BU47" s="438">
        <v>0</v>
      </c>
      <c r="BV47" s="438">
        <v>0</v>
      </c>
      <c r="BW47" s="438">
        <v>0</v>
      </c>
      <c r="BX47" s="438">
        <v>0</v>
      </c>
      <c r="BY47" s="438">
        <v>6000</v>
      </c>
      <c r="BZ47" s="438">
        <v>0</v>
      </c>
      <c r="CA47" s="438">
        <v>0</v>
      </c>
      <c r="CB47" s="438">
        <v>0</v>
      </c>
      <c r="CC47" s="438">
        <v>0</v>
      </c>
      <c r="CD47" s="438">
        <v>0</v>
      </c>
      <c r="CE47" s="438">
        <v>-56282</v>
      </c>
      <c r="CF47" s="438">
        <v>0</v>
      </c>
      <c r="CG47" s="438">
        <v>0</v>
      </c>
      <c r="CH47" s="438">
        <v>0</v>
      </c>
      <c r="CI47" s="438">
        <v>0</v>
      </c>
      <c r="CJ47" s="111">
        <f t="shared" si="3"/>
        <v>-56282</v>
      </c>
      <c r="CK47" s="111">
        <f t="shared" si="4"/>
        <v>0</v>
      </c>
      <c r="CL47" s="111">
        <f t="shared" si="2"/>
        <v>-56282</v>
      </c>
    </row>
    <row r="48" spans="1:90" ht="26.4">
      <c r="A48" s="435">
        <v>302</v>
      </c>
      <c r="B48" s="435">
        <v>3300</v>
      </c>
      <c r="C48" s="435" t="s">
        <v>604</v>
      </c>
      <c r="D48" s="435" t="s">
        <v>594</v>
      </c>
      <c r="E48" s="435"/>
      <c r="F48" s="435" t="s">
        <v>588</v>
      </c>
      <c r="G48" s="435">
        <v>0</v>
      </c>
      <c r="H48" s="435">
        <v>0</v>
      </c>
      <c r="I48" s="435" t="s">
        <v>695</v>
      </c>
      <c r="J48" s="435" t="s">
        <v>590</v>
      </c>
      <c r="K48" s="435" t="s">
        <v>591</v>
      </c>
      <c r="L48" s="435" t="s">
        <v>592</v>
      </c>
      <c r="M48" s="435" t="s">
        <v>591</v>
      </c>
      <c r="N48" s="435" t="s">
        <v>593</v>
      </c>
      <c r="O48" s="435" t="s">
        <v>188</v>
      </c>
      <c r="P48" s="435" t="s">
        <v>188</v>
      </c>
      <c r="Q48" s="438">
        <v>58963</v>
      </c>
      <c r="R48" s="438">
        <v>0</v>
      </c>
      <c r="S48" s="438">
        <v>0</v>
      </c>
      <c r="T48" s="438">
        <v>967656.88</v>
      </c>
      <c r="U48" s="438">
        <v>0</v>
      </c>
      <c r="V48" s="438">
        <v>34150.69</v>
      </c>
      <c r="W48" s="438">
        <v>0</v>
      </c>
      <c r="X48" s="438">
        <v>121880.03</v>
      </c>
      <c r="Y48" s="438">
        <v>5084.3599999999997</v>
      </c>
      <c r="Z48" s="438">
        <v>9790.91</v>
      </c>
      <c r="AA48" s="438">
        <v>0</v>
      </c>
      <c r="AB48" s="438">
        <v>9273.7900000000009</v>
      </c>
      <c r="AC48" s="438">
        <v>6966.21</v>
      </c>
      <c r="AD48" s="438">
        <v>0</v>
      </c>
      <c r="AE48" s="438">
        <v>0</v>
      </c>
      <c r="AF48" s="438">
        <v>14026.95</v>
      </c>
      <c r="AG48" s="438">
        <v>4983.7700000000004</v>
      </c>
      <c r="AH48" s="438">
        <v>0</v>
      </c>
      <c r="AI48" s="438">
        <v>0</v>
      </c>
      <c r="AJ48" s="438">
        <v>0</v>
      </c>
      <c r="AK48" s="438">
        <v>0</v>
      </c>
      <c r="AL48" s="438">
        <v>0</v>
      </c>
      <c r="AM48" s="438">
        <v>7217</v>
      </c>
      <c r="AN48" s="438">
        <v>26568</v>
      </c>
      <c r="AO48" s="438">
        <v>561094.62</v>
      </c>
      <c r="AP48" s="438">
        <v>0</v>
      </c>
      <c r="AQ48" s="438">
        <v>142308.6</v>
      </c>
      <c r="AR48" s="438">
        <v>39700.379999999997</v>
      </c>
      <c r="AS48" s="438">
        <v>23495.81</v>
      </c>
      <c r="AT48" s="438">
        <v>0</v>
      </c>
      <c r="AU48" s="438">
        <v>15870.85</v>
      </c>
      <c r="AV48" s="438">
        <v>3051.35</v>
      </c>
      <c r="AW48" s="438">
        <v>932.51</v>
      </c>
      <c r="AX48" s="438">
        <v>265.60000000000002</v>
      </c>
      <c r="AY48" s="438">
        <v>0</v>
      </c>
      <c r="AZ48" s="438">
        <v>6012.49</v>
      </c>
      <c r="BA48" s="438">
        <v>1685.5</v>
      </c>
      <c r="BB48" s="438">
        <v>21644.43</v>
      </c>
      <c r="BC48" s="438">
        <v>5010.4799999999996</v>
      </c>
      <c r="BD48" s="438">
        <v>16697.82</v>
      </c>
      <c r="BE48" s="438">
        <v>3020.8</v>
      </c>
      <c r="BF48" s="438">
        <v>5652.44</v>
      </c>
      <c r="BG48" s="438">
        <v>60295.46</v>
      </c>
      <c r="BH48" s="438">
        <v>12041.24</v>
      </c>
      <c r="BI48" s="438">
        <v>0</v>
      </c>
      <c r="BJ48" s="438">
        <v>7877.79</v>
      </c>
      <c r="BK48" s="438">
        <v>5902.4</v>
      </c>
      <c r="BL48" s="438">
        <v>2266.6999999999998</v>
      </c>
      <c r="BM48" s="438">
        <v>47159.199999999997</v>
      </c>
      <c r="BN48" s="438">
        <v>36607.61</v>
      </c>
      <c r="BO48" s="438">
        <v>112723.19</v>
      </c>
      <c r="BP48" s="438">
        <v>41025.32</v>
      </c>
      <c r="BQ48" s="438">
        <v>0</v>
      </c>
      <c r="BR48" s="438">
        <v>0</v>
      </c>
      <c r="BS48" s="438">
        <v>0</v>
      </c>
      <c r="BT48" s="438">
        <v>0</v>
      </c>
      <c r="BU48" s="438">
        <v>0</v>
      </c>
      <c r="BV48" s="438">
        <v>0</v>
      </c>
      <c r="BW48" s="438">
        <v>0</v>
      </c>
      <c r="BX48" s="438">
        <v>0</v>
      </c>
      <c r="BY48" s="438">
        <v>6000</v>
      </c>
      <c r="BZ48" s="438">
        <v>0</v>
      </c>
      <c r="CA48" s="438">
        <v>0</v>
      </c>
      <c r="CB48" s="438">
        <v>0</v>
      </c>
      <c r="CC48" s="438">
        <v>0</v>
      </c>
      <c r="CD48" s="438">
        <v>34734</v>
      </c>
      <c r="CE48" s="438">
        <v>59485</v>
      </c>
      <c r="CF48" s="438">
        <v>0</v>
      </c>
      <c r="CG48" s="438">
        <v>0</v>
      </c>
      <c r="CH48" s="438">
        <v>0</v>
      </c>
      <c r="CI48" s="438">
        <v>0</v>
      </c>
      <c r="CJ48" s="111">
        <f t="shared" si="3"/>
        <v>94219</v>
      </c>
      <c r="CK48" s="111">
        <f t="shared" si="4"/>
        <v>0</v>
      </c>
      <c r="CL48" s="111">
        <f t="shared" si="2"/>
        <v>94219</v>
      </c>
    </row>
    <row r="49" spans="1:90" ht="26.4">
      <c r="A49" s="435">
        <v>302</v>
      </c>
      <c r="B49" s="435">
        <v>3302</v>
      </c>
      <c r="C49" s="435" t="s">
        <v>46</v>
      </c>
      <c r="D49" s="435" t="s">
        <v>594</v>
      </c>
      <c r="E49" s="435"/>
      <c r="F49" s="435" t="s">
        <v>588</v>
      </c>
      <c r="G49" s="435">
        <v>0</v>
      </c>
      <c r="H49" s="435">
        <v>0</v>
      </c>
      <c r="I49" s="435" t="s">
        <v>695</v>
      </c>
      <c r="J49" s="435" t="s">
        <v>590</v>
      </c>
      <c r="K49" s="435" t="s">
        <v>591</v>
      </c>
      <c r="L49" s="435" t="s">
        <v>592</v>
      </c>
      <c r="M49" s="435" t="s">
        <v>591</v>
      </c>
      <c r="N49" s="435" t="s">
        <v>593</v>
      </c>
      <c r="O49" s="435" t="s">
        <v>188</v>
      </c>
      <c r="P49" s="435" t="s">
        <v>188</v>
      </c>
      <c r="Q49" s="438">
        <v>378970</v>
      </c>
      <c r="R49" s="438">
        <v>0</v>
      </c>
      <c r="S49" s="438">
        <v>0</v>
      </c>
      <c r="T49" s="438">
        <v>1076917.29</v>
      </c>
      <c r="U49" s="438">
        <v>0</v>
      </c>
      <c r="V49" s="438">
        <v>59045.27</v>
      </c>
      <c r="W49" s="438">
        <v>0</v>
      </c>
      <c r="X49" s="438">
        <v>33905.040000000001</v>
      </c>
      <c r="Y49" s="438">
        <v>2400</v>
      </c>
      <c r="Z49" s="438">
        <v>6250</v>
      </c>
      <c r="AA49" s="438">
        <v>9763.24</v>
      </c>
      <c r="AB49" s="438">
        <v>50160.04</v>
      </c>
      <c r="AC49" s="438">
        <v>32796.29</v>
      </c>
      <c r="AD49" s="438">
        <v>1400</v>
      </c>
      <c r="AE49" s="438">
        <v>9841.6299999999992</v>
      </c>
      <c r="AF49" s="438">
        <v>59532.39</v>
      </c>
      <c r="AG49" s="438">
        <v>11586.44</v>
      </c>
      <c r="AH49" s="438">
        <v>0</v>
      </c>
      <c r="AI49" s="438">
        <v>0</v>
      </c>
      <c r="AJ49" s="438">
        <v>0</v>
      </c>
      <c r="AK49" s="438">
        <v>0</v>
      </c>
      <c r="AL49" s="438">
        <v>0</v>
      </c>
      <c r="AM49" s="438">
        <v>6939.5</v>
      </c>
      <c r="AN49" s="438">
        <v>50152</v>
      </c>
      <c r="AO49" s="438">
        <v>676713.21</v>
      </c>
      <c r="AP49" s="438">
        <v>0</v>
      </c>
      <c r="AQ49" s="438">
        <v>272752.42</v>
      </c>
      <c r="AR49" s="438">
        <v>42242.67</v>
      </c>
      <c r="AS49" s="438">
        <v>62042.89</v>
      </c>
      <c r="AT49" s="438">
        <v>0</v>
      </c>
      <c r="AU49" s="438">
        <v>54663.75</v>
      </c>
      <c r="AV49" s="438">
        <v>2621.71</v>
      </c>
      <c r="AW49" s="438">
        <v>2903.47</v>
      </c>
      <c r="AX49" s="438">
        <v>8498.3799999999992</v>
      </c>
      <c r="AY49" s="438">
        <v>0</v>
      </c>
      <c r="AZ49" s="438">
        <v>16331.35</v>
      </c>
      <c r="BA49" s="438">
        <v>1146.32</v>
      </c>
      <c r="BB49" s="438">
        <v>17505.73</v>
      </c>
      <c r="BC49" s="438">
        <v>1930.58</v>
      </c>
      <c r="BD49" s="438">
        <v>22838.78</v>
      </c>
      <c r="BE49" s="438">
        <v>4710.3999999999996</v>
      </c>
      <c r="BF49" s="438">
        <v>2907.67</v>
      </c>
      <c r="BG49" s="438">
        <v>64594.37</v>
      </c>
      <c r="BH49" s="438">
        <v>12619.33</v>
      </c>
      <c r="BI49" s="438">
        <v>0</v>
      </c>
      <c r="BJ49" s="438">
        <v>7279.63</v>
      </c>
      <c r="BK49" s="438">
        <v>8282.14</v>
      </c>
      <c r="BL49" s="438">
        <v>11570.76</v>
      </c>
      <c r="BM49" s="438">
        <v>73785.94</v>
      </c>
      <c r="BN49" s="438">
        <v>165</v>
      </c>
      <c r="BO49" s="438">
        <v>32452.28</v>
      </c>
      <c r="BP49" s="438">
        <v>22005.35</v>
      </c>
      <c r="BQ49" s="438">
        <v>0</v>
      </c>
      <c r="BR49" s="438">
        <v>0</v>
      </c>
      <c r="BS49" s="438">
        <v>0</v>
      </c>
      <c r="BT49" s="438">
        <v>0</v>
      </c>
      <c r="BU49" s="438">
        <v>0</v>
      </c>
      <c r="BV49" s="438">
        <v>0</v>
      </c>
      <c r="BW49" s="438">
        <v>0</v>
      </c>
      <c r="BX49" s="438">
        <v>0</v>
      </c>
      <c r="BY49" s="438">
        <v>6000</v>
      </c>
      <c r="BZ49" s="438">
        <v>0</v>
      </c>
      <c r="CA49" s="438">
        <v>0</v>
      </c>
      <c r="CB49" s="438">
        <v>0</v>
      </c>
      <c r="CC49" s="438">
        <v>0</v>
      </c>
      <c r="CD49" s="438">
        <v>17923</v>
      </c>
      <c r="CE49" s="438">
        <v>349172</v>
      </c>
      <c r="CF49" s="438">
        <v>0</v>
      </c>
      <c r="CG49" s="438">
        <v>0</v>
      </c>
      <c r="CH49" s="438">
        <v>0</v>
      </c>
      <c r="CI49" s="438">
        <v>0</v>
      </c>
      <c r="CJ49" s="111">
        <f t="shared" si="3"/>
        <v>367095</v>
      </c>
      <c r="CK49" s="111">
        <f t="shared" si="4"/>
        <v>0</v>
      </c>
      <c r="CL49" s="111">
        <f t="shared" si="2"/>
        <v>367095</v>
      </c>
    </row>
    <row r="50" spans="1:90" ht="26.4">
      <c r="A50" s="435">
        <v>302</v>
      </c>
      <c r="B50" s="435">
        <v>3304</v>
      </c>
      <c r="C50" s="435" t="s">
        <v>71</v>
      </c>
      <c r="D50" s="435" t="s">
        <v>594</v>
      </c>
      <c r="E50" s="435"/>
      <c r="F50" s="435" t="s">
        <v>588</v>
      </c>
      <c r="G50" s="435">
        <v>0</v>
      </c>
      <c r="H50" s="435">
        <v>1</v>
      </c>
      <c r="I50" s="435" t="s">
        <v>695</v>
      </c>
      <c r="J50" s="435" t="s">
        <v>590</v>
      </c>
      <c r="K50" s="435" t="s">
        <v>591</v>
      </c>
      <c r="L50" s="435" t="s">
        <v>592</v>
      </c>
      <c r="M50" s="435" t="s">
        <v>591</v>
      </c>
      <c r="N50" s="435" t="s">
        <v>593</v>
      </c>
      <c r="O50" s="435" t="s">
        <v>188</v>
      </c>
      <c r="P50" s="435" t="s">
        <v>188</v>
      </c>
      <c r="Q50" s="438">
        <v>52161</v>
      </c>
      <c r="R50" s="438">
        <v>0</v>
      </c>
      <c r="S50" s="438">
        <v>0</v>
      </c>
      <c r="T50" s="438">
        <v>1125269.57</v>
      </c>
      <c r="U50" s="438">
        <v>0</v>
      </c>
      <c r="V50" s="438">
        <v>120944.65</v>
      </c>
      <c r="W50" s="438">
        <v>0</v>
      </c>
      <c r="X50" s="438">
        <v>68529.98</v>
      </c>
      <c r="Y50" s="438">
        <v>0</v>
      </c>
      <c r="Z50" s="438">
        <v>653</v>
      </c>
      <c r="AA50" s="438">
        <v>0</v>
      </c>
      <c r="AB50" s="438">
        <v>41305.51</v>
      </c>
      <c r="AC50" s="438">
        <v>38464.28</v>
      </c>
      <c r="AD50" s="438">
        <v>3600</v>
      </c>
      <c r="AE50" s="438">
        <v>0</v>
      </c>
      <c r="AF50" s="438">
        <v>16818.2</v>
      </c>
      <c r="AG50" s="438">
        <v>10018.469999999999</v>
      </c>
      <c r="AH50" s="438">
        <v>0</v>
      </c>
      <c r="AI50" s="438">
        <v>0</v>
      </c>
      <c r="AJ50" s="438">
        <v>0</v>
      </c>
      <c r="AK50" s="438">
        <v>0</v>
      </c>
      <c r="AL50" s="438">
        <v>0</v>
      </c>
      <c r="AM50" s="438">
        <v>14209</v>
      </c>
      <c r="AN50" s="438">
        <v>44491.38</v>
      </c>
      <c r="AO50" s="438">
        <v>685020.73</v>
      </c>
      <c r="AP50" s="438">
        <v>0</v>
      </c>
      <c r="AQ50" s="438">
        <v>299812.75</v>
      </c>
      <c r="AR50" s="438">
        <v>38423.339999999997</v>
      </c>
      <c r="AS50" s="438">
        <v>83845.94</v>
      </c>
      <c r="AT50" s="438">
        <v>0</v>
      </c>
      <c r="AU50" s="438">
        <v>18164.41</v>
      </c>
      <c r="AV50" s="438">
        <v>24194.79</v>
      </c>
      <c r="AW50" s="438">
        <v>1830.82</v>
      </c>
      <c r="AX50" s="438">
        <v>11574.6</v>
      </c>
      <c r="AY50" s="438">
        <v>0</v>
      </c>
      <c r="AZ50" s="438">
        <v>18223.77</v>
      </c>
      <c r="BA50" s="438">
        <v>2650</v>
      </c>
      <c r="BB50" s="438">
        <v>18921.3</v>
      </c>
      <c r="BC50" s="438">
        <v>3315.65</v>
      </c>
      <c r="BD50" s="438">
        <v>23131.38</v>
      </c>
      <c r="BE50" s="438">
        <v>3558.4</v>
      </c>
      <c r="BF50" s="438">
        <v>12371.84</v>
      </c>
      <c r="BG50" s="438">
        <v>45372.58</v>
      </c>
      <c r="BH50" s="438">
        <v>6050.08</v>
      </c>
      <c r="BI50" s="438">
        <v>0</v>
      </c>
      <c r="BJ50" s="438">
        <v>13969.64</v>
      </c>
      <c r="BK50" s="438">
        <v>3066.77</v>
      </c>
      <c r="BL50" s="438">
        <v>9547.4</v>
      </c>
      <c r="BM50" s="438">
        <v>56291.29</v>
      </c>
      <c r="BN50" s="438">
        <v>83273.509999999995</v>
      </c>
      <c r="BO50" s="438">
        <v>111136.44</v>
      </c>
      <c r="BP50" s="438">
        <v>47135.61</v>
      </c>
      <c r="BQ50" s="438">
        <v>0</v>
      </c>
      <c r="BR50" s="438">
        <v>0</v>
      </c>
      <c r="BS50" s="438">
        <v>0</v>
      </c>
      <c r="BT50" s="438">
        <v>0</v>
      </c>
      <c r="BU50" s="438">
        <v>0</v>
      </c>
      <c r="BV50" s="438">
        <v>0</v>
      </c>
      <c r="BW50" s="438">
        <v>0</v>
      </c>
      <c r="BX50" s="438">
        <v>0</v>
      </c>
      <c r="BY50" s="438">
        <v>6000</v>
      </c>
      <c r="BZ50" s="438">
        <v>0</v>
      </c>
      <c r="CA50" s="438">
        <v>0</v>
      </c>
      <c r="CB50" s="438">
        <v>0</v>
      </c>
      <c r="CC50" s="438">
        <v>0</v>
      </c>
      <c r="CD50" s="438">
        <v>0</v>
      </c>
      <c r="CE50" s="438">
        <v>-84418</v>
      </c>
      <c r="CF50" s="438">
        <v>0</v>
      </c>
      <c r="CG50" s="438">
        <v>0</v>
      </c>
      <c r="CH50" s="438">
        <v>0</v>
      </c>
      <c r="CI50" s="438">
        <v>0</v>
      </c>
      <c r="CJ50" s="111">
        <f t="shared" si="3"/>
        <v>-84418</v>
      </c>
      <c r="CK50" s="111">
        <f t="shared" si="4"/>
        <v>0</v>
      </c>
      <c r="CL50" s="111">
        <f t="shared" si="2"/>
        <v>-84418</v>
      </c>
    </row>
    <row r="51" spans="1:90" ht="26.4">
      <c r="A51" s="435">
        <v>302</v>
      </c>
      <c r="B51" s="435">
        <v>3305</v>
      </c>
      <c r="C51" s="435" t="s">
        <v>78</v>
      </c>
      <c r="D51" s="435" t="s">
        <v>594</v>
      </c>
      <c r="E51" s="435"/>
      <c r="F51" s="435" t="s">
        <v>588</v>
      </c>
      <c r="G51" s="435">
        <v>0</v>
      </c>
      <c r="H51" s="435">
        <v>0</v>
      </c>
      <c r="I51" s="435" t="s">
        <v>695</v>
      </c>
      <c r="J51" s="435" t="s">
        <v>590</v>
      </c>
      <c r="K51" s="435" t="s">
        <v>591</v>
      </c>
      <c r="L51" s="435" t="s">
        <v>592</v>
      </c>
      <c r="M51" s="435" t="s">
        <v>591</v>
      </c>
      <c r="N51" s="435" t="s">
        <v>593</v>
      </c>
      <c r="O51" s="435" t="s">
        <v>188</v>
      </c>
      <c r="P51" s="435" t="s">
        <v>188</v>
      </c>
      <c r="Q51" s="438">
        <v>73744</v>
      </c>
      <c r="R51" s="438">
        <v>0</v>
      </c>
      <c r="S51" s="438">
        <v>0</v>
      </c>
      <c r="T51" s="438">
        <v>770841.06</v>
      </c>
      <c r="U51" s="438">
        <v>0</v>
      </c>
      <c r="V51" s="438">
        <v>36898.230000000003</v>
      </c>
      <c r="W51" s="438">
        <v>0</v>
      </c>
      <c r="X51" s="438">
        <v>25595.040000000001</v>
      </c>
      <c r="Y51" s="438">
        <v>0</v>
      </c>
      <c r="Z51" s="438">
        <v>37766.15</v>
      </c>
      <c r="AA51" s="438">
        <v>4900</v>
      </c>
      <c r="AB51" s="438">
        <v>7326.58</v>
      </c>
      <c r="AC51" s="438">
        <v>13992.12</v>
      </c>
      <c r="AD51" s="438">
        <v>1752</v>
      </c>
      <c r="AE51" s="438">
        <v>252</v>
      </c>
      <c r="AF51" s="438">
        <v>16615.650000000001</v>
      </c>
      <c r="AG51" s="438">
        <v>7733.08</v>
      </c>
      <c r="AH51" s="438">
        <v>0</v>
      </c>
      <c r="AI51" s="438">
        <v>0</v>
      </c>
      <c r="AJ51" s="438">
        <v>0</v>
      </c>
      <c r="AK51" s="438">
        <v>0</v>
      </c>
      <c r="AL51" s="438">
        <v>0</v>
      </c>
      <c r="AM51" s="438">
        <v>5317.75</v>
      </c>
      <c r="AN51" s="438">
        <v>39433</v>
      </c>
      <c r="AO51" s="438">
        <v>532933.19999999995</v>
      </c>
      <c r="AP51" s="438">
        <v>0</v>
      </c>
      <c r="AQ51" s="438">
        <v>142863.49</v>
      </c>
      <c r="AR51" s="438">
        <v>43179.519999999997</v>
      </c>
      <c r="AS51" s="438">
        <v>32368.28</v>
      </c>
      <c r="AT51" s="438">
        <v>0</v>
      </c>
      <c r="AU51" s="438">
        <v>37495.370000000003</v>
      </c>
      <c r="AV51" s="438">
        <v>4925.1499999999996</v>
      </c>
      <c r="AW51" s="438">
        <v>1359</v>
      </c>
      <c r="AX51" s="438">
        <v>5828.41</v>
      </c>
      <c r="AY51" s="438">
        <v>0</v>
      </c>
      <c r="AZ51" s="438">
        <v>6875.01</v>
      </c>
      <c r="BA51" s="438">
        <v>0</v>
      </c>
      <c r="BB51" s="438">
        <v>772.29</v>
      </c>
      <c r="BC51" s="438">
        <v>1340.08</v>
      </c>
      <c r="BD51" s="438">
        <v>16980.009999999998</v>
      </c>
      <c r="BE51" s="438">
        <v>1587.2</v>
      </c>
      <c r="BF51" s="438">
        <v>5330.91</v>
      </c>
      <c r="BG51" s="438">
        <v>49948.54</v>
      </c>
      <c r="BH51" s="438">
        <v>8178.53</v>
      </c>
      <c r="BI51" s="438">
        <v>0</v>
      </c>
      <c r="BJ51" s="438">
        <v>7980.75</v>
      </c>
      <c r="BK51" s="438">
        <v>4483.5</v>
      </c>
      <c r="BL51" s="438">
        <v>4843.05</v>
      </c>
      <c r="BM51" s="438">
        <v>43984.37</v>
      </c>
      <c r="BN51" s="438">
        <v>0</v>
      </c>
      <c r="BO51" s="438">
        <v>20946.25</v>
      </c>
      <c r="BP51" s="438">
        <v>24189.75</v>
      </c>
      <c r="BQ51" s="438">
        <v>0</v>
      </c>
      <c r="BR51" s="438">
        <v>0</v>
      </c>
      <c r="BS51" s="438">
        <v>0</v>
      </c>
      <c r="BT51" s="438">
        <v>0</v>
      </c>
      <c r="BU51" s="438">
        <v>0</v>
      </c>
      <c r="BV51" s="438">
        <v>0</v>
      </c>
      <c r="BW51" s="438">
        <v>0</v>
      </c>
      <c r="BX51" s="438">
        <v>0</v>
      </c>
      <c r="BY51" s="438">
        <v>6000</v>
      </c>
      <c r="BZ51" s="438">
        <v>0</v>
      </c>
      <c r="CA51" s="438">
        <v>0</v>
      </c>
      <c r="CB51" s="438">
        <v>0</v>
      </c>
      <c r="CC51" s="438">
        <v>0</v>
      </c>
      <c r="CD51" s="438">
        <v>0</v>
      </c>
      <c r="CE51" s="438">
        <v>43774</v>
      </c>
      <c r="CF51" s="438">
        <v>0</v>
      </c>
      <c r="CG51" s="438">
        <v>0</v>
      </c>
      <c r="CH51" s="438">
        <v>0</v>
      </c>
      <c r="CI51" s="438">
        <v>0</v>
      </c>
      <c r="CJ51" s="111">
        <f t="shared" si="3"/>
        <v>43774</v>
      </c>
      <c r="CK51" s="111">
        <f t="shared" si="4"/>
        <v>0</v>
      </c>
      <c r="CL51" s="111">
        <f t="shared" si="2"/>
        <v>43774</v>
      </c>
    </row>
    <row r="52" spans="1:90" ht="26.4">
      <c r="A52" s="435">
        <v>302</v>
      </c>
      <c r="B52" s="435">
        <v>3307</v>
      </c>
      <c r="C52" s="435" t="s">
        <v>605</v>
      </c>
      <c r="D52" s="435" t="s">
        <v>594</v>
      </c>
      <c r="E52" s="435"/>
      <c r="F52" s="435" t="s">
        <v>588</v>
      </c>
      <c r="G52" s="435">
        <v>0</v>
      </c>
      <c r="H52" s="435">
        <v>0</v>
      </c>
      <c r="I52" s="435" t="s">
        <v>695</v>
      </c>
      <c r="J52" s="435" t="s">
        <v>590</v>
      </c>
      <c r="K52" s="435" t="s">
        <v>591</v>
      </c>
      <c r="L52" s="435" t="s">
        <v>592</v>
      </c>
      <c r="M52" s="435" t="s">
        <v>591</v>
      </c>
      <c r="N52" s="435" t="s">
        <v>593</v>
      </c>
      <c r="O52" s="435" t="s">
        <v>188</v>
      </c>
      <c r="P52" s="435" t="s">
        <v>188</v>
      </c>
      <c r="Q52" s="438">
        <v>65565</v>
      </c>
      <c r="R52" s="438">
        <v>0</v>
      </c>
      <c r="S52" s="438">
        <v>0</v>
      </c>
      <c r="T52" s="438">
        <v>1146886.43</v>
      </c>
      <c r="U52" s="438">
        <v>0</v>
      </c>
      <c r="V52" s="438">
        <v>35690.239999999998</v>
      </c>
      <c r="W52" s="438">
        <v>0</v>
      </c>
      <c r="X52" s="438">
        <v>37034.959999999999</v>
      </c>
      <c r="Y52" s="438">
        <v>930</v>
      </c>
      <c r="Z52" s="438">
        <v>7067.5</v>
      </c>
      <c r="AA52" s="438">
        <v>57602.76</v>
      </c>
      <c r="AB52" s="438">
        <v>3725.42</v>
      </c>
      <c r="AC52" s="438">
        <v>21570.05</v>
      </c>
      <c r="AD52" s="438">
        <v>0</v>
      </c>
      <c r="AE52" s="438">
        <v>0</v>
      </c>
      <c r="AF52" s="438">
        <v>48714.43</v>
      </c>
      <c r="AG52" s="438">
        <v>9953</v>
      </c>
      <c r="AH52" s="438">
        <v>0</v>
      </c>
      <c r="AI52" s="438">
        <v>0</v>
      </c>
      <c r="AJ52" s="438">
        <v>0</v>
      </c>
      <c r="AK52" s="438">
        <v>0</v>
      </c>
      <c r="AL52" s="438">
        <v>0</v>
      </c>
      <c r="AM52" s="438">
        <v>7356.13</v>
      </c>
      <c r="AN52" s="438">
        <v>44927</v>
      </c>
      <c r="AO52" s="438">
        <v>556299.9</v>
      </c>
      <c r="AP52" s="438">
        <v>0</v>
      </c>
      <c r="AQ52" s="438">
        <v>272271.03000000003</v>
      </c>
      <c r="AR52" s="438">
        <v>90857.23</v>
      </c>
      <c r="AS52" s="438">
        <v>59342.71</v>
      </c>
      <c r="AT52" s="438">
        <v>0</v>
      </c>
      <c r="AU52" s="438">
        <v>15653.68</v>
      </c>
      <c r="AV52" s="438">
        <v>1765.57</v>
      </c>
      <c r="AW52" s="438">
        <v>3117.79</v>
      </c>
      <c r="AX52" s="438">
        <v>348.6</v>
      </c>
      <c r="AY52" s="438">
        <v>0</v>
      </c>
      <c r="AZ52" s="438">
        <v>31592.799999999999</v>
      </c>
      <c r="BA52" s="438">
        <v>5207.25</v>
      </c>
      <c r="BB52" s="438">
        <v>8327.43</v>
      </c>
      <c r="BC52" s="438">
        <v>3695.86</v>
      </c>
      <c r="BD52" s="438">
        <v>32192.26</v>
      </c>
      <c r="BE52" s="438">
        <v>4147.2</v>
      </c>
      <c r="BF52" s="438">
        <v>11520.45</v>
      </c>
      <c r="BG52" s="438">
        <v>57973.34</v>
      </c>
      <c r="BH52" s="438">
        <v>11669.95</v>
      </c>
      <c r="BI52" s="438">
        <v>0</v>
      </c>
      <c r="BJ52" s="438">
        <v>9063.67</v>
      </c>
      <c r="BK52" s="438">
        <v>8072.4</v>
      </c>
      <c r="BL52" s="438">
        <v>2304.56</v>
      </c>
      <c r="BM52" s="438">
        <v>58544.09</v>
      </c>
      <c r="BN52" s="438">
        <v>86803.63</v>
      </c>
      <c r="BO52" s="438">
        <v>54545.31</v>
      </c>
      <c r="BP52" s="438">
        <v>35870.51</v>
      </c>
      <c r="BQ52" s="438">
        <v>0</v>
      </c>
      <c r="BR52" s="438">
        <v>0</v>
      </c>
      <c r="BS52" s="438">
        <v>7990.7</v>
      </c>
      <c r="BT52" s="438">
        <v>0</v>
      </c>
      <c r="BU52" s="438">
        <v>0</v>
      </c>
      <c r="BV52" s="438">
        <v>0</v>
      </c>
      <c r="BW52" s="438">
        <v>0</v>
      </c>
      <c r="BX52" s="438">
        <v>7990.7</v>
      </c>
      <c r="BY52" s="438">
        <v>6000</v>
      </c>
      <c r="BZ52" s="438">
        <v>0</v>
      </c>
      <c r="CA52" s="438">
        <v>0</v>
      </c>
      <c r="CB52" s="438">
        <v>0</v>
      </c>
      <c r="CC52" s="438">
        <v>7990.7</v>
      </c>
      <c r="CD52" s="438">
        <v>930</v>
      </c>
      <c r="CE52" s="438">
        <v>56915</v>
      </c>
      <c r="CF52" s="438">
        <v>0</v>
      </c>
      <c r="CG52" s="438">
        <v>0</v>
      </c>
      <c r="CH52" s="438">
        <v>0</v>
      </c>
      <c r="CI52" s="438">
        <v>0</v>
      </c>
      <c r="CJ52" s="111">
        <f t="shared" si="3"/>
        <v>57845</v>
      </c>
      <c r="CK52" s="111">
        <f t="shared" si="4"/>
        <v>0</v>
      </c>
      <c r="CL52" s="111">
        <f t="shared" si="2"/>
        <v>57845</v>
      </c>
    </row>
    <row r="53" spans="1:90" ht="26.4">
      <c r="A53" s="435">
        <v>302</v>
      </c>
      <c r="B53" s="435">
        <v>3309</v>
      </c>
      <c r="C53" s="435" t="s">
        <v>606</v>
      </c>
      <c r="D53" s="435" t="s">
        <v>594</v>
      </c>
      <c r="E53" s="435"/>
      <c r="F53" s="435" t="s">
        <v>588</v>
      </c>
      <c r="G53" s="435">
        <v>0</v>
      </c>
      <c r="H53" s="435">
        <v>0</v>
      </c>
      <c r="I53" s="435" t="s">
        <v>695</v>
      </c>
      <c r="J53" s="435" t="s">
        <v>590</v>
      </c>
      <c r="K53" s="435" t="s">
        <v>591</v>
      </c>
      <c r="L53" s="435" t="s">
        <v>592</v>
      </c>
      <c r="M53" s="435" t="s">
        <v>591</v>
      </c>
      <c r="N53" s="435" t="s">
        <v>593</v>
      </c>
      <c r="O53" s="435" t="s">
        <v>188</v>
      </c>
      <c r="P53" s="435" t="s">
        <v>188</v>
      </c>
      <c r="Q53" s="438">
        <v>137310</v>
      </c>
      <c r="R53" s="438">
        <v>0</v>
      </c>
      <c r="S53" s="438">
        <v>0</v>
      </c>
      <c r="T53" s="438">
        <v>1111343.33</v>
      </c>
      <c r="U53" s="438">
        <v>0</v>
      </c>
      <c r="V53" s="438">
        <v>42035.49</v>
      </c>
      <c r="W53" s="438">
        <v>0</v>
      </c>
      <c r="X53" s="438">
        <v>34585.03</v>
      </c>
      <c r="Y53" s="438">
        <v>0</v>
      </c>
      <c r="Z53" s="438">
        <v>615</v>
      </c>
      <c r="AA53" s="438">
        <v>9836.5</v>
      </c>
      <c r="AB53" s="438">
        <v>115790.34</v>
      </c>
      <c r="AC53" s="438">
        <v>31453.45</v>
      </c>
      <c r="AD53" s="438">
        <v>0</v>
      </c>
      <c r="AE53" s="438">
        <v>0</v>
      </c>
      <c r="AF53" s="438">
        <v>32350.04</v>
      </c>
      <c r="AG53" s="438">
        <v>12761.55</v>
      </c>
      <c r="AH53" s="438">
        <v>0</v>
      </c>
      <c r="AI53" s="438">
        <v>0</v>
      </c>
      <c r="AJ53" s="438">
        <v>0</v>
      </c>
      <c r="AK53" s="438">
        <v>0</v>
      </c>
      <c r="AL53" s="438">
        <v>0</v>
      </c>
      <c r="AM53" s="438">
        <v>1907.63</v>
      </c>
      <c r="AN53" s="438">
        <v>50458</v>
      </c>
      <c r="AO53" s="438">
        <v>614595.32999999996</v>
      </c>
      <c r="AP53" s="438">
        <v>0</v>
      </c>
      <c r="AQ53" s="438">
        <v>238895.35999999999</v>
      </c>
      <c r="AR53" s="438">
        <v>34535.53</v>
      </c>
      <c r="AS53" s="438">
        <v>53434.49</v>
      </c>
      <c r="AT53" s="438">
        <v>0</v>
      </c>
      <c r="AU53" s="438">
        <v>60435.4</v>
      </c>
      <c r="AV53" s="438">
        <v>384.07</v>
      </c>
      <c r="AW53" s="438">
        <v>7095.14</v>
      </c>
      <c r="AX53" s="438">
        <v>348.6</v>
      </c>
      <c r="AY53" s="438">
        <v>0</v>
      </c>
      <c r="AZ53" s="438">
        <v>11422.01</v>
      </c>
      <c r="BA53" s="438">
        <v>3946.45</v>
      </c>
      <c r="BB53" s="438">
        <v>22061.39</v>
      </c>
      <c r="BC53" s="438">
        <v>6561.32</v>
      </c>
      <c r="BD53" s="438">
        <v>19670.96</v>
      </c>
      <c r="BE53" s="438">
        <v>4582.3999999999996</v>
      </c>
      <c r="BF53" s="438">
        <v>9732.77</v>
      </c>
      <c r="BG53" s="438">
        <v>99018.17</v>
      </c>
      <c r="BH53" s="438">
        <v>9158.25</v>
      </c>
      <c r="BI53" s="438">
        <v>0</v>
      </c>
      <c r="BJ53" s="438">
        <v>12273.15</v>
      </c>
      <c r="BK53" s="438">
        <v>11118.7</v>
      </c>
      <c r="BL53" s="438">
        <v>6267.73</v>
      </c>
      <c r="BM53" s="438">
        <v>67696.09</v>
      </c>
      <c r="BN53" s="438">
        <v>58522.61</v>
      </c>
      <c r="BO53" s="438">
        <v>55489.14</v>
      </c>
      <c r="BP53" s="438">
        <v>32212.3</v>
      </c>
      <c r="BQ53" s="438">
        <v>0</v>
      </c>
      <c r="BR53" s="438">
        <v>0</v>
      </c>
      <c r="BS53" s="438">
        <v>0</v>
      </c>
      <c r="BT53" s="438">
        <v>0</v>
      </c>
      <c r="BU53" s="438">
        <v>0</v>
      </c>
      <c r="BV53" s="438">
        <v>0</v>
      </c>
      <c r="BW53" s="438">
        <v>0</v>
      </c>
      <c r="BX53" s="438">
        <v>0</v>
      </c>
      <c r="BY53" s="438">
        <v>6000</v>
      </c>
      <c r="BZ53" s="438">
        <v>0</v>
      </c>
      <c r="CA53" s="438">
        <v>0</v>
      </c>
      <c r="CB53" s="438">
        <v>0</v>
      </c>
      <c r="CC53" s="438">
        <v>0</v>
      </c>
      <c r="CD53" s="438">
        <v>30137</v>
      </c>
      <c r="CE53" s="438">
        <v>110852</v>
      </c>
      <c r="CF53" s="438">
        <v>0</v>
      </c>
      <c r="CG53" s="438">
        <v>0</v>
      </c>
      <c r="CH53" s="438">
        <v>0</v>
      </c>
      <c r="CI53" s="438">
        <v>0</v>
      </c>
      <c r="CJ53" s="111">
        <f t="shared" si="3"/>
        <v>140989</v>
      </c>
      <c r="CK53" s="111">
        <f t="shared" si="4"/>
        <v>0</v>
      </c>
      <c r="CL53" s="111">
        <f t="shared" si="2"/>
        <v>140989</v>
      </c>
    </row>
    <row r="54" spans="1:90" ht="26.4">
      <c r="A54" s="435">
        <v>302</v>
      </c>
      <c r="B54" s="435">
        <v>3311</v>
      </c>
      <c r="C54" s="435" t="s">
        <v>607</v>
      </c>
      <c r="D54" s="435" t="s">
        <v>594</v>
      </c>
      <c r="E54" s="435"/>
      <c r="F54" s="435" t="s">
        <v>588</v>
      </c>
      <c r="G54" s="435">
        <v>0</v>
      </c>
      <c r="H54" s="435">
        <v>0</v>
      </c>
      <c r="I54" s="435" t="s">
        <v>695</v>
      </c>
      <c r="J54" s="435" t="s">
        <v>590</v>
      </c>
      <c r="K54" s="435" t="s">
        <v>591</v>
      </c>
      <c r="L54" s="435" t="s">
        <v>592</v>
      </c>
      <c r="M54" s="435" t="s">
        <v>591</v>
      </c>
      <c r="N54" s="435" t="s">
        <v>593</v>
      </c>
      <c r="O54" s="435" t="s">
        <v>188</v>
      </c>
      <c r="P54" s="435" t="s">
        <v>188</v>
      </c>
      <c r="Q54" s="438">
        <v>58215</v>
      </c>
      <c r="R54" s="438">
        <v>0</v>
      </c>
      <c r="S54" s="438">
        <v>0</v>
      </c>
      <c r="T54" s="438">
        <v>2169487</v>
      </c>
      <c r="U54" s="438">
        <v>0</v>
      </c>
      <c r="V54" s="438">
        <v>57472.69</v>
      </c>
      <c r="W54" s="438">
        <v>0</v>
      </c>
      <c r="X54" s="438">
        <v>105595.03</v>
      </c>
      <c r="Y54" s="438">
        <v>0</v>
      </c>
      <c r="Z54" s="438">
        <v>7756.3</v>
      </c>
      <c r="AA54" s="438">
        <v>14964.5</v>
      </c>
      <c r="AB54" s="438">
        <v>2915.32</v>
      </c>
      <c r="AC54" s="438">
        <v>57678.46</v>
      </c>
      <c r="AD54" s="438">
        <v>0</v>
      </c>
      <c r="AE54" s="438">
        <v>0</v>
      </c>
      <c r="AF54" s="438">
        <v>120864.85</v>
      </c>
      <c r="AG54" s="438">
        <v>17764.080000000002</v>
      </c>
      <c r="AH54" s="438">
        <v>0</v>
      </c>
      <c r="AI54" s="438">
        <v>0</v>
      </c>
      <c r="AJ54" s="438">
        <v>0</v>
      </c>
      <c r="AK54" s="438">
        <v>0</v>
      </c>
      <c r="AL54" s="438">
        <v>11373.75</v>
      </c>
      <c r="AM54" s="438">
        <v>27480.48</v>
      </c>
      <c r="AN54" s="438">
        <v>72057</v>
      </c>
      <c r="AO54" s="438">
        <v>1200912.99</v>
      </c>
      <c r="AP54" s="438">
        <v>0</v>
      </c>
      <c r="AQ54" s="438">
        <v>505896.34</v>
      </c>
      <c r="AR54" s="438">
        <v>37905.86</v>
      </c>
      <c r="AS54" s="438">
        <v>92478.21</v>
      </c>
      <c r="AT54" s="438">
        <v>0</v>
      </c>
      <c r="AU54" s="438">
        <v>34702.550000000003</v>
      </c>
      <c r="AV54" s="438">
        <v>13027.2</v>
      </c>
      <c r="AW54" s="438">
        <v>8722.7800000000007</v>
      </c>
      <c r="AX54" s="438">
        <v>682.26</v>
      </c>
      <c r="AY54" s="438">
        <v>0</v>
      </c>
      <c r="AZ54" s="438">
        <v>47213.88</v>
      </c>
      <c r="BA54" s="438">
        <v>4551.13</v>
      </c>
      <c r="BB54" s="438">
        <v>58052.54</v>
      </c>
      <c r="BC54" s="438">
        <v>8272.76</v>
      </c>
      <c r="BD54" s="438">
        <v>43257.2</v>
      </c>
      <c r="BE54" s="438">
        <v>8652.7999999999993</v>
      </c>
      <c r="BF54" s="438">
        <v>15557.26</v>
      </c>
      <c r="BG54" s="438">
        <v>106430.22</v>
      </c>
      <c r="BH54" s="438">
        <v>20836.22</v>
      </c>
      <c r="BI54" s="438">
        <v>0</v>
      </c>
      <c r="BJ54" s="438">
        <v>19145.96</v>
      </c>
      <c r="BK54" s="438">
        <v>15634.29</v>
      </c>
      <c r="BL54" s="438">
        <v>2950.41</v>
      </c>
      <c r="BM54" s="438">
        <v>120495.73</v>
      </c>
      <c r="BN54" s="438">
        <v>109625.62</v>
      </c>
      <c r="BO54" s="438">
        <v>115590.06</v>
      </c>
      <c r="BP54" s="438">
        <v>32286.94</v>
      </c>
      <c r="BQ54" s="438">
        <v>581.25</v>
      </c>
      <c r="BR54" s="438">
        <v>0</v>
      </c>
      <c r="BS54" s="438">
        <v>0</v>
      </c>
      <c r="BT54" s="438">
        <v>0</v>
      </c>
      <c r="BU54" s="438">
        <v>0</v>
      </c>
      <c r="BV54" s="438">
        <v>0</v>
      </c>
      <c r="BW54" s="438">
        <v>0</v>
      </c>
      <c r="BX54" s="438">
        <v>0</v>
      </c>
      <c r="BY54" s="438">
        <v>6000</v>
      </c>
      <c r="BZ54" s="438">
        <v>0</v>
      </c>
      <c r="CA54" s="438">
        <v>0</v>
      </c>
      <c r="CB54" s="438">
        <v>0</v>
      </c>
      <c r="CC54" s="438">
        <v>0</v>
      </c>
      <c r="CD54" s="438">
        <v>0</v>
      </c>
      <c r="CE54" s="438">
        <v>100162</v>
      </c>
      <c r="CF54" s="438">
        <v>0</v>
      </c>
      <c r="CG54" s="438">
        <v>0</v>
      </c>
      <c r="CH54" s="438">
        <v>0</v>
      </c>
      <c r="CI54" s="438">
        <v>0</v>
      </c>
      <c r="CJ54" s="111">
        <f t="shared" si="3"/>
        <v>100162</v>
      </c>
      <c r="CK54" s="111">
        <f t="shared" si="4"/>
        <v>0</v>
      </c>
      <c r="CL54" s="111">
        <f t="shared" si="2"/>
        <v>100162</v>
      </c>
    </row>
    <row r="55" spans="1:90" ht="26.4">
      <c r="A55" s="435">
        <v>302</v>
      </c>
      <c r="B55" s="435">
        <v>3312</v>
      </c>
      <c r="C55" s="435" t="s">
        <v>608</v>
      </c>
      <c r="D55" s="435" t="s">
        <v>594</v>
      </c>
      <c r="E55" s="435"/>
      <c r="F55" s="435" t="s">
        <v>588</v>
      </c>
      <c r="G55" s="435">
        <v>0</v>
      </c>
      <c r="H55" s="435">
        <v>0</v>
      </c>
      <c r="I55" s="435" t="s">
        <v>695</v>
      </c>
      <c r="J55" s="435" t="s">
        <v>590</v>
      </c>
      <c r="K55" s="435" t="s">
        <v>591</v>
      </c>
      <c r="L55" s="435" t="s">
        <v>592</v>
      </c>
      <c r="M55" s="435" t="s">
        <v>591</v>
      </c>
      <c r="N55" s="435" t="s">
        <v>593</v>
      </c>
      <c r="O55" s="435" t="s">
        <v>188</v>
      </c>
      <c r="P55" s="435" t="s">
        <v>188</v>
      </c>
      <c r="Q55" s="438">
        <v>53700</v>
      </c>
      <c r="R55" s="438">
        <v>0</v>
      </c>
      <c r="S55" s="438">
        <v>0</v>
      </c>
      <c r="T55" s="438">
        <v>1025741.96</v>
      </c>
      <c r="U55" s="438">
        <v>0</v>
      </c>
      <c r="V55" s="438">
        <v>33674.85</v>
      </c>
      <c r="W55" s="438">
        <v>0</v>
      </c>
      <c r="X55" s="438">
        <v>28364.98</v>
      </c>
      <c r="Y55" s="438">
        <v>4850</v>
      </c>
      <c r="Z55" s="438">
        <v>7175</v>
      </c>
      <c r="AA55" s="438">
        <v>640</v>
      </c>
      <c r="AB55" s="438">
        <v>13081</v>
      </c>
      <c r="AC55" s="438">
        <v>29039.11</v>
      </c>
      <c r="AD55" s="438">
        <v>2600</v>
      </c>
      <c r="AE55" s="438">
        <v>975</v>
      </c>
      <c r="AF55" s="438">
        <v>37926.39</v>
      </c>
      <c r="AG55" s="438">
        <v>6396.98</v>
      </c>
      <c r="AH55" s="438">
        <v>0</v>
      </c>
      <c r="AI55" s="438">
        <v>0</v>
      </c>
      <c r="AJ55" s="438">
        <v>0</v>
      </c>
      <c r="AK55" s="438">
        <v>0</v>
      </c>
      <c r="AL55" s="438">
        <v>0</v>
      </c>
      <c r="AM55" s="438">
        <v>5172.13</v>
      </c>
      <c r="AN55" s="438">
        <v>52999.25</v>
      </c>
      <c r="AO55" s="438">
        <v>577669.21</v>
      </c>
      <c r="AP55" s="438">
        <v>0</v>
      </c>
      <c r="AQ55" s="438">
        <v>244926.3</v>
      </c>
      <c r="AR55" s="438">
        <v>38149.47</v>
      </c>
      <c r="AS55" s="438">
        <v>63432.71</v>
      </c>
      <c r="AT55" s="438">
        <v>0</v>
      </c>
      <c r="AU55" s="438">
        <v>0</v>
      </c>
      <c r="AV55" s="438">
        <v>360</v>
      </c>
      <c r="AW55" s="438">
        <v>2713.73</v>
      </c>
      <c r="AX55" s="438">
        <v>630.54999999999995</v>
      </c>
      <c r="AY55" s="438">
        <v>4263.67</v>
      </c>
      <c r="AZ55" s="438">
        <v>5976.45</v>
      </c>
      <c r="BA55" s="438">
        <v>900.81</v>
      </c>
      <c r="BB55" s="438">
        <v>19703.36</v>
      </c>
      <c r="BC55" s="438">
        <v>5459.28</v>
      </c>
      <c r="BD55" s="438">
        <v>16678.169999999998</v>
      </c>
      <c r="BE55" s="438">
        <v>3558.4</v>
      </c>
      <c r="BF55" s="438">
        <v>8812.52</v>
      </c>
      <c r="BG55" s="438">
        <v>57527.63</v>
      </c>
      <c r="BH55" s="438">
        <v>12958.08</v>
      </c>
      <c r="BI55" s="438">
        <v>0</v>
      </c>
      <c r="BJ55" s="438">
        <v>9132.8799999999992</v>
      </c>
      <c r="BK55" s="438">
        <v>7857.57</v>
      </c>
      <c r="BL55" s="438">
        <v>1691</v>
      </c>
      <c r="BM55" s="438">
        <v>66002.460000000006</v>
      </c>
      <c r="BN55" s="438">
        <v>140</v>
      </c>
      <c r="BO55" s="438">
        <v>31484.080000000002</v>
      </c>
      <c r="BP55" s="438">
        <v>30451.32</v>
      </c>
      <c r="BQ55" s="438">
        <v>0</v>
      </c>
      <c r="BR55" s="438">
        <v>0</v>
      </c>
      <c r="BS55" s="438">
        <v>0</v>
      </c>
      <c r="BT55" s="438">
        <v>0</v>
      </c>
      <c r="BU55" s="438">
        <v>0</v>
      </c>
      <c r="BV55" s="438">
        <v>0</v>
      </c>
      <c r="BW55" s="438">
        <v>7951.87</v>
      </c>
      <c r="BX55" s="438">
        <v>0</v>
      </c>
      <c r="BY55" s="438">
        <v>6000</v>
      </c>
      <c r="BZ55" s="438">
        <v>0</v>
      </c>
      <c r="CA55" s="438">
        <v>0</v>
      </c>
      <c r="CB55" s="438">
        <v>0</v>
      </c>
      <c r="CC55" s="438">
        <v>7951.87</v>
      </c>
      <c r="CD55" s="438">
        <v>0</v>
      </c>
      <c r="CE55" s="438">
        <v>91857</v>
      </c>
      <c r="CF55" s="438">
        <v>0</v>
      </c>
      <c r="CG55" s="438">
        <v>0</v>
      </c>
      <c r="CH55" s="438">
        <v>0</v>
      </c>
      <c r="CI55" s="438">
        <v>0</v>
      </c>
      <c r="CJ55" s="111">
        <f t="shared" si="3"/>
        <v>91857</v>
      </c>
      <c r="CK55" s="111">
        <f t="shared" si="4"/>
        <v>0</v>
      </c>
      <c r="CL55" s="111">
        <f t="shared" si="2"/>
        <v>91857</v>
      </c>
    </row>
    <row r="56" spans="1:90" ht="26.4">
      <c r="A56" s="435">
        <v>302</v>
      </c>
      <c r="B56" s="435">
        <v>3313</v>
      </c>
      <c r="C56" s="435" t="s">
        <v>609</v>
      </c>
      <c r="D56" s="435" t="s">
        <v>594</v>
      </c>
      <c r="E56" s="435"/>
      <c r="F56" s="435" t="s">
        <v>588</v>
      </c>
      <c r="G56" s="435">
        <v>0</v>
      </c>
      <c r="H56" s="435">
        <v>0</v>
      </c>
      <c r="I56" s="435" t="s">
        <v>695</v>
      </c>
      <c r="J56" s="435" t="s">
        <v>590</v>
      </c>
      <c r="K56" s="435" t="s">
        <v>591</v>
      </c>
      <c r="L56" s="435" t="s">
        <v>592</v>
      </c>
      <c r="M56" s="435" t="s">
        <v>591</v>
      </c>
      <c r="N56" s="435" t="s">
        <v>593</v>
      </c>
      <c r="O56" s="435" t="s">
        <v>188</v>
      </c>
      <c r="P56" s="435" t="s">
        <v>188</v>
      </c>
      <c r="Q56" s="438">
        <v>146662</v>
      </c>
      <c r="R56" s="438">
        <v>0</v>
      </c>
      <c r="S56" s="438">
        <v>0</v>
      </c>
      <c r="T56" s="438">
        <v>1199018.03</v>
      </c>
      <c r="U56" s="438">
        <v>0</v>
      </c>
      <c r="V56" s="438">
        <v>41108.69</v>
      </c>
      <c r="W56" s="438">
        <v>0</v>
      </c>
      <c r="X56" s="438">
        <v>86535.01</v>
      </c>
      <c r="Y56" s="438">
        <v>0</v>
      </c>
      <c r="Z56" s="438">
        <v>4255.0600000000004</v>
      </c>
      <c r="AA56" s="438">
        <v>1701.79</v>
      </c>
      <c r="AB56" s="438">
        <v>19733.54</v>
      </c>
      <c r="AC56" s="438">
        <v>19107.78</v>
      </c>
      <c r="AD56" s="438">
        <v>12880</v>
      </c>
      <c r="AE56" s="438">
        <v>1785</v>
      </c>
      <c r="AF56" s="438">
        <v>15756.95</v>
      </c>
      <c r="AG56" s="438">
        <v>10901.15</v>
      </c>
      <c r="AH56" s="438">
        <v>0</v>
      </c>
      <c r="AI56" s="438">
        <v>0</v>
      </c>
      <c r="AJ56" s="438">
        <v>0</v>
      </c>
      <c r="AK56" s="438">
        <v>0</v>
      </c>
      <c r="AL56" s="438">
        <v>0</v>
      </c>
      <c r="AM56" s="438">
        <v>17864.13</v>
      </c>
      <c r="AN56" s="438">
        <v>37139</v>
      </c>
      <c r="AO56" s="438">
        <v>622925.71</v>
      </c>
      <c r="AP56" s="438">
        <v>33693.68</v>
      </c>
      <c r="AQ56" s="438">
        <v>295029.59000000003</v>
      </c>
      <c r="AR56" s="438">
        <v>39693.43</v>
      </c>
      <c r="AS56" s="438">
        <v>63789.8</v>
      </c>
      <c r="AT56" s="438">
        <v>0</v>
      </c>
      <c r="AU56" s="438">
        <v>12121.62</v>
      </c>
      <c r="AV56" s="438">
        <v>0</v>
      </c>
      <c r="AW56" s="438">
        <v>8711.39</v>
      </c>
      <c r="AX56" s="438">
        <v>11760.64</v>
      </c>
      <c r="AY56" s="438">
        <v>0</v>
      </c>
      <c r="AZ56" s="438">
        <v>12230.61</v>
      </c>
      <c r="BA56" s="438">
        <v>1638.83</v>
      </c>
      <c r="BB56" s="438">
        <v>20610.79</v>
      </c>
      <c r="BC56" s="438">
        <v>3961.29</v>
      </c>
      <c r="BD56" s="438">
        <v>30093.18</v>
      </c>
      <c r="BE56" s="438">
        <v>3328</v>
      </c>
      <c r="BF56" s="438">
        <v>7536.18</v>
      </c>
      <c r="BG56" s="438">
        <v>62595.43</v>
      </c>
      <c r="BH56" s="438">
        <v>9425.16</v>
      </c>
      <c r="BI56" s="438">
        <v>0</v>
      </c>
      <c r="BJ56" s="438">
        <v>13069.53</v>
      </c>
      <c r="BK56" s="438">
        <v>9355.15</v>
      </c>
      <c r="BL56" s="438">
        <v>7773.68</v>
      </c>
      <c r="BM56" s="438">
        <v>63349.51</v>
      </c>
      <c r="BN56" s="438">
        <v>16662.009999999998</v>
      </c>
      <c r="BO56" s="438">
        <v>62915.09</v>
      </c>
      <c r="BP56" s="438">
        <v>33458.83</v>
      </c>
      <c r="BQ56" s="438">
        <v>0</v>
      </c>
      <c r="BR56" s="438">
        <v>0</v>
      </c>
      <c r="BS56" s="438">
        <v>0</v>
      </c>
      <c r="BT56" s="438">
        <v>0</v>
      </c>
      <c r="BU56" s="438">
        <v>0</v>
      </c>
      <c r="BV56" s="438">
        <v>0</v>
      </c>
      <c r="BW56" s="438">
        <v>0</v>
      </c>
      <c r="BX56" s="438">
        <v>0</v>
      </c>
      <c r="BY56" s="438">
        <v>6000</v>
      </c>
      <c r="BZ56" s="438">
        <v>0</v>
      </c>
      <c r="CA56" s="438">
        <v>0</v>
      </c>
      <c r="CB56" s="438">
        <v>0</v>
      </c>
      <c r="CC56" s="438">
        <v>0</v>
      </c>
      <c r="CD56" s="438">
        <v>26483</v>
      </c>
      <c r="CE56" s="438">
        <v>142236</v>
      </c>
      <c r="CF56" s="438">
        <v>0</v>
      </c>
      <c r="CG56" s="438">
        <v>0</v>
      </c>
      <c r="CH56" s="438">
        <v>0</v>
      </c>
      <c r="CI56" s="438">
        <v>0</v>
      </c>
      <c r="CJ56" s="111">
        <f t="shared" si="3"/>
        <v>168719</v>
      </c>
      <c r="CK56" s="111">
        <f t="shared" si="4"/>
        <v>0</v>
      </c>
      <c r="CL56" s="111">
        <f t="shared" si="2"/>
        <v>168719</v>
      </c>
    </row>
    <row r="57" spans="1:90" ht="26.4">
      <c r="A57" s="435">
        <v>302</v>
      </c>
      <c r="B57" s="435">
        <v>3314</v>
      </c>
      <c r="C57" s="435" t="s">
        <v>610</v>
      </c>
      <c r="D57" s="435" t="s">
        <v>594</v>
      </c>
      <c r="E57" s="435"/>
      <c r="F57" s="435" t="s">
        <v>588</v>
      </c>
      <c r="G57" s="435">
        <v>0</v>
      </c>
      <c r="H57" s="435">
        <v>0</v>
      </c>
      <c r="I57" s="435" t="s">
        <v>695</v>
      </c>
      <c r="J57" s="435" t="s">
        <v>590</v>
      </c>
      <c r="K57" s="435" t="s">
        <v>591</v>
      </c>
      <c r="L57" s="435" t="s">
        <v>592</v>
      </c>
      <c r="M57" s="435" t="s">
        <v>591</v>
      </c>
      <c r="N57" s="435" t="s">
        <v>593</v>
      </c>
      <c r="O57" s="435" t="s">
        <v>188</v>
      </c>
      <c r="P57" s="435" t="s">
        <v>188</v>
      </c>
      <c r="Q57" s="438">
        <v>31636</v>
      </c>
      <c r="R57" s="438">
        <v>0</v>
      </c>
      <c r="S57" s="438">
        <v>0</v>
      </c>
      <c r="T57" s="438">
        <v>1032155.99</v>
      </c>
      <c r="U57" s="438">
        <v>0</v>
      </c>
      <c r="V57" s="438">
        <v>48215.48</v>
      </c>
      <c r="W57" s="438">
        <v>0</v>
      </c>
      <c r="X57" s="438">
        <v>59153.04</v>
      </c>
      <c r="Y57" s="438">
        <v>0</v>
      </c>
      <c r="Z57" s="438">
        <v>70679.5</v>
      </c>
      <c r="AA57" s="438">
        <v>400</v>
      </c>
      <c r="AB57" s="438">
        <v>46793.05</v>
      </c>
      <c r="AC57" s="438">
        <v>16901.34</v>
      </c>
      <c r="AD57" s="438">
        <v>1816</v>
      </c>
      <c r="AE57" s="438">
        <v>640</v>
      </c>
      <c r="AF57" s="438">
        <v>30272.15</v>
      </c>
      <c r="AG57" s="438">
        <v>25032.7</v>
      </c>
      <c r="AH57" s="438">
        <v>0</v>
      </c>
      <c r="AI57" s="438">
        <v>0</v>
      </c>
      <c r="AJ57" s="438">
        <v>0</v>
      </c>
      <c r="AK57" s="438">
        <v>0</v>
      </c>
      <c r="AL57" s="438">
        <v>0</v>
      </c>
      <c r="AM57" s="438">
        <v>11996.5</v>
      </c>
      <c r="AN57" s="438">
        <v>49422</v>
      </c>
      <c r="AO57" s="438">
        <v>630460.38</v>
      </c>
      <c r="AP57" s="438">
        <v>4219.59</v>
      </c>
      <c r="AQ57" s="438">
        <v>206591.79</v>
      </c>
      <c r="AR57" s="438">
        <v>38940</v>
      </c>
      <c r="AS57" s="438">
        <v>55104.19</v>
      </c>
      <c r="AT57" s="438">
        <v>0</v>
      </c>
      <c r="AU57" s="438">
        <v>67860.399999999994</v>
      </c>
      <c r="AV57" s="438">
        <v>11672.63</v>
      </c>
      <c r="AW57" s="438">
        <v>5008.46</v>
      </c>
      <c r="AX57" s="438">
        <v>11671.23</v>
      </c>
      <c r="AY57" s="438">
        <v>0</v>
      </c>
      <c r="AZ57" s="438">
        <v>15301.36</v>
      </c>
      <c r="BA57" s="438">
        <v>0</v>
      </c>
      <c r="BB57" s="438">
        <v>14768.56</v>
      </c>
      <c r="BC57" s="438">
        <v>3145.02</v>
      </c>
      <c r="BD57" s="438">
        <v>18774.919999999998</v>
      </c>
      <c r="BE57" s="438">
        <v>2926.8</v>
      </c>
      <c r="BF57" s="438">
        <v>9154.24</v>
      </c>
      <c r="BG57" s="438">
        <v>66312.45</v>
      </c>
      <c r="BH57" s="438">
        <v>23596.16</v>
      </c>
      <c r="BI57" s="438">
        <v>0</v>
      </c>
      <c r="BJ57" s="438">
        <v>11233.02</v>
      </c>
      <c r="BK57" s="438">
        <v>7959.84</v>
      </c>
      <c r="BL57" s="438">
        <v>15333.28</v>
      </c>
      <c r="BM57" s="438">
        <v>54853.279999999999</v>
      </c>
      <c r="BN57" s="438">
        <v>35309.839999999997</v>
      </c>
      <c r="BO57" s="438">
        <v>39755.9</v>
      </c>
      <c r="BP57" s="438">
        <v>37835.410000000003</v>
      </c>
      <c r="BQ57" s="438">
        <v>0</v>
      </c>
      <c r="BR57" s="438">
        <v>0</v>
      </c>
      <c r="BS57" s="438">
        <v>0</v>
      </c>
      <c r="BT57" s="438">
        <v>0</v>
      </c>
      <c r="BU57" s="438">
        <v>0</v>
      </c>
      <c r="BV57" s="438">
        <v>0</v>
      </c>
      <c r="BW57" s="438">
        <v>0</v>
      </c>
      <c r="BX57" s="438">
        <v>0</v>
      </c>
      <c r="BY57" s="438">
        <v>6000</v>
      </c>
      <c r="BZ57" s="438">
        <v>0</v>
      </c>
      <c r="CA57" s="438">
        <v>0</v>
      </c>
      <c r="CB57" s="438">
        <v>0</v>
      </c>
      <c r="CC57" s="438">
        <v>0</v>
      </c>
      <c r="CD57" s="438">
        <v>8884</v>
      </c>
      <c r="CE57" s="438">
        <v>28441</v>
      </c>
      <c r="CF57" s="438">
        <v>0</v>
      </c>
      <c r="CG57" s="438">
        <v>0</v>
      </c>
      <c r="CH57" s="438">
        <v>0</v>
      </c>
      <c r="CI57" s="438">
        <v>0</v>
      </c>
      <c r="CJ57" s="111">
        <f t="shared" si="3"/>
        <v>37325</v>
      </c>
      <c r="CK57" s="111">
        <f t="shared" si="4"/>
        <v>0</v>
      </c>
      <c r="CL57" s="111">
        <f t="shared" si="2"/>
        <v>37325</v>
      </c>
    </row>
    <row r="58" spans="1:90" ht="26.4">
      <c r="A58" s="435">
        <v>302</v>
      </c>
      <c r="B58" s="435">
        <v>3315</v>
      </c>
      <c r="C58" s="435" t="s">
        <v>611</v>
      </c>
      <c r="D58" s="435" t="s">
        <v>594</v>
      </c>
      <c r="E58" s="435"/>
      <c r="F58" s="435" t="s">
        <v>588</v>
      </c>
      <c r="G58" s="435">
        <v>0</v>
      </c>
      <c r="H58" s="435">
        <v>0</v>
      </c>
      <c r="I58" s="435" t="s">
        <v>695</v>
      </c>
      <c r="J58" s="435" t="s">
        <v>590</v>
      </c>
      <c r="K58" s="435" t="s">
        <v>591</v>
      </c>
      <c r="L58" s="435" t="s">
        <v>592</v>
      </c>
      <c r="M58" s="435" t="s">
        <v>591</v>
      </c>
      <c r="N58" s="435" t="s">
        <v>593</v>
      </c>
      <c r="O58" s="435" t="s">
        <v>188</v>
      </c>
      <c r="P58" s="435" t="s">
        <v>188</v>
      </c>
      <c r="Q58" s="438">
        <v>93809</v>
      </c>
      <c r="R58" s="438">
        <v>0</v>
      </c>
      <c r="S58" s="438">
        <v>0</v>
      </c>
      <c r="T58" s="438">
        <v>991149.04</v>
      </c>
      <c r="U58" s="438">
        <v>0</v>
      </c>
      <c r="V58" s="438">
        <v>16274.99</v>
      </c>
      <c r="W58" s="438">
        <v>0</v>
      </c>
      <c r="X58" s="438">
        <v>16620</v>
      </c>
      <c r="Y58" s="438">
        <v>565</v>
      </c>
      <c r="Z58" s="438">
        <v>17830.400000000001</v>
      </c>
      <c r="AA58" s="438">
        <v>59963.24</v>
      </c>
      <c r="AB58" s="438">
        <v>0</v>
      </c>
      <c r="AC58" s="438">
        <v>36856.42</v>
      </c>
      <c r="AD58" s="438">
        <v>0</v>
      </c>
      <c r="AE58" s="438">
        <v>0</v>
      </c>
      <c r="AF58" s="438">
        <v>18136.09</v>
      </c>
      <c r="AG58" s="438">
        <v>85615.69</v>
      </c>
      <c r="AH58" s="438">
        <v>0</v>
      </c>
      <c r="AI58" s="438">
        <v>0</v>
      </c>
      <c r="AJ58" s="438">
        <v>0</v>
      </c>
      <c r="AK58" s="438">
        <v>0</v>
      </c>
      <c r="AL58" s="438">
        <v>0</v>
      </c>
      <c r="AM58" s="438">
        <v>0</v>
      </c>
      <c r="AN58" s="438">
        <v>62096.85</v>
      </c>
      <c r="AO58" s="438">
        <v>646073.85</v>
      </c>
      <c r="AP58" s="438">
        <v>0</v>
      </c>
      <c r="AQ58" s="438">
        <v>187945.28</v>
      </c>
      <c r="AR58" s="438">
        <v>41240.85</v>
      </c>
      <c r="AS58" s="438">
        <v>61639.58</v>
      </c>
      <c r="AT58" s="438">
        <v>0</v>
      </c>
      <c r="AU58" s="438">
        <v>65662.64</v>
      </c>
      <c r="AV58" s="438">
        <v>1432.89</v>
      </c>
      <c r="AW58" s="438">
        <v>2645.84</v>
      </c>
      <c r="AX58" s="438">
        <v>3930.81</v>
      </c>
      <c r="AY58" s="438">
        <v>1740</v>
      </c>
      <c r="AZ58" s="438">
        <v>18923.400000000001</v>
      </c>
      <c r="BA58" s="438">
        <v>0</v>
      </c>
      <c r="BB58" s="438">
        <v>3336.14</v>
      </c>
      <c r="BC58" s="438">
        <v>3934.2</v>
      </c>
      <c r="BD58" s="438">
        <v>31277.18</v>
      </c>
      <c r="BE58" s="438">
        <v>0</v>
      </c>
      <c r="BF58" s="438">
        <v>8249.2900000000009</v>
      </c>
      <c r="BG58" s="438">
        <v>42529.15</v>
      </c>
      <c r="BH58" s="438">
        <v>10110.99</v>
      </c>
      <c r="BI58" s="438">
        <v>0</v>
      </c>
      <c r="BJ58" s="438">
        <v>7090.56</v>
      </c>
      <c r="BK58" s="438">
        <v>6187.23</v>
      </c>
      <c r="BL58" s="438">
        <v>45266.69</v>
      </c>
      <c r="BM58" s="438">
        <v>70596.820000000007</v>
      </c>
      <c r="BN58" s="438">
        <v>13147.56</v>
      </c>
      <c r="BO58" s="438">
        <v>28080.33</v>
      </c>
      <c r="BP58" s="438">
        <v>31432.04</v>
      </c>
      <c r="BQ58" s="438">
        <v>0</v>
      </c>
      <c r="BR58" s="438">
        <v>0</v>
      </c>
      <c r="BS58" s="438">
        <v>0.4</v>
      </c>
      <c r="BT58" s="438">
        <v>0</v>
      </c>
      <c r="BU58" s="438">
        <v>0</v>
      </c>
      <c r="BV58" s="438">
        <v>0</v>
      </c>
      <c r="BW58" s="438">
        <v>0</v>
      </c>
      <c r="BX58" s="438">
        <v>0</v>
      </c>
      <c r="BY58" s="438">
        <v>6000</v>
      </c>
      <c r="BZ58" s="438">
        <v>0</v>
      </c>
      <c r="CA58" s="438">
        <v>0</v>
      </c>
      <c r="CB58" s="438">
        <v>0</v>
      </c>
      <c r="CC58" s="438">
        <v>0</v>
      </c>
      <c r="CD58" s="438">
        <v>0</v>
      </c>
      <c r="CE58" s="438">
        <v>66443</v>
      </c>
      <c r="CF58" s="438">
        <v>0</v>
      </c>
      <c r="CG58" s="438">
        <v>0</v>
      </c>
      <c r="CH58" s="438">
        <v>0</v>
      </c>
      <c r="CI58" s="438">
        <v>0</v>
      </c>
      <c r="CJ58" s="111">
        <f t="shared" si="3"/>
        <v>66443</v>
      </c>
      <c r="CK58" s="111">
        <f t="shared" si="4"/>
        <v>0</v>
      </c>
      <c r="CL58" s="111">
        <f t="shared" si="2"/>
        <v>66443</v>
      </c>
    </row>
    <row r="59" spans="1:90" ht="26.4">
      <c r="A59" s="435">
        <v>302</v>
      </c>
      <c r="B59" s="435">
        <v>3316</v>
      </c>
      <c r="C59" s="435" t="s">
        <v>106</v>
      </c>
      <c r="D59" s="435" t="s">
        <v>594</v>
      </c>
      <c r="E59" s="435"/>
      <c r="F59" s="435" t="s">
        <v>588</v>
      </c>
      <c r="G59" s="435">
        <v>0</v>
      </c>
      <c r="H59" s="435">
        <v>2</v>
      </c>
      <c r="I59" s="435" t="s">
        <v>695</v>
      </c>
      <c r="J59" s="435" t="s">
        <v>590</v>
      </c>
      <c r="K59" s="435" t="s">
        <v>591</v>
      </c>
      <c r="L59" s="435" t="s">
        <v>592</v>
      </c>
      <c r="M59" s="435" t="s">
        <v>591</v>
      </c>
      <c r="N59" s="435" t="s">
        <v>593</v>
      </c>
      <c r="O59" s="435" t="s">
        <v>188</v>
      </c>
      <c r="P59" s="435" t="s">
        <v>188</v>
      </c>
      <c r="Q59" s="438">
        <v>35173</v>
      </c>
      <c r="R59" s="438">
        <v>0</v>
      </c>
      <c r="S59" s="438">
        <v>0</v>
      </c>
      <c r="T59" s="438">
        <v>1037529.5</v>
      </c>
      <c r="U59" s="438">
        <v>0</v>
      </c>
      <c r="V59" s="438">
        <v>63886.04</v>
      </c>
      <c r="W59" s="438">
        <v>0</v>
      </c>
      <c r="X59" s="438">
        <v>29684.99</v>
      </c>
      <c r="Y59" s="438">
        <v>3715</v>
      </c>
      <c r="Z59" s="438">
        <v>2443</v>
      </c>
      <c r="AA59" s="438">
        <v>0</v>
      </c>
      <c r="AB59" s="438">
        <v>45359.46</v>
      </c>
      <c r="AC59" s="438">
        <v>31780.45</v>
      </c>
      <c r="AD59" s="438">
        <v>0</v>
      </c>
      <c r="AE59" s="438">
        <v>0</v>
      </c>
      <c r="AF59" s="438">
        <v>21191.09</v>
      </c>
      <c r="AG59" s="438">
        <v>13737.03</v>
      </c>
      <c r="AH59" s="438">
        <v>0</v>
      </c>
      <c r="AI59" s="438">
        <v>0</v>
      </c>
      <c r="AJ59" s="438">
        <v>0</v>
      </c>
      <c r="AK59" s="438">
        <v>0</v>
      </c>
      <c r="AL59" s="438">
        <v>0</v>
      </c>
      <c r="AM59" s="438">
        <v>6377.88</v>
      </c>
      <c r="AN59" s="438">
        <v>45769</v>
      </c>
      <c r="AO59" s="438">
        <v>650173.94999999995</v>
      </c>
      <c r="AP59" s="438">
        <v>0</v>
      </c>
      <c r="AQ59" s="438">
        <v>217188</v>
      </c>
      <c r="AR59" s="438">
        <v>36017.08</v>
      </c>
      <c r="AS59" s="438">
        <v>54901.49</v>
      </c>
      <c r="AT59" s="438">
        <v>0</v>
      </c>
      <c r="AU59" s="438">
        <v>39906.99</v>
      </c>
      <c r="AV59" s="438">
        <v>5743</v>
      </c>
      <c r="AW59" s="438">
        <v>5279.66</v>
      </c>
      <c r="AX59" s="438">
        <v>350.26</v>
      </c>
      <c r="AY59" s="438">
        <v>918</v>
      </c>
      <c r="AZ59" s="438">
        <v>8404</v>
      </c>
      <c r="BA59" s="438">
        <v>0</v>
      </c>
      <c r="BB59" s="438">
        <v>10749.05</v>
      </c>
      <c r="BC59" s="438">
        <v>2351.9499999999998</v>
      </c>
      <c r="BD59" s="438">
        <v>23477.56</v>
      </c>
      <c r="BE59" s="438">
        <v>-6934</v>
      </c>
      <c r="BF59" s="438">
        <v>8688.2000000000007</v>
      </c>
      <c r="BG59" s="438">
        <v>63561.67</v>
      </c>
      <c r="BH59" s="438">
        <v>9344.34</v>
      </c>
      <c r="BI59" s="438">
        <v>0</v>
      </c>
      <c r="BJ59" s="438">
        <v>8835.85</v>
      </c>
      <c r="BK59" s="438">
        <v>16983.79</v>
      </c>
      <c r="BL59" s="438">
        <v>11775.07</v>
      </c>
      <c r="BM59" s="438">
        <v>74972.66</v>
      </c>
      <c r="BN59" s="438">
        <v>6577.08</v>
      </c>
      <c r="BO59" s="438">
        <v>65765.95</v>
      </c>
      <c r="BP59" s="438">
        <v>56224.84</v>
      </c>
      <c r="BQ59" s="438">
        <v>0</v>
      </c>
      <c r="BR59" s="438">
        <v>0</v>
      </c>
      <c r="BS59" s="438">
        <v>0</v>
      </c>
      <c r="BT59" s="438">
        <v>0</v>
      </c>
      <c r="BU59" s="438">
        <v>0</v>
      </c>
      <c r="BV59" s="438">
        <v>0</v>
      </c>
      <c r="BW59" s="438">
        <v>0</v>
      </c>
      <c r="BX59" s="438">
        <v>0</v>
      </c>
      <c r="BY59" s="438">
        <v>6000</v>
      </c>
      <c r="BZ59" s="438">
        <v>0</v>
      </c>
      <c r="CA59" s="438">
        <v>0</v>
      </c>
      <c r="CB59" s="438">
        <v>0</v>
      </c>
      <c r="CC59" s="438">
        <v>0</v>
      </c>
      <c r="CD59" s="438">
        <v>0</v>
      </c>
      <c r="CE59" s="438">
        <v>-34610</v>
      </c>
      <c r="CF59" s="438">
        <v>0</v>
      </c>
      <c r="CG59" s="438">
        <v>0</v>
      </c>
      <c r="CH59" s="438">
        <v>0</v>
      </c>
      <c r="CI59" s="438">
        <v>0</v>
      </c>
      <c r="CJ59" s="111">
        <f t="shared" si="3"/>
        <v>-34610</v>
      </c>
      <c r="CK59" s="111">
        <f t="shared" si="4"/>
        <v>0</v>
      </c>
      <c r="CL59" s="111">
        <f t="shared" si="2"/>
        <v>-34610</v>
      </c>
    </row>
    <row r="60" spans="1:90" ht="26.4">
      <c r="A60" s="435">
        <v>302</v>
      </c>
      <c r="B60" s="435">
        <v>3317</v>
      </c>
      <c r="C60" s="435" t="s">
        <v>612</v>
      </c>
      <c r="D60" s="435" t="s">
        <v>594</v>
      </c>
      <c r="E60" s="435"/>
      <c r="F60" s="435" t="s">
        <v>588</v>
      </c>
      <c r="G60" s="435">
        <v>0</v>
      </c>
      <c r="H60" s="435">
        <v>0</v>
      </c>
      <c r="I60" s="435" t="s">
        <v>695</v>
      </c>
      <c r="J60" s="435" t="s">
        <v>590</v>
      </c>
      <c r="K60" s="435" t="s">
        <v>591</v>
      </c>
      <c r="L60" s="435" t="s">
        <v>592</v>
      </c>
      <c r="M60" s="435" t="s">
        <v>591</v>
      </c>
      <c r="N60" s="435" t="s">
        <v>593</v>
      </c>
      <c r="O60" s="435" t="s">
        <v>188</v>
      </c>
      <c r="P60" s="435" t="s">
        <v>188</v>
      </c>
      <c r="Q60" s="438">
        <v>103254</v>
      </c>
      <c r="R60" s="438">
        <v>-2791</v>
      </c>
      <c r="S60" s="438">
        <v>0</v>
      </c>
      <c r="T60" s="438">
        <v>1206938.5900000001</v>
      </c>
      <c r="U60" s="438">
        <v>0</v>
      </c>
      <c r="V60" s="438">
        <v>72649.679999999993</v>
      </c>
      <c r="W60" s="438">
        <v>0</v>
      </c>
      <c r="X60" s="438">
        <v>74810.03</v>
      </c>
      <c r="Y60" s="438">
        <v>4109.2700000000004</v>
      </c>
      <c r="Z60" s="438">
        <v>3881</v>
      </c>
      <c r="AA60" s="438">
        <v>5980.25</v>
      </c>
      <c r="AB60" s="438">
        <v>15151.78</v>
      </c>
      <c r="AC60" s="438">
        <v>35533.660000000003</v>
      </c>
      <c r="AD60" s="438">
        <v>288</v>
      </c>
      <c r="AE60" s="438">
        <v>0</v>
      </c>
      <c r="AF60" s="438">
        <v>45517.5</v>
      </c>
      <c r="AG60" s="438">
        <v>58480</v>
      </c>
      <c r="AH60" s="438">
        <v>0</v>
      </c>
      <c r="AI60" s="438">
        <v>0</v>
      </c>
      <c r="AJ60" s="438">
        <v>0</v>
      </c>
      <c r="AK60" s="438">
        <v>0</v>
      </c>
      <c r="AL60" s="438">
        <v>0</v>
      </c>
      <c r="AM60" s="438">
        <v>14475.13</v>
      </c>
      <c r="AN60" s="438">
        <v>49868.4</v>
      </c>
      <c r="AO60" s="438">
        <v>701994.86</v>
      </c>
      <c r="AP60" s="438">
        <v>28549.06</v>
      </c>
      <c r="AQ60" s="438">
        <v>378204</v>
      </c>
      <c r="AR60" s="438">
        <v>32784.199999999997</v>
      </c>
      <c r="AS60" s="438">
        <v>61373.35</v>
      </c>
      <c r="AT60" s="438">
        <v>0</v>
      </c>
      <c r="AU60" s="438">
        <v>37395.22</v>
      </c>
      <c r="AV60" s="438">
        <v>877.99</v>
      </c>
      <c r="AW60" s="438">
        <v>696.26</v>
      </c>
      <c r="AX60" s="438">
        <v>7357.11</v>
      </c>
      <c r="AY60" s="438">
        <v>0</v>
      </c>
      <c r="AZ60" s="438">
        <v>28526.91</v>
      </c>
      <c r="BA60" s="438">
        <v>1853.48</v>
      </c>
      <c r="BB60" s="438">
        <v>41343.14</v>
      </c>
      <c r="BC60" s="438">
        <v>5000</v>
      </c>
      <c r="BD60" s="438">
        <v>37579</v>
      </c>
      <c r="BE60" s="438">
        <v>11520</v>
      </c>
      <c r="BF60" s="438">
        <v>9817.08</v>
      </c>
      <c r="BG60" s="438">
        <v>44498.98</v>
      </c>
      <c r="BH60" s="438">
        <v>9736.93</v>
      </c>
      <c r="BI60" s="438">
        <v>0</v>
      </c>
      <c r="BJ60" s="438">
        <v>12504.36</v>
      </c>
      <c r="BK60" s="438">
        <v>9812.06</v>
      </c>
      <c r="BL60" s="438">
        <v>4699.51</v>
      </c>
      <c r="BM60" s="438">
        <v>79921.38</v>
      </c>
      <c r="BN60" s="438">
        <v>23047.42</v>
      </c>
      <c r="BO60" s="438">
        <v>61306.05</v>
      </c>
      <c r="BP60" s="438">
        <v>24593.94</v>
      </c>
      <c r="BQ60" s="438">
        <v>0</v>
      </c>
      <c r="BR60" s="438">
        <v>0</v>
      </c>
      <c r="BS60" s="438">
        <v>0</v>
      </c>
      <c r="BT60" s="438">
        <v>0</v>
      </c>
      <c r="BU60" s="438">
        <v>0</v>
      </c>
      <c r="BV60" s="438">
        <v>0</v>
      </c>
      <c r="BW60" s="438">
        <v>0</v>
      </c>
      <c r="BX60" s="438">
        <v>0</v>
      </c>
      <c r="BY60" s="438">
        <v>6000</v>
      </c>
      <c r="BZ60" s="438">
        <v>0</v>
      </c>
      <c r="CA60" s="438">
        <v>0</v>
      </c>
      <c r="CB60" s="438">
        <v>0</v>
      </c>
      <c r="CC60" s="438">
        <v>0</v>
      </c>
      <c r="CD60" s="438">
        <v>0</v>
      </c>
      <c r="CE60" s="438">
        <v>35945</v>
      </c>
      <c r="CF60" s="438">
        <v>0</v>
      </c>
      <c r="CG60" s="438">
        <v>0</v>
      </c>
      <c r="CH60" s="438">
        <v>-2791</v>
      </c>
      <c r="CI60" s="438">
        <v>0</v>
      </c>
      <c r="CJ60" s="111">
        <f t="shared" si="3"/>
        <v>33154</v>
      </c>
      <c r="CK60" s="111">
        <f t="shared" si="4"/>
        <v>0</v>
      </c>
      <c r="CL60" s="111">
        <f t="shared" si="2"/>
        <v>35945</v>
      </c>
    </row>
    <row r="61" spans="1:90" ht="26.4">
      <c r="A61" s="435">
        <v>302</v>
      </c>
      <c r="B61" s="435">
        <v>3500</v>
      </c>
      <c r="C61" s="435" t="s">
        <v>613</v>
      </c>
      <c r="D61" s="435" t="s">
        <v>594</v>
      </c>
      <c r="E61" s="435"/>
      <c r="F61" s="435" t="s">
        <v>588</v>
      </c>
      <c r="G61" s="435">
        <v>0</v>
      </c>
      <c r="H61" s="435">
        <v>1</v>
      </c>
      <c r="I61" s="435" t="s">
        <v>695</v>
      </c>
      <c r="J61" s="435" t="s">
        <v>590</v>
      </c>
      <c r="K61" s="435" t="s">
        <v>591</v>
      </c>
      <c r="L61" s="435" t="s">
        <v>592</v>
      </c>
      <c r="M61" s="435" t="s">
        <v>591</v>
      </c>
      <c r="N61" s="435" t="s">
        <v>593</v>
      </c>
      <c r="O61" s="435" t="s">
        <v>188</v>
      </c>
      <c r="P61" s="435" t="s">
        <v>188</v>
      </c>
      <c r="Q61" s="438">
        <v>9344</v>
      </c>
      <c r="R61" s="438">
        <v>0</v>
      </c>
      <c r="S61" s="438">
        <v>0</v>
      </c>
      <c r="T61" s="438">
        <v>869248.7</v>
      </c>
      <c r="U61" s="438">
        <v>0</v>
      </c>
      <c r="V61" s="438">
        <v>32204.94</v>
      </c>
      <c r="W61" s="438">
        <v>0</v>
      </c>
      <c r="X61" s="438">
        <v>26450.04</v>
      </c>
      <c r="Y61" s="438">
        <v>560</v>
      </c>
      <c r="Z61" s="438">
        <v>6846.42</v>
      </c>
      <c r="AA61" s="438">
        <v>0</v>
      </c>
      <c r="AB61" s="438">
        <v>11616.25</v>
      </c>
      <c r="AC61" s="438">
        <v>0</v>
      </c>
      <c r="AD61" s="438">
        <v>0</v>
      </c>
      <c r="AE61" s="438">
        <v>0</v>
      </c>
      <c r="AF61" s="438">
        <v>14944.39</v>
      </c>
      <c r="AG61" s="438">
        <v>1137</v>
      </c>
      <c r="AH61" s="438">
        <v>0</v>
      </c>
      <c r="AI61" s="438">
        <v>0</v>
      </c>
      <c r="AJ61" s="438">
        <v>0</v>
      </c>
      <c r="AK61" s="438">
        <v>0</v>
      </c>
      <c r="AL61" s="438">
        <v>5640</v>
      </c>
      <c r="AM61" s="438">
        <v>4770.13</v>
      </c>
      <c r="AN61" s="438">
        <v>51518</v>
      </c>
      <c r="AO61" s="438">
        <v>491268.82</v>
      </c>
      <c r="AP61" s="438">
        <v>0</v>
      </c>
      <c r="AQ61" s="438">
        <v>170776.04</v>
      </c>
      <c r="AR61" s="438">
        <v>47425.88</v>
      </c>
      <c r="AS61" s="438">
        <v>42793.93</v>
      </c>
      <c r="AT61" s="438">
        <v>0</v>
      </c>
      <c r="AU61" s="438">
        <v>8719.5</v>
      </c>
      <c r="AV61" s="438">
        <v>2100</v>
      </c>
      <c r="AW61" s="438">
        <v>2778.8</v>
      </c>
      <c r="AX61" s="438">
        <v>212.48</v>
      </c>
      <c r="AY61" s="438">
        <v>0</v>
      </c>
      <c r="AZ61" s="438">
        <v>8998.4500000000007</v>
      </c>
      <c r="BA61" s="438">
        <v>137.16999999999999</v>
      </c>
      <c r="BB61" s="438">
        <v>9999.1299999999992</v>
      </c>
      <c r="BC61" s="438">
        <v>2411.36</v>
      </c>
      <c r="BD61" s="438">
        <v>22784.94</v>
      </c>
      <c r="BE61" s="438">
        <v>2457.6</v>
      </c>
      <c r="BF61" s="438">
        <v>3308.26</v>
      </c>
      <c r="BG61" s="438">
        <v>13069.99</v>
      </c>
      <c r="BH61" s="438">
        <v>10005.66</v>
      </c>
      <c r="BI61" s="438">
        <v>0</v>
      </c>
      <c r="BJ61" s="438">
        <v>10570.5</v>
      </c>
      <c r="BK61" s="438">
        <v>7380.2</v>
      </c>
      <c r="BL61" s="438">
        <v>6294</v>
      </c>
      <c r="BM61" s="438">
        <v>52257.3</v>
      </c>
      <c r="BN61" s="438">
        <v>115684.04</v>
      </c>
      <c r="BO61" s="438">
        <v>95319.39</v>
      </c>
      <c r="BP61" s="438">
        <v>15821.43</v>
      </c>
      <c r="BQ61" s="438">
        <v>0</v>
      </c>
      <c r="BR61" s="438">
        <v>0</v>
      </c>
      <c r="BS61" s="438">
        <v>0</v>
      </c>
      <c r="BT61" s="438">
        <v>0</v>
      </c>
      <c r="BU61" s="438">
        <v>0</v>
      </c>
      <c r="BV61" s="438">
        <v>0</v>
      </c>
      <c r="BW61" s="438">
        <v>0</v>
      </c>
      <c r="BX61" s="438">
        <v>0</v>
      </c>
      <c r="BY61" s="438">
        <v>6000</v>
      </c>
      <c r="BZ61" s="438">
        <v>0</v>
      </c>
      <c r="CA61" s="438">
        <v>0</v>
      </c>
      <c r="CB61" s="438">
        <v>0</v>
      </c>
      <c r="CC61" s="438">
        <v>0</v>
      </c>
      <c r="CD61" s="438">
        <v>0</v>
      </c>
      <c r="CE61" s="438">
        <v>-108295</v>
      </c>
      <c r="CF61" s="438">
        <v>0</v>
      </c>
      <c r="CG61" s="438">
        <v>0</v>
      </c>
      <c r="CH61" s="438">
        <v>0</v>
      </c>
      <c r="CI61" s="438">
        <v>0</v>
      </c>
      <c r="CJ61" s="111">
        <f t="shared" si="3"/>
        <v>-108295</v>
      </c>
      <c r="CK61" s="111">
        <f t="shared" si="4"/>
        <v>0</v>
      </c>
      <c r="CL61" s="111">
        <f t="shared" si="2"/>
        <v>-108295</v>
      </c>
    </row>
    <row r="62" spans="1:90" ht="26.4">
      <c r="A62" s="435">
        <v>302</v>
      </c>
      <c r="B62" s="435">
        <v>3501</v>
      </c>
      <c r="C62" s="435" t="s">
        <v>614</v>
      </c>
      <c r="D62" s="435" t="s">
        <v>594</v>
      </c>
      <c r="E62" s="435"/>
      <c r="F62" s="435" t="s">
        <v>588</v>
      </c>
      <c r="G62" s="435">
        <v>0</v>
      </c>
      <c r="H62" s="435">
        <v>1</v>
      </c>
      <c r="I62" s="435" t="s">
        <v>695</v>
      </c>
      <c r="J62" s="435" t="s">
        <v>590</v>
      </c>
      <c r="K62" s="435" t="s">
        <v>591</v>
      </c>
      <c r="L62" s="435" t="s">
        <v>592</v>
      </c>
      <c r="M62" s="435" t="s">
        <v>591</v>
      </c>
      <c r="N62" s="435" t="s">
        <v>593</v>
      </c>
      <c r="O62" s="435" t="s">
        <v>188</v>
      </c>
      <c r="P62" s="435" t="s">
        <v>188</v>
      </c>
      <c r="Q62" s="438">
        <v>-49139</v>
      </c>
      <c r="R62" s="438">
        <v>0</v>
      </c>
      <c r="S62" s="438">
        <v>0</v>
      </c>
      <c r="T62" s="438">
        <v>1158702.3899999999</v>
      </c>
      <c r="U62" s="438">
        <v>0</v>
      </c>
      <c r="V62" s="438">
        <v>51254.48</v>
      </c>
      <c r="W62" s="438">
        <v>0</v>
      </c>
      <c r="X62" s="438">
        <v>59140.04</v>
      </c>
      <c r="Y62" s="438">
        <v>1200</v>
      </c>
      <c r="Z62" s="438">
        <v>5170.26</v>
      </c>
      <c r="AA62" s="438">
        <v>1741</v>
      </c>
      <c r="AB62" s="438">
        <v>28590.39</v>
      </c>
      <c r="AC62" s="438">
        <v>24818.959999999999</v>
      </c>
      <c r="AD62" s="438">
        <v>0</v>
      </c>
      <c r="AE62" s="438">
        <v>4000</v>
      </c>
      <c r="AF62" s="438">
        <v>41071.85</v>
      </c>
      <c r="AG62" s="438">
        <v>9234.9500000000007</v>
      </c>
      <c r="AH62" s="438">
        <v>0</v>
      </c>
      <c r="AI62" s="438">
        <v>0</v>
      </c>
      <c r="AJ62" s="438">
        <v>0</v>
      </c>
      <c r="AK62" s="438">
        <v>0</v>
      </c>
      <c r="AL62" s="438">
        <v>7770</v>
      </c>
      <c r="AM62" s="438">
        <v>10930</v>
      </c>
      <c r="AN62" s="438">
        <v>47127</v>
      </c>
      <c r="AO62" s="438">
        <v>650149.12</v>
      </c>
      <c r="AP62" s="438">
        <v>0</v>
      </c>
      <c r="AQ62" s="438">
        <v>203015.49</v>
      </c>
      <c r="AR62" s="438">
        <v>70871.42</v>
      </c>
      <c r="AS62" s="438">
        <v>75148.97</v>
      </c>
      <c r="AT62" s="438">
        <v>0</v>
      </c>
      <c r="AU62" s="438">
        <v>39454.14</v>
      </c>
      <c r="AV62" s="438">
        <v>738.44</v>
      </c>
      <c r="AW62" s="438">
        <v>7086.24</v>
      </c>
      <c r="AX62" s="438">
        <v>341.96</v>
      </c>
      <c r="AY62" s="438">
        <v>0</v>
      </c>
      <c r="AZ62" s="438">
        <v>16728.849999999999</v>
      </c>
      <c r="BA62" s="438">
        <v>2323.2399999999998</v>
      </c>
      <c r="BB62" s="438">
        <v>2640.34</v>
      </c>
      <c r="BC62" s="438">
        <v>13330.34</v>
      </c>
      <c r="BD62" s="438">
        <v>29706.26</v>
      </c>
      <c r="BE62" s="438">
        <v>3713.2</v>
      </c>
      <c r="BF62" s="438">
        <v>8881.0300000000007</v>
      </c>
      <c r="BG62" s="438">
        <v>65727.86</v>
      </c>
      <c r="BH62" s="438">
        <v>14500.32</v>
      </c>
      <c r="BI62" s="438">
        <v>0</v>
      </c>
      <c r="BJ62" s="438">
        <v>21638.97</v>
      </c>
      <c r="BK62" s="438">
        <v>11278.09</v>
      </c>
      <c r="BL62" s="438">
        <v>3465.1</v>
      </c>
      <c r="BM62" s="438">
        <v>63111.46</v>
      </c>
      <c r="BN62" s="438">
        <v>90376.81</v>
      </c>
      <c r="BO62" s="438">
        <v>102093</v>
      </c>
      <c r="BP62" s="438">
        <v>20136.669999999998</v>
      </c>
      <c r="BQ62" s="438">
        <v>11693</v>
      </c>
      <c r="BR62" s="438">
        <v>0</v>
      </c>
      <c r="BS62" s="438">
        <v>0</v>
      </c>
      <c r="BT62" s="438">
        <v>0</v>
      </c>
      <c r="BU62" s="438">
        <v>0</v>
      </c>
      <c r="BV62" s="438">
        <v>0</v>
      </c>
      <c r="BW62" s="438">
        <v>0</v>
      </c>
      <c r="BX62" s="438">
        <v>0</v>
      </c>
      <c r="BY62" s="438">
        <v>6000</v>
      </c>
      <c r="BZ62" s="438">
        <v>0</v>
      </c>
      <c r="CA62" s="438">
        <v>0</v>
      </c>
      <c r="CB62" s="438">
        <v>0</v>
      </c>
      <c r="CC62" s="438">
        <v>0</v>
      </c>
      <c r="CD62" s="438">
        <v>0</v>
      </c>
      <c r="CE62" s="438">
        <v>-126538</v>
      </c>
      <c r="CF62" s="438">
        <v>0</v>
      </c>
      <c r="CG62" s="438">
        <v>0</v>
      </c>
      <c r="CH62" s="438">
        <v>0</v>
      </c>
      <c r="CI62" s="438">
        <v>0</v>
      </c>
      <c r="CJ62" s="111">
        <f t="shared" si="3"/>
        <v>-126538</v>
      </c>
      <c r="CK62" s="111">
        <f t="shared" si="4"/>
        <v>0</v>
      </c>
      <c r="CL62" s="111">
        <f t="shared" si="2"/>
        <v>-126538</v>
      </c>
    </row>
    <row r="63" spans="1:90" ht="26.4">
      <c r="A63" s="435">
        <v>302</v>
      </c>
      <c r="B63" s="435">
        <v>3502</v>
      </c>
      <c r="C63" s="435" t="s">
        <v>615</v>
      </c>
      <c r="D63" s="435" t="s">
        <v>594</v>
      </c>
      <c r="E63" s="435"/>
      <c r="F63" s="435" t="s">
        <v>588</v>
      </c>
      <c r="G63" s="435">
        <v>0</v>
      </c>
      <c r="H63" s="435">
        <v>0</v>
      </c>
      <c r="I63" s="435" t="s">
        <v>695</v>
      </c>
      <c r="J63" s="435" t="s">
        <v>590</v>
      </c>
      <c r="K63" s="435" t="s">
        <v>591</v>
      </c>
      <c r="L63" s="435" t="s">
        <v>592</v>
      </c>
      <c r="M63" s="435" t="s">
        <v>591</v>
      </c>
      <c r="N63" s="435" t="s">
        <v>593</v>
      </c>
      <c r="O63" s="435" t="s">
        <v>188</v>
      </c>
      <c r="P63" s="435" t="s">
        <v>188</v>
      </c>
      <c r="Q63" s="438">
        <v>620358</v>
      </c>
      <c r="R63" s="438">
        <v>0</v>
      </c>
      <c r="S63" s="438">
        <v>0</v>
      </c>
      <c r="T63" s="438">
        <v>2212809.48</v>
      </c>
      <c r="U63" s="438">
        <v>0</v>
      </c>
      <c r="V63" s="438">
        <v>146618.78</v>
      </c>
      <c r="W63" s="438">
        <v>0</v>
      </c>
      <c r="X63" s="438">
        <v>155425.03</v>
      </c>
      <c r="Y63" s="438">
        <v>0</v>
      </c>
      <c r="Z63" s="438">
        <v>24922</v>
      </c>
      <c r="AA63" s="438">
        <v>512</v>
      </c>
      <c r="AB63" s="438">
        <v>40102.019999999997</v>
      </c>
      <c r="AC63" s="438">
        <v>27618.78</v>
      </c>
      <c r="AD63" s="438">
        <v>0</v>
      </c>
      <c r="AE63" s="438">
        <v>0</v>
      </c>
      <c r="AF63" s="438">
        <v>23377.1</v>
      </c>
      <c r="AG63" s="438">
        <v>12753.88</v>
      </c>
      <c r="AH63" s="438">
        <v>0</v>
      </c>
      <c r="AI63" s="438">
        <v>0</v>
      </c>
      <c r="AJ63" s="438">
        <v>0</v>
      </c>
      <c r="AK63" s="438">
        <v>0</v>
      </c>
      <c r="AL63" s="438">
        <v>0</v>
      </c>
      <c r="AM63" s="438">
        <v>0</v>
      </c>
      <c r="AN63" s="438">
        <v>78452.88</v>
      </c>
      <c r="AO63" s="438">
        <v>1122772.25</v>
      </c>
      <c r="AP63" s="438">
        <v>0</v>
      </c>
      <c r="AQ63" s="438">
        <v>589167.18999999994</v>
      </c>
      <c r="AR63" s="438">
        <v>84692.12</v>
      </c>
      <c r="AS63" s="438">
        <v>62080.52</v>
      </c>
      <c r="AT63" s="438">
        <v>0</v>
      </c>
      <c r="AU63" s="438">
        <v>23518.27</v>
      </c>
      <c r="AV63" s="438">
        <v>2574.59</v>
      </c>
      <c r="AW63" s="438">
        <v>2660.03</v>
      </c>
      <c r="AX63" s="438">
        <v>639</v>
      </c>
      <c r="AY63" s="438">
        <v>0</v>
      </c>
      <c r="AZ63" s="438">
        <v>24328.39</v>
      </c>
      <c r="BA63" s="438">
        <v>0</v>
      </c>
      <c r="BB63" s="438">
        <v>3815.79</v>
      </c>
      <c r="BC63" s="438">
        <v>6304.01</v>
      </c>
      <c r="BD63" s="438">
        <v>26396.26</v>
      </c>
      <c r="BE63" s="438">
        <v>6092.8</v>
      </c>
      <c r="BF63" s="438">
        <v>8459.02</v>
      </c>
      <c r="BG63" s="438">
        <v>96111.26</v>
      </c>
      <c r="BH63" s="438">
        <v>12529.05</v>
      </c>
      <c r="BI63" s="438">
        <v>0</v>
      </c>
      <c r="BJ63" s="438">
        <v>41584.69</v>
      </c>
      <c r="BK63" s="438">
        <v>16831.59</v>
      </c>
      <c r="BL63" s="438">
        <v>4745.0200000000004</v>
      </c>
      <c r="BM63" s="438">
        <v>99797.32</v>
      </c>
      <c r="BN63" s="438">
        <v>28880.63</v>
      </c>
      <c r="BO63" s="438">
        <v>153985.22</v>
      </c>
      <c r="BP63" s="438">
        <v>47383.93</v>
      </c>
      <c r="BQ63" s="438">
        <v>0</v>
      </c>
      <c r="BR63" s="438">
        <v>0</v>
      </c>
      <c r="BS63" s="438">
        <v>0</v>
      </c>
      <c r="BT63" s="438">
        <v>0</v>
      </c>
      <c r="BU63" s="438">
        <v>0</v>
      </c>
      <c r="BV63" s="438">
        <v>0</v>
      </c>
      <c r="BW63" s="438">
        <v>0</v>
      </c>
      <c r="BX63" s="438">
        <v>0</v>
      </c>
      <c r="BY63" s="438">
        <v>6000</v>
      </c>
      <c r="BZ63" s="438">
        <v>0</v>
      </c>
      <c r="CA63" s="438">
        <v>0</v>
      </c>
      <c r="CB63" s="438">
        <v>0</v>
      </c>
      <c r="CC63" s="438">
        <v>0</v>
      </c>
      <c r="CD63" s="438">
        <v>148800</v>
      </c>
      <c r="CE63" s="438">
        <v>728801</v>
      </c>
      <c r="CF63" s="438">
        <v>0</v>
      </c>
      <c r="CG63" s="438">
        <v>0</v>
      </c>
      <c r="CH63" s="438">
        <v>0</v>
      </c>
      <c r="CI63" s="438">
        <v>0</v>
      </c>
      <c r="CJ63" s="111">
        <f t="shared" si="3"/>
        <v>877601</v>
      </c>
      <c r="CK63" s="111">
        <f t="shared" si="4"/>
        <v>0</v>
      </c>
      <c r="CL63" s="111">
        <f t="shared" si="2"/>
        <v>877601</v>
      </c>
    </row>
    <row r="64" spans="1:90" ht="26.4">
      <c r="A64" s="435">
        <v>302</v>
      </c>
      <c r="B64" s="435">
        <v>3504</v>
      </c>
      <c r="C64" s="435" t="s">
        <v>287</v>
      </c>
      <c r="D64" s="435" t="s">
        <v>594</v>
      </c>
      <c r="E64" s="435"/>
      <c r="F64" s="435" t="s">
        <v>588</v>
      </c>
      <c r="G64" s="435">
        <v>0</v>
      </c>
      <c r="H64" s="435">
        <v>0</v>
      </c>
      <c r="I64" s="435" t="s">
        <v>695</v>
      </c>
      <c r="J64" s="435" t="s">
        <v>590</v>
      </c>
      <c r="K64" s="435" t="s">
        <v>591</v>
      </c>
      <c r="L64" s="435" t="s">
        <v>592</v>
      </c>
      <c r="M64" s="435" t="s">
        <v>591</v>
      </c>
      <c r="N64" s="435" t="s">
        <v>593</v>
      </c>
      <c r="O64" s="435" t="s">
        <v>188</v>
      </c>
      <c r="P64" s="435" t="s">
        <v>188</v>
      </c>
      <c r="Q64" s="438">
        <v>114810</v>
      </c>
      <c r="R64" s="438">
        <v>0</v>
      </c>
      <c r="S64" s="438">
        <v>0</v>
      </c>
      <c r="T64" s="438">
        <v>2153459.65</v>
      </c>
      <c r="U64" s="438">
        <v>0</v>
      </c>
      <c r="V64" s="438">
        <v>66189.509999999995</v>
      </c>
      <c r="W64" s="438">
        <v>0</v>
      </c>
      <c r="X64" s="438">
        <v>67670</v>
      </c>
      <c r="Y64" s="438">
        <v>4600</v>
      </c>
      <c r="Z64" s="438">
        <v>500</v>
      </c>
      <c r="AA64" s="438">
        <v>1560</v>
      </c>
      <c r="AB64" s="438">
        <v>142080.71</v>
      </c>
      <c r="AC64" s="438">
        <v>58529.43</v>
      </c>
      <c r="AD64" s="438">
        <v>11540</v>
      </c>
      <c r="AE64" s="438">
        <v>0</v>
      </c>
      <c r="AF64" s="438">
        <v>134145.25</v>
      </c>
      <c r="AG64" s="438">
        <v>33136.410000000003</v>
      </c>
      <c r="AH64" s="438">
        <v>0</v>
      </c>
      <c r="AI64" s="438">
        <v>0</v>
      </c>
      <c r="AJ64" s="438">
        <v>0</v>
      </c>
      <c r="AK64" s="438">
        <v>0</v>
      </c>
      <c r="AL64" s="438">
        <v>0</v>
      </c>
      <c r="AM64" s="438">
        <v>9242.6299999999992</v>
      </c>
      <c r="AN64" s="438">
        <v>90477</v>
      </c>
      <c r="AO64" s="438">
        <v>1250152.79</v>
      </c>
      <c r="AP64" s="438">
        <v>1056.55</v>
      </c>
      <c r="AQ64" s="438">
        <v>548041.53</v>
      </c>
      <c r="AR64" s="438">
        <v>59581.18</v>
      </c>
      <c r="AS64" s="438">
        <v>158023.65</v>
      </c>
      <c r="AT64" s="438">
        <v>0</v>
      </c>
      <c r="AU64" s="438">
        <v>68079.649999999994</v>
      </c>
      <c r="AV64" s="438">
        <v>2727.46</v>
      </c>
      <c r="AW64" s="438">
        <v>5683.6</v>
      </c>
      <c r="AX64" s="438">
        <v>13065.1</v>
      </c>
      <c r="AY64" s="438">
        <v>0</v>
      </c>
      <c r="AZ64" s="438">
        <v>39234.339999999997</v>
      </c>
      <c r="BA64" s="438">
        <v>11926.77</v>
      </c>
      <c r="BB64" s="438">
        <v>23969.279999999999</v>
      </c>
      <c r="BC64" s="438">
        <v>6377.16</v>
      </c>
      <c r="BD64" s="438">
        <v>36678.800000000003</v>
      </c>
      <c r="BE64" s="438">
        <v>6707.2</v>
      </c>
      <c r="BF64" s="438">
        <v>13307.21</v>
      </c>
      <c r="BG64" s="438">
        <v>138117.04999999999</v>
      </c>
      <c r="BH64" s="438">
        <v>16069.87</v>
      </c>
      <c r="BI64" s="438">
        <v>0</v>
      </c>
      <c r="BJ64" s="438">
        <v>13107.65</v>
      </c>
      <c r="BK64" s="438">
        <v>19268.47</v>
      </c>
      <c r="BL64" s="438">
        <v>41883.68</v>
      </c>
      <c r="BM64" s="438">
        <v>135122.13</v>
      </c>
      <c r="BN64" s="438">
        <v>10865.52</v>
      </c>
      <c r="BO64" s="438">
        <v>68821.759999999995</v>
      </c>
      <c r="BP64" s="438">
        <v>56795.19</v>
      </c>
      <c r="BQ64" s="438">
        <v>0</v>
      </c>
      <c r="BR64" s="438">
        <v>0</v>
      </c>
      <c r="BS64" s="438">
        <v>20599</v>
      </c>
      <c r="BT64" s="438">
        <v>0</v>
      </c>
      <c r="BU64" s="438">
        <v>0</v>
      </c>
      <c r="BV64" s="438">
        <v>0</v>
      </c>
      <c r="BW64" s="438">
        <v>20599</v>
      </c>
      <c r="BX64" s="438">
        <v>0</v>
      </c>
      <c r="BY64" s="438">
        <v>6000</v>
      </c>
      <c r="BZ64" s="438">
        <v>0</v>
      </c>
      <c r="CA64" s="438">
        <v>0</v>
      </c>
      <c r="CB64" s="438">
        <v>0</v>
      </c>
      <c r="CC64" s="438">
        <v>20599</v>
      </c>
      <c r="CD64" s="438">
        <v>31921</v>
      </c>
      <c r="CE64" s="438">
        <v>90757</v>
      </c>
      <c r="CF64" s="438">
        <v>0</v>
      </c>
      <c r="CG64" s="438">
        <v>0</v>
      </c>
      <c r="CH64" s="438">
        <v>0</v>
      </c>
      <c r="CI64" s="438">
        <v>0</v>
      </c>
      <c r="CJ64" s="111">
        <f t="shared" si="3"/>
        <v>122678</v>
      </c>
      <c r="CK64" s="111">
        <f t="shared" si="4"/>
        <v>0</v>
      </c>
      <c r="CL64" s="111">
        <f t="shared" si="2"/>
        <v>122678</v>
      </c>
    </row>
    <row r="65" spans="1:90" ht="26.4">
      <c r="A65" s="435">
        <v>302</v>
      </c>
      <c r="B65" s="435">
        <v>3506</v>
      </c>
      <c r="C65" s="435" t="s">
        <v>616</v>
      </c>
      <c r="D65" s="435" t="s">
        <v>594</v>
      </c>
      <c r="E65" s="435"/>
      <c r="F65" s="435" t="s">
        <v>588</v>
      </c>
      <c r="G65" s="435">
        <v>0</v>
      </c>
      <c r="H65" s="435">
        <v>0</v>
      </c>
      <c r="I65" s="435" t="s">
        <v>695</v>
      </c>
      <c r="J65" s="435" t="s">
        <v>590</v>
      </c>
      <c r="K65" s="435" t="s">
        <v>591</v>
      </c>
      <c r="L65" s="435" t="s">
        <v>592</v>
      </c>
      <c r="M65" s="435" t="s">
        <v>591</v>
      </c>
      <c r="N65" s="435" t="s">
        <v>593</v>
      </c>
      <c r="O65" s="435" t="s">
        <v>188</v>
      </c>
      <c r="P65" s="435" t="s">
        <v>188</v>
      </c>
      <c r="Q65" s="438">
        <v>131600</v>
      </c>
      <c r="R65" s="438">
        <v>0</v>
      </c>
      <c r="S65" s="438">
        <v>0</v>
      </c>
      <c r="T65" s="438">
        <v>1361475.95</v>
      </c>
      <c r="U65" s="438">
        <v>0</v>
      </c>
      <c r="V65" s="438">
        <v>148643.79</v>
      </c>
      <c r="W65" s="438">
        <v>0</v>
      </c>
      <c r="X65" s="438">
        <v>25954.99</v>
      </c>
      <c r="Y65" s="438">
        <v>0</v>
      </c>
      <c r="Z65" s="438">
        <v>20119.09</v>
      </c>
      <c r="AA65" s="438">
        <v>25957.119999999999</v>
      </c>
      <c r="AB65" s="438">
        <v>13263.92</v>
      </c>
      <c r="AC65" s="438">
        <v>27824.93</v>
      </c>
      <c r="AD65" s="438">
        <v>0</v>
      </c>
      <c r="AE65" s="438">
        <v>0</v>
      </c>
      <c r="AF65" s="438">
        <v>15246.55</v>
      </c>
      <c r="AG65" s="438">
        <v>58840.5</v>
      </c>
      <c r="AH65" s="438">
        <v>0</v>
      </c>
      <c r="AI65" s="438">
        <v>0</v>
      </c>
      <c r="AJ65" s="438">
        <v>0</v>
      </c>
      <c r="AK65" s="438">
        <v>0</v>
      </c>
      <c r="AL65" s="438">
        <v>0</v>
      </c>
      <c r="AM65" s="438">
        <v>6613.88</v>
      </c>
      <c r="AN65" s="438">
        <v>63673</v>
      </c>
      <c r="AO65" s="438">
        <v>842110.63</v>
      </c>
      <c r="AP65" s="438">
        <v>0</v>
      </c>
      <c r="AQ65" s="438">
        <v>443507.38</v>
      </c>
      <c r="AR65" s="438">
        <v>79033.100000000006</v>
      </c>
      <c r="AS65" s="438">
        <v>80675.95</v>
      </c>
      <c r="AT65" s="438">
        <v>0</v>
      </c>
      <c r="AU65" s="438">
        <v>0</v>
      </c>
      <c r="AV65" s="438">
        <v>2309.9699999999998</v>
      </c>
      <c r="AW65" s="438">
        <v>5229.13</v>
      </c>
      <c r="AX65" s="438">
        <v>474.76</v>
      </c>
      <c r="AY65" s="438">
        <v>0</v>
      </c>
      <c r="AZ65" s="438">
        <v>56137.81</v>
      </c>
      <c r="BA65" s="438">
        <v>6378.72</v>
      </c>
      <c r="BB65" s="438">
        <v>1716.26</v>
      </c>
      <c r="BC65" s="438">
        <v>2704.88</v>
      </c>
      <c r="BD65" s="438">
        <v>31504.01</v>
      </c>
      <c r="BE65" s="438">
        <v>3481.6</v>
      </c>
      <c r="BF65" s="438">
        <v>10186.950000000001</v>
      </c>
      <c r="BG65" s="438">
        <v>37054.75</v>
      </c>
      <c r="BH65" s="438">
        <v>10945.36</v>
      </c>
      <c r="BI65" s="438">
        <v>0</v>
      </c>
      <c r="BJ65" s="438">
        <v>10638.02</v>
      </c>
      <c r="BK65" s="438">
        <v>8548.5400000000009</v>
      </c>
      <c r="BL65" s="438">
        <v>19901.439999999999</v>
      </c>
      <c r="BM65" s="438">
        <v>70345.83</v>
      </c>
      <c r="BN65" s="438">
        <v>12019</v>
      </c>
      <c r="BO65" s="438">
        <v>60753.77</v>
      </c>
      <c r="BP65" s="438">
        <v>46027.86</v>
      </c>
      <c r="BQ65" s="438">
        <v>0</v>
      </c>
      <c r="BR65" s="438">
        <v>0</v>
      </c>
      <c r="BS65" s="438">
        <v>0</v>
      </c>
      <c r="BT65" s="438">
        <v>0</v>
      </c>
      <c r="BU65" s="438">
        <v>0</v>
      </c>
      <c r="BV65" s="438">
        <v>0</v>
      </c>
      <c r="BW65" s="438">
        <v>0</v>
      </c>
      <c r="BX65" s="438">
        <v>0</v>
      </c>
      <c r="BY65" s="438">
        <v>6000</v>
      </c>
      <c r="BZ65" s="438">
        <v>0</v>
      </c>
      <c r="CA65" s="438">
        <v>0</v>
      </c>
      <c r="CB65" s="438">
        <v>0</v>
      </c>
      <c r="CC65" s="438">
        <v>0</v>
      </c>
      <c r="CD65" s="438">
        <v>0</v>
      </c>
      <c r="CE65" s="438">
        <v>57528</v>
      </c>
      <c r="CF65" s="438">
        <v>0</v>
      </c>
      <c r="CG65" s="438">
        <v>0</v>
      </c>
      <c r="CH65" s="438">
        <v>0</v>
      </c>
      <c r="CI65" s="438">
        <v>0</v>
      </c>
      <c r="CJ65" s="111">
        <f t="shared" si="3"/>
        <v>57528</v>
      </c>
      <c r="CK65" s="111">
        <f t="shared" si="4"/>
        <v>0</v>
      </c>
      <c r="CL65" s="111">
        <f t="shared" si="2"/>
        <v>57528</v>
      </c>
    </row>
    <row r="66" spans="1:90" ht="26.4">
      <c r="A66" s="435">
        <v>302</v>
      </c>
      <c r="B66" s="435">
        <v>3507</v>
      </c>
      <c r="C66" s="435" t="s">
        <v>617</v>
      </c>
      <c r="D66" s="435" t="s">
        <v>594</v>
      </c>
      <c r="E66" s="435"/>
      <c r="F66" s="435" t="s">
        <v>588</v>
      </c>
      <c r="G66" s="435">
        <v>0</v>
      </c>
      <c r="H66" s="435">
        <v>1</v>
      </c>
      <c r="I66" s="435" t="s">
        <v>695</v>
      </c>
      <c r="J66" s="435" t="s">
        <v>590</v>
      </c>
      <c r="K66" s="435" t="s">
        <v>591</v>
      </c>
      <c r="L66" s="435" t="s">
        <v>592</v>
      </c>
      <c r="M66" s="435" t="s">
        <v>591</v>
      </c>
      <c r="N66" s="435" t="s">
        <v>593</v>
      </c>
      <c r="O66" s="435" t="s">
        <v>188</v>
      </c>
      <c r="P66" s="435" t="s">
        <v>188</v>
      </c>
      <c r="Q66" s="438">
        <v>-136906</v>
      </c>
      <c r="R66" s="438">
        <v>0</v>
      </c>
      <c r="S66" s="438">
        <v>0</v>
      </c>
      <c r="T66" s="438">
        <v>905118</v>
      </c>
      <c r="U66" s="438">
        <v>0</v>
      </c>
      <c r="V66" s="438">
        <v>94008</v>
      </c>
      <c r="W66" s="438">
        <v>0</v>
      </c>
      <c r="X66" s="438">
        <v>42055</v>
      </c>
      <c r="Y66" s="438">
        <v>0</v>
      </c>
      <c r="Z66" s="438">
        <v>4220</v>
      </c>
      <c r="AA66" s="438">
        <v>720</v>
      </c>
      <c r="AB66" s="438">
        <v>6166</v>
      </c>
      <c r="AC66" s="438">
        <v>12484</v>
      </c>
      <c r="AD66" s="438">
        <v>0</v>
      </c>
      <c r="AE66" s="438">
        <v>0</v>
      </c>
      <c r="AF66" s="438">
        <v>19284</v>
      </c>
      <c r="AG66" s="438">
        <v>1384</v>
      </c>
      <c r="AH66" s="438">
        <v>0</v>
      </c>
      <c r="AI66" s="438">
        <v>0</v>
      </c>
      <c r="AJ66" s="438">
        <v>0</v>
      </c>
      <c r="AK66" s="438">
        <v>0</v>
      </c>
      <c r="AL66" s="438">
        <v>0</v>
      </c>
      <c r="AM66" s="438">
        <v>0</v>
      </c>
      <c r="AN66" s="438">
        <v>44248</v>
      </c>
      <c r="AO66" s="438">
        <v>550610</v>
      </c>
      <c r="AP66" s="438">
        <v>0</v>
      </c>
      <c r="AQ66" s="438">
        <v>163251</v>
      </c>
      <c r="AR66" s="438">
        <v>36134</v>
      </c>
      <c r="AS66" s="438">
        <v>43832</v>
      </c>
      <c r="AT66" s="438">
        <v>0</v>
      </c>
      <c r="AU66" s="438">
        <v>20213</v>
      </c>
      <c r="AV66" s="438">
        <v>615</v>
      </c>
      <c r="AW66" s="438">
        <v>5663</v>
      </c>
      <c r="AX66" s="438">
        <v>284</v>
      </c>
      <c r="AY66" s="438">
        <v>0</v>
      </c>
      <c r="AZ66" s="438">
        <v>7308</v>
      </c>
      <c r="BA66" s="438">
        <v>14</v>
      </c>
      <c r="BB66" s="438">
        <v>19973</v>
      </c>
      <c r="BC66" s="438">
        <v>4682</v>
      </c>
      <c r="BD66" s="438">
        <v>21201</v>
      </c>
      <c r="BE66" s="438">
        <v>3789</v>
      </c>
      <c r="BF66" s="438">
        <v>6900</v>
      </c>
      <c r="BG66" s="438">
        <v>36602</v>
      </c>
      <c r="BH66" s="438">
        <v>21953</v>
      </c>
      <c r="BI66" s="438">
        <v>0</v>
      </c>
      <c r="BJ66" s="438">
        <v>4800</v>
      </c>
      <c r="BK66" s="438">
        <v>8753</v>
      </c>
      <c r="BL66" s="438">
        <v>3673</v>
      </c>
      <c r="BM66" s="438">
        <v>38607</v>
      </c>
      <c r="BN66" s="438">
        <v>60279</v>
      </c>
      <c r="BO66" s="438">
        <v>133894</v>
      </c>
      <c r="BP66" s="438">
        <v>22611</v>
      </c>
      <c r="BQ66" s="438">
        <v>0</v>
      </c>
      <c r="BR66" s="438">
        <v>0</v>
      </c>
      <c r="BS66" s="438">
        <v>0</v>
      </c>
      <c r="BT66" s="438">
        <v>0</v>
      </c>
      <c r="BU66" s="438">
        <v>0</v>
      </c>
      <c r="BV66" s="438">
        <v>0</v>
      </c>
      <c r="BW66" s="438">
        <v>0</v>
      </c>
      <c r="BX66" s="438">
        <v>0</v>
      </c>
      <c r="BY66" s="438">
        <v>6000</v>
      </c>
      <c r="BZ66" s="438">
        <v>0</v>
      </c>
      <c r="CA66" s="438">
        <v>0</v>
      </c>
      <c r="CB66" s="438">
        <v>0</v>
      </c>
      <c r="CC66" s="438">
        <v>0</v>
      </c>
      <c r="CD66" s="438">
        <v>0</v>
      </c>
      <c r="CE66" s="438">
        <v>-222860</v>
      </c>
      <c r="CF66" s="438">
        <v>0</v>
      </c>
      <c r="CG66" s="438">
        <v>0</v>
      </c>
      <c r="CH66" s="438">
        <v>0</v>
      </c>
      <c r="CI66" s="438">
        <v>0</v>
      </c>
      <c r="CJ66" s="111">
        <f t="shared" si="3"/>
        <v>-222860</v>
      </c>
      <c r="CK66" s="111">
        <f t="shared" si="4"/>
        <v>0</v>
      </c>
      <c r="CL66" s="111">
        <f t="shared" si="2"/>
        <v>-222860</v>
      </c>
    </row>
    <row r="67" spans="1:90" ht="26.4">
      <c r="A67" s="435">
        <v>302</v>
      </c>
      <c r="B67" s="435">
        <v>3509</v>
      </c>
      <c r="C67" s="435" t="s">
        <v>618</v>
      </c>
      <c r="D67" s="435" t="s">
        <v>594</v>
      </c>
      <c r="E67" s="435"/>
      <c r="F67" s="435" t="s">
        <v>588</v>
      </c>
      <c r="G67" s="435">
        <v>0</v>
      </c>
      <c r="H67" s="435">
        <v>2</v>
      </c>
      <c r="I67" s="435" t="s">
        <v>695</v>
      </c>
      <c r="J67" s="435" t="s">
        <v>590</v>
      </c>
      <c r="K67" s="435" t="s">
        <v>591</v>
      </c>
      <c r="L67" s="435" t="s">
        <v>592</v>
      </c>
      <c r="M67" s="435" t="s">
        <v>591</v>
      </c>
      <c r="N67" s="435" t="s">
        <v>593</v>
      </c>
      <c r="O67" s="435" t="s">
        <v>188</v>
      </c>
      <c r="P67" s="435" t="s">
        <v>188</v>
      </c>
      <c r="Q67" s="438">
        <v>-363924</v>
      </c>
      <c r="R67" s="438">
        <v>0</v>
      </c>
      <c r="S67" s="438">
        <v>0</v>
      </c>
      <c r="T67" s="438">
        <v>2309306.2999999998</v>
      </c>
      <c r="U67" s="438">
        <v>0</v>
      </c>
      <c r="V67" s="438">
        <v>149136.48000000001</v>
      </c>
      <c r="W67" s="438">
        <v>0</v>
      </c>
      <c r="X67" s="438">
        <v>144759.98000000001</v>
      </c>
      <c r="Y67" s="438">
        <v>0</v>
      </c>
      <c r="Z67" s="438">
        <v>31322.639999999999</v>
      </c>
      <c r="AA67" s="438">
        <v>0</v>
      </c>
      <c r="AB67" s="438">
        <v>31635.49</v>
      </c>
      <c r="AC67" s="438">
        <v>54229.55</v>
      </c>
      <c r="AD67" s="438">
        <v>4500</v>
      </c>
      <c r="AE67" s="438">
        <v>0</v>
      </c>
      <c r="AF67" s="438">
        <v>34145.760000000002</v>
      </c>
      <c r="AG67" s="438">
        <v>9404.5499999999993</v>
      </c>
      <c r="AH67" s="438">
        <v>0</v>
      </c>
      <c r="AI67" s="438">
        <v>0</v>
      </c>
      <c r="AJ67" s="438">
        <v>0</v>
      </c>
      <c r="AK67" s="438">
        <v>0</v>
      </c>
      <c r="AL67" s="438">
        <v>0</v>
      </c>
      <c r="AM67" s="438">
        <v>0</v>
      </c>
      <c r="AN67" s="438">
        <v>95537</v>
      </c>
      <c r="AO67" s="438">
        <v>1372465.92</v>
      </c>
      <c r="AP67" s="438">
        <v>0</v>
      </c>
      <c r="AQ67" s="438">
        <v>516302.05</v>
      </c>
      <c r="AR67" s="438">
        <v>138896.54</v>
      </c>
      <c r="AS67" s="438">
        <v>115765.09</v>
      </c>
      <c r="AT67" s="438">
        <v>0</v>
      </c>
      <c r="AU67" s="438">
        <v>96876.69</v>
      </c>
      <c r="AV67" s="438">
        <v>57344.34</v>
      </c>
      <c r="AW67" s="438">
        <v>1045.83</v>
      </c>
      <c r="AX67" s="438">
        <v>14869.79</v>
      </c>
      <c r="AY67" s="438">
        <v>0</v>
      </c>
      <c r="AZ67" s="438">
        <v>29181.07</v>
      </c>
      <c r="BA67" s="438">
        <v>0</v>
      </c>
      <c r="BB67" s="438">
        <v>2941.48</v>
      </c>
      <c r="BC67" s="438">
        <v>6999.86</v>
      </c>
      <c r="BD67" s="438">
        <v>73366.179999999993</v>
      </c>
      <c r="BE67" s="438">
        <v>-13121.6</v>
      </c>
      <c r="BF67" s="438">
        <v>18525.66</v>
      </c>
      <c r="BG67" s="438">
        <v>113633.22</v>
      </c>
      <c r="BH67" s="438">
        <v>11414.18</v>
      </c>
      <c r="BI67" s="438">
        <v>0</v>
      </c>
      <c r="BJ67" s="438">
        <v>18351.650000000001</v>
      </c>
      <c r="BK67" s="438">
        <v>20949.11</v>
      </c>
      <c r="BL67" s="438">
        <v>13672.27</v>
      </c>
      <c r="BM67" s="438">
        <v>126455.52</v>
      </c>
      <c r="BN67" s="438">
        <v>152723.92000000001</v>
      </c>
      <c r="BO67" s="438">
        <v>241122.69</v>
      </c>
      <c r="BP67" s="438">
        <v>35106.29</v>
      </c>
      <c r="BQ67" s="438">
        <v>0</v>
      </c>
      <c r="BR67" s="438">
        <v>0</v>
      </c>
      <c r="BS67" s="438">
        <v>0</v>
      </c>
      <c r="BT67" s="438">
        <v>0</v>
      </c>
      <c r="BU67" s="438">
        <v>0</v>
      </c>
      <c r="BV67" s="438">
        <v>0</v>
      </c>
      <c r="BW67" s="438">
        <v>0</v>
      </c>
      <c r="BX67" s="438">
        <v>0</v>
      </c>
      <c r="BY67" s="438">
        <v>6000</v>
      </c>
      <c r="BZ67" s="438">
        <v>0</v>
      </c>
      <c r="CA67" s="438">
        <v>0</v>
      </c>
      <c r="CB67" s="438">
        <v>0</v>
      </c>
      <c r="CC67" s="438">
        <v>0</v>
      </c>
      <c r="CD67" s="438">
        <v>0</v>
      </c>
      <c r="CE67" s="438">
        <v>-664834</v>
      </c>
      <c r="CF67" s="438">
        <v>0</v>
      </c>
      <c r="CG67" s="438">
        <v>0</v>
      </c>
      <c r="CH67" s="438">
        <v>0</v>
      </c>
      <c r="CI67" s="438">
        <v>0</v>
      </c>
      <c r="CJ67" s="111">
        <f t="shared" si="3"/>
        <v>-664834</v>
      </c>
      <c r="CK67" s="111">
        <f t="shared" si="4"/>
        <v>0</v>
      </c>
      <c r="CL67" s="111">
        <f t="shared" si="2"/>
        <v>-664834</v>
      </c>
    </row>
    <row r="68" spans="1:90" ht="26.4">
      <c r="A68" s="435">
        <v>302</v>
      </c>
      <c r="B68" s="435">
        <v>3510</v>
      </c>
      <c r="C68" s="435" t="s">
        <v>90</v>
      </c>
      <c r="D68" s="435" t="s">
        <v>594</v>
      </c>
      <c r="E68" s="435"/>
      <c r="F68" s="435" t="s">
        <v>588</v>
      </c>
      <c r="G68" s="435">
        <v>0</v>
      </c>
      <c r="H68" s="435">
        <v>0</v>
      </c>
      <c r="I68" s="435" t="s">
        <v>695</v>
      </c>
      <c r="J68" s="435" t="s">
        <v>590</v>
      </c>
      <c r="K68" s="435" t="s">
        <v>591</v>
      </c>
      <c r="L68" s="435" t="s">
        <v>592</v>
      </c>
      <c r="M68" s="435" t="s">
        <v>591</v>
      </c>
      <c r="N68" s="435" t="s">
        <v>593</v>
      </c>
      <c r="O68" s="435" t="s">
        <v>188</v>
      </c>
      <c r="P68" s="435" t="s">
        <v>188</v>
      </c>
      <c r="Q68" s="438">
        <v>247669</v>
      </c>
      <c r="R68" s="438">
        <v>0</v>
      </c>
      <c r="S68" s="438">
        <v>0</v>
      </c>
      <c r="T68" s="438">
        <v>1755370.73</v>
      </c>
      <c r="U68" s="438">
        <v>0</v>
      </c>
      <c r="V68" s="438">
        <v>70689.2</v>
      </c>
      <c r="W68" s="438">
        <v>0</v>
      </c>
      <c r="X68" s="438">
        <v>71378.03</v>
      </c>
      <c r="Y68" s="438">
        <v>3900</v>
      </c>
      <c r="Z68" s="438">
        <v>19964.580000000002</v>
      </c>
      <c r="AA68" s="438">
        <v>8570</v>
      </c>
      <c r="AB68" s="438">
        <v>16763</v>
      </c>
      <c r="AC68" s="438">
        <v>33898.800000000003</v>
      </c>
      <c r="AD68" s="438">
        <v>0</v>
      </c>
      <c r="AE68" s="438">
        <v>0</v>
      </c>
      <c r="AF68" s="438">
        <v>54426.9</v>
      </c>
      <c r="AG68" s="438">
        <v>28754.98</v>
      </c>
      <c r="AH68" s="438">
        <v>0</v>
      </c>
      <c r="AI68" s="438">
        <v>0</v>
      </c>
      <c r="AJ68" s="438">
        <v>0</v>
      </c>
      <c r="AK68" s="438">
        <v>0</v>
      </c>
      <c r="AL68" s="438">
        <v>0</v>
      </c>
      <c r="AM68" s="438">
        <v>0</v>
      </c>
      <c r="AN68" s="438">
        <v>83578.880000000005</v>
      </c>
      <c r="AO68" s="438">
        <v>1015148.7</v>
      </c>
      <c r="AP68" s="438">
        <v>4809.6400000000003</v>
      </c>
      <c r="AQ68" s="438">
        <v>300060.75</v>
      </c>
      <c r="AR68" s="438">
        <v>36780.589999999997</v>
      </c>
      <c r="AS68" s="438">
        <v>104984.27</v>
      </c>
      <c r="AT68" s="438">
        <v>0</v>
      </c>
      <c r="AU68" s="438">
        <v>18591.8</v>
      </c>
      <c r="AV68" s="438">
        <v>5014.58</v>
      </c>
      <c r="AW68" s="438">
        <v>3705.2</v>
      </c>
      <c r="AX68" s="438">
        <v>645.74</v>
      </c>
      <c r="AY68" s="438">
        <v>0</v>
      </c>
      <c r="AZ68" s="438">
        <v>13512.77</v>
      </c>
      <c r="BA68" s="438">
        <v>2391.56</v>
      </c>
      <c r="BB68" s="438">
        <v>31213.1</v>
      </c>
      <c r="BC68" s="438">
        <v>8024.85</v>
      </c>
      <c r="BD68" s="438">
        <v>65416.32</v>
      </c>
      <c r="BE68" s="438">
        <v>6975.4</v>
      </c>
      <c r="BF68" s="438">
        <v>9091.2000000000007</v>
      </c>
      <c r="BG68" s="438">
        <v>122488.92</v>
      </c>
      <c r="BH68" s="438">
        <v>8394.58</v>
      </c>
      <c r="BI68" s="438">
        <v>0</v>
      </c>
      <c r="BJ68" s="438">
        <v>30171.03</v>
      </c>
      <c r="BK68" s="438">
        <v>18603.53</v>
      </c>
      <c r="BL68" s="438">
        <v>4591.7700000000004</v>
      </c>
      <c r="BM68" s="438">
        <v>111778.57</v>
      </c>
      <c r="BN68" s="438">
        <v>31217.43</v>
      </c>
      <c r="BO68" s="438">
        <v>159368.72</v>
      </c>
      <c r="BP68" s="438">
        <v>36577.08</v>
      </c>
      <c r="BQ68" s="438">
        <v>0</v>
      </c>
      <c r="BR68" s="438">
        <v>0</v>
      </c>
      <c r="BS68" s="438">
        <v>0</v>
      </c>
      <c r="BT68" s="438">
        <v>0</v>
      </c>
      <c r="BU68" s="438">
        <v>0</v>
      </c>
      <c r="BV68" s="438">
        <v>0</v>
      </c>
      <c r="BW68" s="438">
        <v>0</v>
      </c>
      <c r="BX68" s="438">
        <v>0</v>
      </c>
      <c r="BY68" s="438">
        <v>6000</v>
      </c>
      <c r="BZ68" s="438">
        <v>0</v>
      </c>
      <c r="CA68" s="438">
        <v>0</v>
      </c>
      <c r="CB68" s="438">
        <v>0</v>
      </c>
      <c r="CC68" s="438">
        <v>0</v>
      </c>
      <c r="CD68" s="438">
        <v>15216</v>
      </c>
      <c r="CE68" s="438">
        <v>230190</v>
      </c>
      <c r="CF68" s="438">
        <v>0</v>
      </c>
      <c r="CG68" s="438">
        <v>0</v>
      </c>
      <c r="CH68" s="438">
        <v>0</v>
      </c>
      <c r="CI68" s="438">
        <v>0</v>
      </c>
      <c r="CJ68" s="111">
        <f t="shared" si="3"/>
        <v>245406</v>
      </c>
      <c r="CK68" s="111">
        <f t="shared" si="4"/>
        <v>0</v>
      </c>
      <c r="CL68" s="111">
        <f t="shared" si="2"/>
        <v>245406</v>
      </c>
    </row>
    <row r="69" spans="1:90" ht="26.4">
      <c r="A69" s="435">
        <v>302</v>
      </c>
      <c r="B69" s="435">
        <v>3511</v>
      </c>
      <c r="C69" s="435" t="s">
        <v>619</v>
      </c>
      <c r="D69" s="435" t="s">
        <v>594</v>
      </c>
      <c r="E69" s="435"/>
      <c r="F69" s="435" t="s">
        <v>588</v>
      </c>
      <c r="G69" s="435">
        <v>0</v>
      </c>
      <c r="H69" s="435">
        <v>0</v>
      </c>
      <c r="I69" s="435" t="s">
        <v>695</v>
      </c>
      <c r="J69" s="435" t="s">
        <v>590</v>
      </c>
      <c r="K69" s="435" t="s">
        <v>591</v>
      </c>
      <c r="L69" s="435" t="s">
        <v>592</v>
      </c>
      <c r="M69" s="435" t="s">
        <v>591</v>
      </c>
      <c r="N69" s="435" t="s">
        <v>593</v>
      </c>
      <c r="O69" s="435" t="s">
        <v>188</v>
      </c>
      <c r="P69" s="435" t="s">
        <v>188</v>
      </c>
      <c r="Q69" s="438">
        <v>271124</v>
      </c>
      <c r="R69" s="438">
        <v>0</v>
      </c>
      <c r="S69" s="438">
        <v>0</v>
      </c>
      <c r="T69" s="438">
        <v>2378504.2000000002</v>
      </c>
      <c r="U69" s="438">
        <v>0</v>
      </c>
      <c r="V69" s="438">
        <v>51958.09</v>
      </c>
      <c r="W69" s="438">
        <v>0</v>
      </c>
      <c r="X69" s="438">
        <v>154080.01999999999</v>
      </c>
      <c r="Y69" s="438">
        <v>0</v>
      </c>
      <c r="Z69" s="438">
        <v>51750.32</v>
      </c>
      <c r="AA69" s="438">
        <v>0</v>
      </c>
      <c r="AB69" s="438">
        <v>46111.98</v>
      </c>
      <c r="AC69" s="438">
        <v>37181.58</v>
      </c>
      <c r="AD69" s="438">
        <v>3030</v>
      </c>
      <c r="AE69" s="438">
        <v>0</v>
      </c>
      <c r="AF69" s="438">
        <v>92945.33</v>
      </c>
      <c r="AG69" s="438">
        <v>5206.24</v>
      </c>
      <c r="AH69" s="438">
        <v>0</v>
      </c>
      <c r="AI69" s="438">
        <v>0</v>
      </c>
      <c r="AJ69" s="438">
        <v>0</v>
      </c>
      <c r="AK69" s="438">
        <v>0</v>
      </c>
      <c r="AL69" s="438">
        <v>0</v>
      </c>
      <c r="AM69" s="438">
        <v>32537.13</v>
      </c>
      <c r="AN69" s="438">
        <v>80989</v>
      </c>
      <c r="AO69" s="438">
        <v>1156865.3700000001</v>
      </c>
      <c r="AP69" s="438">
        <v>0</v>
      </c>
      <c r="AQ69" s="438">
        <v>554799.47</v>
      </c>
      <c r="AR69" s="438">
        <v>46422.93</v>
      </c>
      <c r="AS69" s="438">
        <v>153645.13</v>
      </c>
      <c r="AT69" s="438">
        <v>0</v>
      </c>
      <c r="AU69" s="438">
        <v>12746.12</v>
      </c>
      <c r="AV69" s="438">
        <v>3063</v>
      </c>
      <c r="AW69" s="438">
        <v>9782.7099999999991</v>
      </c>
      <c r="AX69" s="438">
        <v>11506.18</v>
      </c>
      <c r="AY69" s="438">
        <v>0</v>
      </c>
      <c r="AZ69" s="438">
        <v>20211.990000000002</v>
      </c>
      <c r="BA69" s="438">
        <v>8802.7800000000007</v>
      </c>
      <c r="BB69" s="438">
        <v>48455.18</v>
      </c>
      <c r="BC69" s="438">
        <v>3914.21</v>
      </c>
      <c r="BD69" s="438">
        <v>42160.62</v>
      </c>
      <c r="BE69" s="438">
        <v>21198</v>
      </c>
      <c r="BF69" s="438">
        <v>11308.9</v>
      </c>
      <c r="BG69" s="438">
        <v>119477.89</v>
      </c>
      <c r="BH69" s="438">
        <v>23913.360000000001</v>
      </c>
      <c r="BI69" s="438">
        <v>0</v>
      </c>
      <c r="BJ69" s="438">
        <v>22909.24</v>
      </c>
      <c r="BK69" s="438">
        <v>24484.66</v>
      </c>
      <c r="BL69" s="438">
        <v>60552.23</v>
      </c>
      <c r="BM69" s="438">
        <v>123933.09</v>
      </c>
      <c r="BN69" s="438">
        <v>124157.04</v>
      </c>
      <c r="BO69" s="438">
        <v>199419.14</v>
      </c>
      <c r="BP69" s="438">
        <v>35234.65</v>
      </c>
      <c r="BQ69" s="438">
        <v>0</v>
      </c>
      <c r="BR69" s="438">
        <v>0</v>
      </c>
      <c r="BS69" s="438">
        <v>0</v>
      </c>
      <c r="BT69" s="438">
        <v>0</v>
      </c>
      <c r="BU69" s="438">
        <v>0</v>
      </c>
      <c r="BV69" s="438">
        <v>0</v>
      </c>
      <c r="BW69" s="438">
        <v>0</v>
      </c>
      <c r="BX69" s="438">
        <v>0</v>
      </c>
      <c r="BY69" s="438">
        <v>6000</v>
      </c>
      <c r="BZ69" s="438">
        <v>0</v>
      </c>
      <c r="CA69" s="438">
        <v>0</v>
      </c>
      <c r="CB69" s="438">
        <v>0</v>
      </c>
      <c r="CC69" s="438">
        <v>0</v>
      </c>
      <c r="CD69" s="438">
        <v>38689</v>
      </c>
      <c r="CE69" s="438">
        <v>327765</v>
      </c>
      <c r="CF69" s="438">
        <v>0</v>
      </c>
      <c r="CG69" s="438">
        <v>0</v>
      </c>
      <c r="CH69" s="438">
        <v>0</v>
      </c>
      <c r="CI69" s="438">
        <v>0</v>
      </c>
      <c r="CJ69" s="111">
        <f t="shared" si="3"/>
        <v>366454</v>
      </c>
      <c r="CK69" s="111">
        <f t="shared" si="4"/>
        <v>0</v>
      </c>
      <c r="CL69" s="111">
        <f t="shared" ref="CL69:CL90" si="5">CD69+CE69</f>
        <v>366454</v>
      </c>
    </row>
    <row r="70" spans="1:90" ht="26.4">
      <c r="A70" s="435">
        <v>302</v>
      </c>
      <c r="B70" s="435">
        <v>3512</v>
      </c>
      <c r="C70" s="435" t="s">
        <v>89</v>
      </c>
      <c r="D70" s="435" t="s">
        <v>594</v>
      </c>
      <c r="E70" s="435"/>
      <c r="F70" s="435" t="s">
        <v>588</v>
      </c>
      <c r="G70" s="435">
        <v>0</v>
      </c>
      <c r="H70" s="435">
        <v>0</v>
      </c>
      <c r="I70" s="435" t="s">
        <v>695</v>
      </c>
      <c r="J70" s="435" t="s">
        <v>590</v>
      </c>
      <c r="K70" s="435" t="s">
        <v>591</v>
      </c>
      <c r="L70" s="435" t="s">
        <v>592</v>
      </c>
      <c r="M70" s="435" t="s">
        <v>591</v>
      </c>
      <c r="N70" s="435" t="s">
        <v>593</v>
      </c>
      <c r="O70" s="435" t="s">
        <v>188</v>
      </c>
      <c r="P70" s="435" t="s">
        <v>188</v>
      </c>
      <c r="Q70" s="438">
        <v>349194</v>
      </c>
      <c r="R70" s="438">
        <v>0</v>
      </c>
      <c r="S70" s="438">
        <v>0</v>
      </c>
      <c r="T70" s="438">
        <v>1616944.79</v>
      </c>
      <c r="U70" s="438">
        <v>0</v>
      </c>
      <c r="V70" s="438">
        <v>34604.61</v>
      </c>
      <c r="W70" s="438">
        <v>0</v>
      </c>
      <c r="X70" s="438">
        <v>9695.0300000000007</v>
      </c>
      <c r="Y70" s="438">
        <v>0</v>
      </c>
      <c r="Z70" s="438">
        <v>2707.56</v>
      </c>
      <c r="AA70" s="438">
        <v>5030</v>
      </c>
      <c r="AB70" s="438">
        <v>23083</v>
      </c>
      <c r="AC70" s="438">
        <v>118535.33</v>
      </c>
      <c r="AD70" s="438">
        <v>1360</v>
      </c>
      <c r="AE70" s="438">
        <v>14621.5</v>
      </c>
      <c r="AF70" s="438">
        <v>114861.2</v>
      </c>
      <c r="AG70" s="438">
        <v>324321</v>
      </c>
      <c r="AH70" s="438">
        <v>0</v>
      </c>
      <c r="AI70" s="438">
        <v>0</v>
      </c>
      <c r="AJ70" s="438">
        <v>0</v>
      </c>
      <c r="AK70" s="438">
        <v>0</v>
      </c>
      <c r="AL70" s="438">
        <v>0</v>
      </c>
      <c r="AM70" s="438">
        <v>0</v>
      </c>
      <c r="AN70" s="438">
        <v>81119.88</v>
      </c>
      <c r="AO70" s="438">
        <v>1138595.57</v>
      </c>
      <c r="AP70" s="438">
        <v>16224.33</v>
      </c>
      <c r="AQ70" s="438">
        <v>331188.15999999997</v>
      </c>
      <c r="AR70" s="438">
        <v>76311.039999999994</v>
      </c>
      <c r="AS70" s="438">
        <v>172483.08</v>
      </c>
      <c r="AT70" s="438">
        <v>0</v>
      </c>
      <c r="AU70" s="438">
        <v>71479.06</v>
      </c>
      <c r="AV70" s="438">
        <v>9149.93</v>
      </c>
      <c r="AW70" s="438">
        <v>3973.9</v>
      </c>
      <c r="AX70" s="438">
        <v>9307.77</v>
      </c>
      <c r="AY70" s="438">
        <v>0</v>
      </c>
      <c r="AZ70" s="438">
        <v>22437.33</v>
      </c>
      <c r="BA70" s="438">
        <v>0</v>
      </c>
      <c r="BB70" s="438">
        <v>46007.11</v>
      </c>
      <c r="BC70" s="438">
        <v>3202.35</v>
      </c>
      <c r="BD70" s="438">
        <v>61884.42</v>
      </c>
      <c r="BE70" s="438">
        <v>12800</v>
      </c>
      <c r="BF70" s="438">
        <v>9581.76</v>
      </c>
      <c r="BG70" s="438">
        <v>85839</v>
      </c>
      <c r="BH70" s="438">
        <v>14096</v>
      </c>
      <c r="BI70" s="438">
        <v>0</v>
      </c>
      <c r="BJ70" s="438">
        <v>13807</v>
      </c>
      <c r="BK70" s="438">
        <v>13525.02</v>
      </c>
      <c r="BL70" s="438">
        <v>4656</v>
      </c>
      <c r="BM70" s="438">
        <v>175260.9</v>
      </c>
      <c r="BN70" s="438">
        <v>56596.59</v>
      </c>
      <c r="BO70" s="438">
        <v>101073</v>
      </c>
      <c r="BP70" s="438">
        <v>55811.58</v>
      </c>
      <c r="BQ70" s="438">
        <v>0</v>
      </c>
      <c r="BR70" s="438">
        <v>0</v>
      </c>
      <c r="BS70" s="438">
        <v>6076</v>
      </c>
      <c r="BT70" s="438">
        <v>0</v>
      </c>
      <c r="BU70" s="438">
        <v>0</v>
      </c>
      <c r="BV70" s="438">
        <v>0</v>
      </c>
      <c r="BW70" s="438">
        <v>0</v>
      </c>
      <c r="BX70" s="438">
        <v>6076</v>
      </c>
      <c r="BY70" s="438">
        <v>6000</v>
      </c>
      <c r="BZ70" s="438">
        <v>0</v>
      </c>
      <c r="CA70" s="438">
        <v>0</v>
      </c>
      <c r="CB70" s="438">
        <v>0</v>
      </c>
      <c r="CC70" s="438">
        <v>6076</v>
      </c>
      <c r="CD70" s="438">
        <v>15695</v>
      </c>
      <c r="CE70" s="438">
        <v>169016</v>
      </c>
      <c r="CF70" s="438">
        <v>0</v>
      </c>
      <c r="CG70" s="438">
        <v>0</v>
      </c>
      <c r="CH70" s="438">
        <v>0</v>
      </c>
      <c r="CI70" s="438">
        <v>0</v>
      </c>
      <c r="CJ70" s="111">
        <f t="shared" si="3"/>
        <v>184711</v>
      </c>
      <c r="CK70" s="111">
        <f t="shared" si="4"/>
        <v>0</v>
      </c>
      <c r="CL70" s="111">
        <f t="shared" si="5"/>
        <v>184711</v>
      </c>
    </row>
    <row r="71" spans="1:90" ht="26.4">
      <c r="A71" s="435">
        <v>302</v>
      </c>
      <c r="B71" s="435">
        <v>3513</v>
      </c>
      <c r="C71" s="435" t="s">
        <v>77</v>
      </c>
      <c r="D71" s="435" t="s">
        <v>594</v>
      </c>
      <c r="E71" s="435"/>
      <c r="F71" s="435" t="s">
        <v>588</v>
      </c>
      <c r="G71" s="435">
        <v>0</v>
      </c>
      <c r="H71" s="435">
        <v>0</v>
      </c>
      <c r="I71" s="435" t="s">
        <v>695</v>
      </c>
      <c r="J71" s="435" t="s">
        <v>590</v>
      </c>
      <c r="K71" s="435" t="s">
        <v>591</v>
      </c>
      <c r="L71" s="435" t="s">
        <v>592</v>
      </c>
      <c r="M71" s="435" t="s">
        <v>591</v>
      </c>
      <c r="N71" s="435" t="s">
        <v>593</v>
      </c>
      <c r="O71" s="435" t="s">
        <v>188</v>
      </c>
      <c r="P71" s="435" t="s">
        <v>188</v>
      </c>
      <c r="Q71" s="438">
        <v>-61550</v>
      </c>
      <c r="R71" s="438">
        <v>0</v>
      </c>
      <c r="S71" s="438">
        <v>0</v>
      </c>
      <c r="T71" s="438">
        <v>1843382.28</v>
      </c>
      <c r="U71" s="438">
        <v>0</v>
      </c>
      <c r="V71" s="438">
        <v>75209.22</v>
      </c>
      <c r="W71" s="438">
        <v>0</v>
      </c>
      <c r="X71" s="438">
        <v>19389.97</v>
      </c>
      <c r="Y71" s="438">
        <v>69539.63</v>
      </c>
      <c r="Z71" s="438">
        <v>1400</v>
      </c>
      <c r="AA71" s="438">
        <v>122000</v>
      </c>
      <c r="AB71" s="438">
        <v>1972.67</v>
      </c>
      <c r="AC71" s="438">
        <v>35354.68</v>
      </c>
      <c r="AD71" s="438">
        <v>0</v>
      </c>
      <c r="AE71" s="438">
        <v>0</v>
      </c>
      <c r="AF71" s="438">
        <v>47564.98</v>
      </c>
      <c r="AG71" s="438">
        <v>328355.3</v>
      </c>
      <c r="AH71" s="438">
        <v>0</v>
      </c>
      <c r="AI71" s="438">
        <v>0</v>
      </c>
      <c r="AJ71" s="438">
        <v>0</v>
      </c>
      <c r="AK71" s="438">
        <v>0</v>
      </c>
      <c r="AL71" s="438">
        <v>0</v>
      </c>
      <c r="AM71" s="438">
        <v>4553</v>
      </c>
      <c r="AN71" s="438">
        <v>60454</v>
      </c>
      <c r="AO71" s="438">
        <v>1305318.17</v>
      </c>
      <c r="AP71" s="438">
        <v>0</v>
      </c>
      <c r="AQ71" s="438">
        <v>164217.69</v>
      </c>
      <c r="AR71" s="438">
        <v>36491.129999999997</v>
      </c>
      <c r="AS71" s="438">
        <v>112955.97</v>
      </c>
      <c r="AT71" s="438">
        <v>0</v>
      </c>
      <c r="AU71" s="438">
        <v>40591.18</v>
      </c>
      <c r="AV71" s="438">
        <v>2726.26</v>
      </c>
      <c r="AW71" s="438">
        <v>2012.5</v>
      </c>
      <c r="AX71" s="438">
        <v>629.14</v>
      </c>
      <c r="AY71" s="438">
        <v>0</v>
      </c>
      <c r="AZ71" s="438">
        <v>17447.2</v>
      </c>
      <c r="BA71" s="438">
        <v>440</v>
      </c>
      <c r="BB71" s="438">
        <v>39983.97</v>
      </c>
      <c r="BC71" s="438">
        <v>6636.53</v>
      </c>
      <c r="BD71" s="438">
        <v>47429.17</v>
      </c>
      <c r="BE71" s="438">
        <v>4787.2</v>
      </c>
      <c r="BF71" s="438">
        <v>112877.8</v>
      </c>
      <c r="BG71" s="438">
        <v>141824.56</v>
      </c>
      <c r="BH71" s="438">
        <v>15405.17</v>
      </c>
      <c r="BI71" s="438">
        <v>0</v>
      </c>
      <c r="BJ71" s="438">
        <v>11464.93</v>
      </c>
      <c r="BK71" s="438">
        <v>6022.31</v>
      </c>
      <c r="BL71" s="438">
        <v>42664.12</v>
      </c>
      <c r="BM71" s="438">
        <v>114862.39999999999</v>
      </c>
      <c r="BN71" s="438">
        <v>0</v>
      </c>
      <c r="BO71" s="438">
        <v>285061.45</v>
      </c>
      <c r="BP71" s="438">
        <v>26667.88</v>
      </c>
      <c r="BQ71" s="438">
        <v>0</v>
      </c>
      <c r="BR71" s="438">
        <v>0</v>
      </c>
      <c r="BS71" s="438">
        <v>0</v>
      </c>
      <c r="BT71" s="438">
        <v>0</v>
      </c>
      <c r="BU71" s="438">
        <v>0</v>
      </c>
      <c r="BV71" s="438">
        <v>0</v>
      </c>
      <c r="BW71" s="438">
        <v>0</v>
      </c>
      <c r="BX71" s="438">
        <v>0</v>
      </c>
      <c r="BY71" s="438">
        <v>6000</v>
      </c>
      <c r="BZ71" s="438">
        <v>0</v>
      </c>
      <c r="CA71" s="438">
        <v>0</v>
      </c>
      <c r="CB71" s="438">
        <v>0</v>
      </c>
      <c r="CC71" s="438">
        <v>0</v>
      </c>
      <c r="CD71" s="438">
        <v>0</v>
      </c>
      <c r="CE71" s="438">
        <v>9109</v>
      </c>
      <c r="CF71" s="438">
        <v>0</v>
      </c>
      <c r="CG71" s="438">
        <v>0</v>
      </c>
      <c r="CH71" s="438">
        <v>0</v>
      </c>
      <c r="CI71" s="438">
        <v>0</v>
      </c>
      <c r="CJ71" s="111">
        <f t="shared" si="3"/>
        <v>9109</v>
      </c>
      <c r="CK71" s="111">
        <f t="shared" si="4"/>
        <v>0</v>
      </c>
      <c r="CL71" s="111">
        <f t="shared" si="5"/>
        <v>9109</v>
      </c>
    </row>
    <row r="72" spans="1:90" ht="26.4">
      <c r="A72" s="435">
        <v>302</v>
      </c>
      <c r="B72" s="435">
        <v>3514</v>
      </c>
      <c r="C72" s="435" t="s">
        <v>620</v>
      </c>
      <c r="D72" s="435" t="s">
        <v>594</v>
      </c>
      <c r="E72" s="435"/>
      <c r="F72" s="435" t="s">
        <v>588</v>
      </c>
      <c r="G72" s="435">
        <v>0</v>
      </c>
      <c r="H72" s="435">
        <v>0</v>
      </c>
      <c r="I72" s="435" t="s">
        <v>695</v>
      </c>
      <c r="J72" s="435" t="s">
        <v>590</v>
      </c>
      <c r="K72" s="435" t="s">
        <v>591</v>
      </c>
      <c r="L72" s="435" t="s">
        <v>592</v>
      </c>
      <c r="M72" s="435" t="s">
        <v>591</v>
      </c>
      <c r="N72" s="435" t="s">
        <v>593</v>
      </c>
      <c r="O72" s="435" t="s">
        <v>188</v>
      </c>
      <c r="P72" s="435" t="s">
        <v>188</v>
      </c>
      <c r="Q72" s="438">
        <v>70483</v>
      </c>
      <c r="R72" s="438">
        <v>0</v>
      </c>
      <c r="S72" s="438">
        <v>0</v>
      </c>
      <c r="T72" s="438">
        <v>966986.18</v>
      </c>
      <c r="U72" s="438">
        <v>0</v>
      </c>
      <c r="V72" s="438">
        <v>17938.63</v>
      </c>
      <c r="W72" s="438">
        <v>0</v>
      </c>
      <c r="X72" s="438">
        <v>67865.03</v>
      </c>
      <c r="Y72" s="438">
        <v>1400</v>
      </c>
      <c r="Z72" s="438">
        <v>4335.46</v>
      </c>
      <c r="AA72" s="438">
        <v>0</v>
      </c>
      <c r="AB72" s="438">
        <v>7463.14</v>
      </c>
      <c r="AC72" s="438">
        <v>26669.59</v>
      </c>
      <c r="AD72" s="438">
        <v>0</v>
      </c>
      <c r="AE72" s="438">
        <v>0</v>
      </c>
      <c r="AF72" s="438">
        <v>14509.6</v>
      </c>
      <c r="AG72" s="438">
        <v>10954.85</v>
      </c>
      <c r="AH72" s="438">
        <v>0</v>
      </c>
      <c r="AI72" s="438">
        <v>0</v>
      </c>
      <c r="AJ72" s="438">
        <v>0</v>
      </c>
      <c r="AK72" s="438">
        <v>0</v>
      </c>
      <c r="AL72" s="438">
        <v>0</v>
      </c>
      <c r="AM72" s="438">
        <v>16376</v>
      </c>
      <c r="AN72" s="438">
        <v>19341</v>
      </c>
      <c r="AO72" s="438">
        <v>638201.31999999995</v>
      </c>
      <c r="AP72" s="438">
        <v>0</v>
      </c>
      <c r="AQ72" s="438">
        <v>137619.73000000001</v>
      </c>
      <c r="AR72" s="438">
        <v>34625.769999999997</v>
      </c>
      <c r="AS72" s="438">
        <v>43461.01</v>
      </c>
      <c r="AT72" s="438">
        <v>0</v>
      </c>
      <c r="AU72" s="438">
        <v>3674.22</v>
      </c>
      <c r="AV72" s="438">
        <v>2142.8000000000002</v>
      </c>
      <c r="AW72" s="438">
        <v>1873.8</v>
      </c>
      <c r="AX72" s="438">
        <v>302.12</v>
      </c>
      <c r="AY72" s="438">
        <v>0</v>
      </c>
      <c r="AZ72" s="438">
        <v>5474.66</v>
      </c>
      <c r="BA72" s="438">
        <v>2928</v>
      </c>
      <c r="BB72" s="438">
        <v>12533.9</v>
      </c>
      <c r="BC72" s="438">
        <v>381.06</v>
      </c>
      <c r="BD72" s="438">
        <v>12141.85</v>
      </c>
      <c r="BE72" s="438">
        <v>3807.2</v>
      </c>
      <c r="BF72" s="438">
        <v>8694.0300000000007</v>
      </c>
      <c r="BG72" s="438">
        <v>45804.22</v>
      </c>
      <c r="BH72" s="438">
        <v>9360.1200000000008</v>
      </c>
      <c r="BI72" s="438">
        <v>0</v>
      </c>
      <c r="BJ72" s="438">
        <v>6488.72</v>
      </c>
      <c r="BK72" s="438">
        <v>14662.71</v>
      </c>
      <c r="BL72" s="438">
        <v>28990.97</v>
      </c>
      <c r="BM72" s="438">
        <v>39202.160000000003</v>
      </c>
      <c r="BN72" s="438">
        <v>25793.42</v>
      </c>
      <c r="BO72" s="438">
        <v>74217.759999999995</v>
      </c>
      <c r="BP72" s="438">
        <v>35957.93</v>
      </c>
      <c r="BQ72" s="438">
        <v>0</v>
      </c>
      <c r="BR72" s="438">
        <v>0</v>
      </c>
      <c r="BS72" s="438">
        <v>0</v>
      </c>
      <c r="BT72" s="438">
        <v>0</v>
      </c>
      <c r="BU72" s="438">
        <v>0</v>
      </c>
      <c r="BV72" s="438">
        <v>0</v>
      </c>
      <c r="BW72" s="438">
        <v>0</v>
      </c>
      <c r="BX72" s="438">
        <v>0</v>
      </c>
      <c r="BY72" s="438">
        <v>6000</v>
      </c>
      <c r="BZ72" s="438">
        <v>0</v>
      </c>
      <c r="CA72" s="438">
        <v>0</v>
      </c>
      <c r="CB72" s="438">
        <v>0</v>
      </c>
      <c r="CC72" s="438">
        <v>0</v>
      </c>
      <c r="CD72" s="438">
        <v>0</v>
      </c>
      <c r="CE72" s="438">
        <v>35983</v>
      </c>
      <c r="CF72" s="438">
        <v>0</v>
      </c>
      <c r="CG72" s="438">
        <v>0</v>
      </c>
      <c r="CH72" s="438">
        <v>0</v>
      </c>
      <c r="CI72" s="438">
        <v>0</v>
      </c>
      <c r="CJ72" s="111">
        <f t="shared" si="3"/>
        <v>35983</v>
      </c>
      <c r="CK72" s="111">
        <f t="shared" si="4"/>
        <v>0</v>
      </c>
      <c r="CL72" s="111">
        <f t="shared" si="5"/>
        <v>35983</v>
      </c>
    </row>
    <row r="73" spans="1:90" ht="26.4">
      <c r="A73" s="435">
        <v>302</v>
      </c>
      <c r="B73" s="435">
        <v>3516</v>
      </c>
      <c r="C73" s="435" t="s">
        <v>68</v>
      </c>
      <c r="D73" s="435" t="s">
        <v>594</v>
      </c>
      <c r="E73" s="435"/>
      <c r="F73" s="435" t="s">
        <v>588</v>
      </c>
      <c r="G73" s="435">
        <v>0</v>
      </c>
      <c r="H73" s="435">
        <v>0</v>
      </c>
      <c r="I73" s="435" t="s">
        <v>695</v>
      </c>
      <c r="J73" s="435" t="s">
        <v>590</v>
      </c>
      <c r="K73" s="435" t="s">
        <v>591</v>
      </c>
      <c r="L73" s="435" t="s">
        <v>592</v>
      </c>
      <c r="M73" s="435" t="s">
        <v>591</v>
      </c>
      <c r="N73" s="435" t="s">
        <v>593</v>
      </c>
      <c r="O73" s="435" t="s">
        <v>188</v>
      </c>
      <c r="P73" s="435" t="s">
        <v>188</v>
      </c>
      <c r="Q73" s="438">
        <v>-25791</v>
      </c>
      <c r="R73" s="438">
        <v>0</v>
      </c>
      <c r="S73" s="438">
        <v>0</v>
      </c>
      <c r="T73" s="438">
        <v>1181491.1599999999</v>
      </c>
      <c r="U73" s="438">
        <v>0</v>
      </c>
      <c r="V73" s="438">
        <v>114559.29</v>
      </c>
      <c r="W73" s="438">
        <v>0</v>
      </c>
      <c r="X73" s="438">
        <v>43960.02</v>
      </c>
      <c r="Y73" s="438">
        <v>54404.62</v>
      </c>
      <c r="Z73" s="438">
        <v>0</v>
      </c>
      <c r="AA73" s="438">
        <v>0</v>
      </c>
      <c r="AB73" s="438">
        <v>6114.77</v>
      </c>
      <c r="AC73" s="438">
        <v>28108.92</v>
      </c>
      <c r="AD73" s="438">
        <v>6408</v>
      </c>
      <c r="AE73" s="438">
        <v>0</v>
      </c>
      <c r="AF73" s="438">
        <v>16209.76</v>
      </c>
      <c r="AG73" s="438">
        <v>245749</v>
      </c>
      <c r="AH73" s="438">
        <v>0</v>
      </c>
      <c r="AI73" s="438">
        <v>0</v>
      </c>
      <c r="AJ73" s="438">
        <v>0</v>
      </c>
      <c r="AK73" s="438">
        <v>0</v>
      </c>
      <c r="AL73" s="438">
        <v>0</v>
      </c>
      <c r="AM73" s="438">
        <v>8641.3799999999992</v>
      </c>
      <c r="AN73" s="438">
        <v>49789</v>
      </c>
      <c r="AO73" s="438">
        <v>878867.31</v>
      </c>
      <c r="AP73" s="438">
        <v>9140.5</v>
      </c>
      <c r="AQ73" s="438">
        <v>254915.58</v>
      </c>
      <c r="AR73" s="438">
        <v>66655.23</v>
      </c>
      <c r="AS73" s="438">
        <v>116402.81</v>
      </c>
      <c r="AT73" s="438">
        <v>0</v>
      </c>
      <c r="AU73" s="438">
        <v>36261.379999999997</v>
      </c>
      <c r="AV73" s="438">
        <v>2430</v>
      </c>
      <c r="AW73" s="438">
        <v>2050</v>
      </c>
      <c r="AX73" s="438">
        <v>7718.42</v>
      </c>
      <c r="AY73" s="438">
        <v>818.38</v>
      </c>
      <c r="AZ73" s="438">
        <v>24808.03</v>
      </c>
      <c r="BA73" s="438">
        <v>0</v>
      </c>
      <c r="BB73" s="438">
        <v>1215.56</v>
      </c>
      <c r="BC73" s="438">
        <v>3203.79</v>
      </c>
      <c r="BD73" s="438">
        <v>21625.29</v>
      </c>
      <c r="BE73" s="438">
        <v>0</v>
      </c>
      <c r="BF73" s="438">
        <v>56435.519999999997</v>
      </c>
      <c r="BG73" s="438">
        <v>71456.179999999993</v>
      </c>
      <c r="BH73" s="438">
        <v>10123.030000000001</v>
      </c>
      <c r="BI73" s="438">
        <v>0</v>
      </c>
      <c r="BJ73" s="438">
        <v>9893.89</v>
      </c>
      <c r="BK73" s="438">
        <v>7039.22</v>
      </c>
      <c r="BL73" s="438">
        <v>969.19</v>
      </c>
      <c r="BM73" s="438">
        <v>61481.67</v>
      </c>
      <c r="BN73" s="438">
        <v>42046.7</v>
      </c>
      <c r="BO73" s="438">
        <v>20750.330000000002</v>
      </c>
      <c r="BP73" s="438">
        <v>13202.91</v>
      </c>
      <c r="BQ73" s="438">
        <v>0</v>
      </c>
      <c r="BR73" s="438">
        <v>0</v>
      </c>
      <c r="BS73" s="438">
        <v>0</v>
      </c>
      <c r="BT73" s="438">
        <v>0</v>
      </c>
      <c r="BU73" s="438">
        <v>0</v>
      </c>
      <c r="BV73" s="438">
        <v>0</v>
      </c>
      <c r="BW73" s="438">
        <v>0</v>
      </c>
      <c r="BX73" s="438">
        <v>0</v>
      </c>
      <c r="BY73" s="438">
        <v>6000</v>
      </c>
      <c r="BZ73" s="438">
        <v>0</v>
      </c>
      <c r="CA73" s="438">
        <v>0</v>
      </c>
      <c r="CB73" s="438">
        <v>0</v>
      </c>
      <c r="CC73" s="438">
        <v>0</v>
      </c>
      <c r="CD73" s="438">
        <v>0</v>
      </c>
      <c r="CE73" s="438">
        <v>10134</v>
      </c>
      <c r="CF73" s="438">
        <v>0</v>
      </c>
      <c r="CG73" s="438">
        <v>0</v>
      </c>
      <c r="CH73" s="438">
        <v>0</v>
      </c>
      <c r="CI73" s="438">
        <v>0</v>
      </c>
      <c r="CJ73" s="111">
        <f t="shared" si="3"/>
        <v>10134</v>
      </c>
      <c r="CK73" s="111">
        <f t="shared" si="4"/>
        <v>0</v>
      </c>
      <c r="CL73" s="111">
        <f t="shared" si="5"/>
        <v>10134</v>
      </c>
    </row>
    <row r="74" spans="1:90" ht="26.4">
      <c r="A74" s="435">
        <v>302</v>
      </c>
      <c r="B74" s="435">
        <v>3518</v>
      </c>
      <c r="C74" s="435" t="s">
        <v>696</v>
      </c>
      <c r="D74" s="435" t="s">
        <v>594</v>
      </c>
      <c r="E74" s="435"/>
      <c r="F74" s="435" t="s">
        <v>588</v>
      </c>
      <c r="G74" s="435">
        <v>0</v>
      </c>
      <c r="H74" s="435">
        <v>1</v>
      </c>
      <c r="I74" s="435" t="s">
        <v>695</v>
      </c>
      <c r="J74" s="435" t="s">
        <v>590</v>
      </c>
      <c r="K74" s="435" t="s">
        <v>591</v>
      </c>
      <c r="L74" s="435" t="s">
        <v>592</v>
      </c>
      <c r="M74" s="435" t="s">
        <v>591</v>
      </c>
      <c r="N74" s="435" t="s">
        <v>593</v>
      </c>
      <c r="O74" s="435" t="s">
        <v>188</v>
      </c>
      <c r="P74" s="435" t="s">
        <v>188</v>
      </c>
      <c r="Q74" s="438">
        <v>-16346</v>
      </c>
      <c r="R74" s="438">
        <v>0</v>
      </c>
      <c r="S74" s="438">
        <v>686</v>
      </c>
      <c r="T74" s="438">
        <v>2293338.15</v>
      </c>
      <c r="U74" s="438">
        <v>0</v>
      </c>
      <c r="V74" s="438">
        <v>44959.99</v>
      </c>
      <c r="W74" s="438">
        <v>0</v>
      </c>
      <c r="X74" s="438">
        <v>193698.03</v>
      </c>
      <c r="Y74" s="438">
        <v>3800</v>
      </c>
      <c r="Z74" s="438">
        <v>8129.63</v>
      </c>
      <c r="AA74" s="438">
        <v>6600</v>
      </c>
      <c r="AB74" s="438">
        <v>17006.849999999999</v>
      </c>
      <c r="AC74" s="438">
        <v>23768.63</v>
      </c>
      <c r="AD74" s="438">
        <v>4200</v>
      </c>
      <c r="AE74" s="438">
        <v>0</v>
      </c>
      <c r="AF74" s="438">
        <v>14791.5</v>
      </c>
      <c r="AG74" s="438">
        <v>812.5</v>
      </c>
      <c r="AH74" s="438">
        <v>0</v>
      </c>
      <c r="AI74" s="438">
        <v>0</v>
      </c>
      <c r="AJ74" s="438">
        <v>0</v>
      </c>
      <c r="AK74" s="438">
        <v>0</v>
      </c>
      <c r="AL74" s="438">
        <v>9932.5</v>
      </c>
      <c r="AM74" s="438">
        <v>44013.75</v>
      </c>
      <c r="AN74" s="438">
        <v>59623</v>
      </c>
      <c r="AO74" s="438">
        <v>1255358.48</v>
      </c>
      <c r="AP74" s="438">
        <v>0</v>
      </c>
      <c r="AQ74" s="438">
        <v>638276.92000000004</v>
      </c>
      <c r="AR74" s="438">
        <v>13771.69</v>
      </c>
      <c r="AS74" s="438">
        <v>40125.33</v>
      </c>
      <c r="AT74" s="438">
        <v>0</v>
      </c>
      <c r="AU74" s="438">
        <v>150141.73000000001</v>
      </c>
      <c r="AV74" s="438">
        <v>15306.21</v>
      </c>
      <c r="AW74" s="438">
        <v>6934.01</v>
      </c>
      <c r="AX74" s="438">
        <v>12295.49</v>
      </c>
      <c r="AY74" s="438">
        <v>0</v>
      </c>
      <c r="AZ74" s="438">
        <v>16634.82</v>
      </c>
      <c r="BA74" s="438">
        <v>2888.81</v>
      </c>
      <c r="BB74" s="438">
        <v>61522.36</v>
      </c>
      <c r="BC74" s="438">
        <v>4650.6400000000003</v>
      </c>
      <c r="BD74" s="438">
        <v>54903.040000000001</v>
      </c>
      <c r="BE74" s="438">
        <v>35328</v>
      </c>
      <c r="BF74" s="438">
        <v>9567.69</v>
      </c>
      <c r="BG74" s="438">
        <v>42413.71</v>
      </c>
      <c r="BH74" s="438">
        <v>17425.169999999998</v>
      </c>
      <c r="BI74" s="438">
        <v>0</v>
      </c>
      <c r="BJ74" s="438">
        <v>17344.990000000002</v>
      </c>
      <c r="BK74" s="438">
        <v>14381.98</v>
      </c>
      <c r="BL74" s="438">
        <v>8459.7900000000009</v>
      </c>
      <c r="BM74" s="438">
        <v>97917.63</v>
      </c>
      <c r="BN74" s="438">
        <v>78447.61</v>
      </c>
      <c r="BO74" s="438">
        <v>116275.48</v>
      </c>
      <c r="BP74" s="438">
        <v>56274.95</v>
      </c>
      <c r="BQ74" s="438">
        <v>0</v>
      </c>
      <c r="BR74" s="438">
        <v>0</v>
      </c>
      <c r="BS74" s="438">
        <v>0</v>
      </c>
      <c r="BT74" s="438">
        <v>0</v>
      </c>
      <c r="BU74" s="438">
        <v>0</v>
      </c>
      <c r="BV74" s="438">
        <v>26661.759999999998</v>
      </c>
      <c r="BW74" s="438">
        <v>0</v>
      </c>
      <c r="BX74" s="438">
        <v>0</v>
      </c>
      <c r="BY74" s="438">
        <v>6000</v>
      </c>
      <c r="BZ74" s="438">
        <v>0</v>
      </c>
      <c r="CA74" s="438">
        <v>0</v>
      </c>
      <c r="CB74" s="438">
        <v>0</v>
      </c>
      <c r="CC74" s="438">
        <v>6023.76</v>
      </c>
      <c r="CD74" s="438">
        <v>0</v>
      </c>
      <c r="CE74" s="438">
        <v>-58318</v>
      </c>
      <c r="CF74" s="438">
        <v>21324</v>
      </c>
      <c r="CG74" s="438">
        <v>0</v>
      </c>
      <c r="CH74" s="438">
        <v>0</v>
      </c>
      <c r="CI74" s="438">
        <v>0</v>
      </c>
      <c r="CJ74" s="111">
        <f t="shared" si="3"/>
        <v>-58318</v>
      </c>
      <c r="CK74" s="111">
        <f t="shared" si="4"/>
        <v>21324</v>
      </c>
      <c r="CL74" s="111">
        <f t="shared" si="5"/>
        <v>-58318</v>
      </c>
    </row>
    <row r="75" spans="1:90">
      <c r="A75" s="435">
        <v>302</v>
      </c>
      <c r="B75" s="435">
        <v>3520</v>
      </c>
      <c r="C75" s="435" t="s">
        <v>248</v>
      </c>
      <c r="D75" s="435" t="s">
        <v>594</v>
      </c>
      <c r="E75" s="435"/>
      <c r="F75" s="435" t="s">
        <v>588</v>
      </c>
      <c r="G75" s="435">
        <v>0</v>
      </c>
      <c r="H75" s="435">
        <v>0</v>
      </c>
      <c r="I75" s="435" t="s">
        <v>695</v>
      </c>
      <c r="J75" s="435" t="s">
        <v>590</v>
      </c>
      <c r="K75" s="435" t="s">
        <v>591</v>
      </c>
      <c r="L75" s="435" t="s">
        <v>592</v>
      </c>
      <c r="M75" s="435" t="s">
        <v>591</v>
      </c>
      <c r="N75" s="435" t="s">
        <v>593</v>
      </c>
      <c r="O75" s="435" t="s">
        <v>188</v>
      </c>
      <c r="P75" s="435" t="s">
        <v>188</v>
      </c>
      <c r="Q75" s="438">
        <v>148310</v>
      </c>
      <c r="R75" s="438">
        <v>0</v>
      </c>
      <c r="S75" s="438">
        <v>0</v>
      </c>
      <c r="T75" s="438">
        <v>1857000.95</v>
      </c>
      <c r="U75" s="438">
        <v>0</v>
      </c>
      <c r="V75" s="438">
        <v>107612.96</v>
      </c>
      <c r="W75" s="438">
        <v>0</v>
      </c>
      <c r="X75" s="438">
        <v>4155</v>
      </c>
      <c r="Y75" s="438">
        <v>30525.06</v>
      </c>
      <c r="Z75" s="438">
        <v>5242.4399999999996</v>
      </c>
      <c r="AA75" s="438">
        <v>38661.14</v>
      </c>
      <c r="AB75" s="438">
        <v>7709.17</v>
      </c>
      <c r="AC75" s="438">
        <v>104232.45</v>
      </c>
      <c r="AD75" s="438">
        <v>5954.6</v>
      </c>
      <c r="AE75" s="438">
        <v>0</v>
      </c>
      <c r="AF75" s="438">
        <v>125151.3</v>
      </c>
      <c r="AG75" s="438">
        <v>484170.94</v>
      </c>
      <c r="AH75" s="438">
        <v>0</v>
      </c>
      <c r="AI75" s="438">
        <v>0</v>
      </c>
      <c r="AJ75" s="438">
        <v>0</v>
      </c>
      <c r="AK75" s="438">
        <v>0</v>
      </c>
      <c r="AL75" s="438">
        <v>0</v>
      </c>
      <c r="AM75" s="438">
        <v>0</v>
      </c>
      <c r="AN75" s="438">
        <v>104016.08</v>
      </c>
      <c r="AO75" s="438">
        <v>1171207.83</v>
      </c>
      <c r="AP75" s="438">
        <v>7889.08</v>
      </c>
      <c r="AQ75" s="438">
        <v>544426.11</v>
      </c>
      <c r="AR75" s="438">
        <v>45016.6</v>
      </c>
      <c r="AS75" s="438">
        <v>158554.38</v>
      </c>
      <c r="AT75" s="438">
        <v>0</v>
      </c>
      <c r="AU75" s="438">
        <v>25118.65</v>
      </c>
      <c r="AV75" s="438">
        <v>5456.86</v>
      </c>
      <c r="AW75" s="438">
        <v>3452.42</v>
      </c>
      <c r="AX75" s="438">
        <v>10660.51</v>
      </c>
      <c r="AY75" s="438">
        <v>0</v>
      </c>
      <c r="AZ75" s="438">
        <v>39683.72</v>
      </c>
      <c r="BA75" s="438">
        <v>900</v>
      </c>
      <c r="BB75" s="438">
        <v>50064.83</v>
      </c>
      <c r="BC75" s="438">
        <v>8328.0400000000009</v>
      </c>
      <c r="BD75" s="438">
        <v>32456.68</v>
      </c>
      <c r="BE75" s="438">
        <v>11980.8</v>
      </c>
      <c r="BF75" s="438">
        <v>111699.54</v>
      </c>
      <c r="BG75" s="438">
        <v>176666.67</v>
      </c>
      <c r="BH75" s="438">
        <v>14940.13</v>
      </c>
      <c r="BI75" s="438">
        <v>0</v>
      </c>
      <c r="BJ75" s="438">
        <v>7794.9</v>
      </c>
      <c r="BK75" s="438">
        <v>45638.05</v>
      </c>
      <c r="BL75" s="438">
        <v>4221.5600000000004</v>
      </c>
      <c r="BM75" s="438">
        <v>171061.47</v>
      </c>
      <c r="BN75" s="438">
        <v>28525.67</v>
      </c>
      <c r="BO75" s="438">
        <v>137437.59</v>
      </c>
      <c r="BP75" s="438">
        <v>48564</v>
      </c>
      <c r="BQ75" s="438">
        <v>0</v>
      </c>
      <c r="BR75" s="438">
        <v>0</v>
      </c>
      <c r="BS75" s="438">
        <v>0</v>
      </c>
      <c r="BT75" s="438">
        <v>0</v>
      </c>
      <c r="BU75" s="438">
        <v>0</v>
      </c>
      <c r="BV75" s="438">
        <v>0</v>
      </c>
      <c r="BW75" s="438">
        <v>42108</v>
      </c>
      <c r="BX75" s="438">
        <v>0</v>
      </c>
      <c r="BY75" s="438">
        <v>6000</v>
      </c>
      <c r="BZ75" s="438">
        <v>0</v>
      </c>
      <c r="CA75" s="438">
        <v>0</v>
      </c>
      <c r="CB75" s="438">
        <v>13660</v>
      </c>
      <c r="CC75" s="438">
        <v>28448</v>
      </c>
      <c r="CD75" s="438">
        <v>12686</v>
      </c>
      <c r="CE75" s="438">
        <v>148310</v>
      </c>
      <c r="CF75" s="438">
        <v>0</v>
      </c>
      <c r="CG75" s="438">
        <v>0</v>
      </c>
      <c r="CH75" s="438">
        <v>0</v>
      </c>
      <c r="CI75" s="438">
        <v>0</v>
      </c>
      <c r="CJ75" s="111">
        <f t="shared" si="3"/>
        <v>160996</v>
      </c>
      <c r="CK75" s="111">
        <f t="shared" si="4"/>
        <v>0</v>
      </c>
      <c r="CL75" s="111">
        <f t="shared" si="5"/>
        <v>160996</v>
      </c>
    </row>
    <row r="76" spans="1:90" ht="39.6">
      <c r="A76" s="435">
        <v>302</v>
      </c>
      <c r="B76" s="435">
        <v>3521</v>
      </c>
      <c r="C76" s="435" t="s">
        <v>697</v>
      </c>
      <c r="D76" s="435" t="s">
        <v>594</v>
      </c>
      <c r="E76" s="435"/>
      <c r="F76" s="435" t="s">
        <v>588</v>
      </c>
      <c r="G76" s="435">
        <v>0</v>
      </c>
      <c r="H76" s="435">
        <v>2</v>
      </c>
      <c r="I76" s="435" t="s">
        <v>695</v>
      </c>
      <c r="J76" s="435" t="s">
        <v>590</v>
      </c>
      <c r="K76" s="435" t="s">
        <v>591</v>
      </c>
      <c r="L76" s="435" t="s">
        <v>592</v>
      </c>
      <c r="M76" s="435" t="s">
        <v>591</v>
      </c>
      <c r="N76" s="435" t="s">
        <v>593</v>
      </c>
      <c r="O76" s="435" t="s">
        <v>188</v>
      </c>
      <c r="P76" s="435" t="s">
        <v>188</v>
      </c>
      <c r="Q76" s="438">
        <v>1265032</v>
      </c>
      <c r="R76" s="438">
        <v>0</v>
      </c>
      <c r="S76" s="438">
        <v>0</v>
      </c>
      <c r="T76" s="438">
        <v>8907158.3800000008</v>
      </c>
      <c r="U76" s="438">
        <v>439621.06</v>
      </c>
      <c r="V76" s="438">
        <v>193607.42</v>
      </c>
      <c r="W76" s="438">
        <v>0</v>
      </c>
      <c r="X76" s="438">
        <v>545477.01</v>
      </c>
      <c r="Y76" s="438">
        <v>1400</v>
      </c>
      <c r="Z76" s="438">
        <v>19583.650000000001</v>
      </c>
      <c r="AA76" s="438">
        <v>38384.800000000003</v>
      </c>
      <c r="AB76" s="438">
        <v>77030.59</v>
      </c>
      <c r="AC76" s="438">
        <v>261150.25</v>
      </c>
      <c r="AD76" s="438">
        <v>0</v>
      </c>
      <c r="AE76" s="438">
        <v>0</v>
      </c>
      <c r="AF76" s="438">
        <v>70340.800000000003</v>
      </c>
      <c r="AG76" s="438">
        <v>15249.2</v>
      </c>
      <c r="AH76" s="438">
        <v>0</v>
      </c>
      <c r="AI76" s="438">
        <v>0</v>
      </c>
      <c r="AJ76" s="438">
        <v>0</v>
      </c>
      <c r="AK76" s="438">
        <v>0</v>
      </c>
      <c r="AL76" s="438">
        <v>7364.42</v>
      </c>
      <c r="AM76" s="438">
        <v>171674.38</v>
      </c>
      <c r="AN76" s="438">
        <v>102793</v>
      </c>
      <c r="AO76" s="438">
        <v>5508044.9199999999</v>
      </c>
      <c r="AP76" s="438">
        <v>0</v>
      </c>
      <c r="AQ76" s="438">
        <v>1230237.3899999999</v>
      </c>
      <c r="AR76" s="438">
        <v>235482.22</v>
      </c>
      <c r="AS76" s="438">
        <v>698568.06</v>
      </c>
      <c r="AT76" s="438">
        <v>0</v>
      </c>
      <c r="AU76" s="438">
        <v>98300.85</v>
      </c>
      <c r="AV76" s="438">
        <v>131695.9</v>
      </c>
      <c r="AW76" s="438">
        <v>29179.07</v>
      </c>
      <c r="AX76" s="438">
        <v>2231.9699999999998</v>
      </c>
      <c r="AY76" s="438">
        <v>0</v>
      </c>
      <c r="AZ76" s="438">
        <v>81232.429999999993</v>
      </c>
      <c r="BA76" s="438">
        <v>20490.63</v>
      </c>
      <c r="BB76" s="438">
        <v>173224.76</v>
      </c>
      <c r="BC76" s="438">
        <v>41309.72</v>
      </c>
      <c r="BD76" s="438">
        <v>177647.09</v>
      </c>
      <c r="BE76" s="438">
        <v>34696.99</v>
      </c>
      <c r="BF76" s="438">
        <v>55586.13</v>
      </c>
      <c r="BG76" s="438">
        <v>286236.05</v>
      </c>
      <c r="BH76" s="438">
        <v>109202.39</v>
      </c>
      <c r="BI76" s="438">
        <v>88462.74</v>
      </c>
      <c r="BJ76" s="438">
        <v>108711.84</v>
      </c>
      <c r="BK76" s="438">
        <v>56728.11</v>
      </c>
      <c r="BL76" s="438">
        <v>29834.82</v>
      </c>
      <c r="BM76" s="438">
        <v>426856.31</v>
      </c>
      <c r="BN76" s="438">
        <v>557013.36</v>
      </c>
      <c r="BO76" s="438">
        <v>442954.79</v>
      </c>
      <c r="BP76" s="438">
        <v>229853.95</v>
      </c>
      <c r="BQ76" s="438">
        <v>0</v>
      </c>
      <c r="BR76" s="438">
        <v>0</v>
      </c>
      <c r="BS76" s="438">
        <v>39894.47</v>
      </c>
      <c r="BT76" s="438">
        <v>0</v>
      </c>
      <c r="BU76" s="438">
        <v>0</v>
      </c>
      <c r="BV76" s="438">
        <v>0</v>
      </c>
      <c r="BW76" s="438">
        <v>0</v>
      </c>
      <c r="BX76" s="438">
        <v>0</v>
      </c>
      <c r="BY76" s="438">
        <v>6000</v>
      </c>
      <c r="BZ76" s="438">
        <v>0</v>
      </c>
      <c r="CA76" s="438">
        <v>0</v>
      </c>
      <c r="CB76" s="438">
        <v>0</v>
      </c>
      <c r="CC76" s="438">
        <v>0</v>
      </c>
      <c r="CD76" s="438">
        <v>100651</v>
      </c>
      <c r="CE76" s="438">
        <v>1121539</v>
      </c>
      <c r="CF76" s="438">
        <v>0</v>
      </c>
      <c r="CG76" s="438">
        <v>0</v>
      </c>
      <c r="CH76" s="438">
        <v>0</v>
      </c>
      <c r="CI76" s="438">
        <v>0</v>
      </c>
      <c r="CJ76" s="111">
        <f t="shared" si="3"/>
        <v>1222190</v>
      </c>
      <c r="CK76" s="111">
        <f t="shared" si="4"/>
        <v>0</v>
      </c>
      <c r="CL76" s="111">
        <f t="shared" si="5"/>
        <v>1222190</v>
      </c>
    </row>
    <row r="77" spans="1:90">
      <c r="A77" s="435">
        <v>302</v>
      </c>
      <c r="B77" s="435">
        <v>3523</v>
      </c>
      <c r="C77" s="435" t="s">
        <v>249</v>
      </c>
      <c r="D77" s="435" t="s">
        <v>594</v>
      </c>
      <c r="E77" s="435"/>
      <c r="F77" s="435" t="s">
        <v>588</v>
      </c>
      <c r="G77" s="435">
        <v>0</v>
      </c>
      <c r="H77" s="435">
        <v>0</v>
      </c>
      <c r="I77" s="435" t="s">
        <v>695</v>
      </c>
      <c r="J77" s="435" t="s">
        <v>590</v>
      </c>
      <c r="K77" s="435" t="s">
        <v>591</v>
      </c>
      <c r="L77" s="435" t="s">
        <v>592</v>
      </c>
      <c r="M77" s="435" t="s">
        <v>591</v>
      </c>
      <c r="N77" s="435" t="s">
        <v>593</v>
      </c>
      <c r="O77" s="435" t="s">
        <v>188</v>
      </c>
      <c r="P77" s="435" t="s">
        <v>188</v>
      </c>
      <c r="Q77" s="438">
        <v>169993</v>
      </c>
      <c r="R77" s="438">
        <v>0</v>
      </c>
      <c r="S77" s="438">
        <v>24955</v>
      </c>
      <c r="T77" s="438">
        <v>3291360.46</v>
      </c>
      <c r="U77" s="438">
        <v>0</v>
      </c>
      <c r="V77" s="438">
        <v>126972.71</v>
      </c>
      <c r="W77" s="438">
        <v>0</v>
      </c>
      <c r="X77" s="438">
        <v>213800.01</v>
      </c>
      <c r="Y77" s="438">
        <v>1000</v>
      </c>
      <c r="Z77" s="438">
        <v>11800.55</v>
      </c>
      <c r="AA77" s="438">
        <v>107349.72</v>
      </c>
      <c r="AB77" s="438">
        <v>89681.33</v>
      </c>
      <c r="AC77" s="438">
        <v>52910.9</v>
      </c>
      <c r="AD77" s="438">
        <v>0</v>
      </c>
      <c r="AE77" s="438">
        <v>0</v>
      </c>
      <c r="AF77" s="438">
        <v>64229.66</v>
      </c>
      <c r="AG77" s="438">
        <v>32917.129999999997</v>
      </c>
      <c r="AH77" s="438">
        <v>0</v>
      </c>
      <c r="AI77" s="438">
        <v>0</v>
      </c>
      <c r="AJ77" s="438">
        <v>0</v>
      </c>
      <c r="AK77" s="438">
        <v>0</v>
      </c>
      <c r="AL77" s="438">
        <v>0</v>
      </c>
      <c r="AM77" s="438">
        <v>41138.379999999997</v>
      </c>
      <c r="AN77" s="438">
        <v>115190</v>
      </c>
      <c r="AO77" s="438">
        <v>1786879.66</v>
      </c>
      <c r="AP77" s="438">
        <v>0</v>
      </c>
      <c r="AQ77" s="438">
        <v>960099.11</v>
      </c>
      <c r="AR77" s="438">
        <v>201918.09</v>
      </c>
      <c r="AS77" s="438">
        <v>132482.64000000001</v>
      </c>
      <c r="AT77" s="438">
        <v>0</v>
      </c>
      <c r="AU77" s="438">
        <v>139361.78</v>
      </c>
      <c r="AV77" s="438">
        <v>30637.439999999999</v>
      </c>
      <c r="AW77" s="438">
        <v>2922</v>
      </c>
      <c r="AX77" s="438">
        <v>10294.450000000001</v>
      </c>
      <c r="AY77" s="438">
        <v>0</v>
      </c>
      <c r="AZ77" s="438">
        <v>16232</v>
      </c>
      <c r="BA77" s="438">
        <v>3465.56</v>
      </c>
      <c r="BB77" s="438">
        <v>9666.1299999999992</v>
      </c>
      <c r="BC77" s="438">
        <v>5944.22</v>
      </c>
      <c r="BD77" s="438">
        <v>37198.31</v>
      </c>
      <c r="BE77" s="438">
        <v>54784</v>
      </c>
      <c r="BF77" s="438">
        <v>12951.02</v>
      </c>
      <c r="BG77" s="438">
        <v>135334.32</v>
      </c>
      <c r="BH77" s="438">
        <v>16670.03</v>
      </c>
      <c r="BI77" s="438">
        <v>0</v>
      </c>
      <c r="BJ77" s="438">
        <v>16372.21</v>
      </c>
      <c r="BK77" s="438">
        <v>23563.89</v>
      </c>
      <c r="BL77" s="438">
        <v>894.5</v>
      </c>
      <c r="BM77" s="438">
        <v>185488.69</v>
      </c>
      <c r="BN77" s="438">
        <v>46992.57</v>
      </c>
      <c r="BO77" s="438">
        <v>219675.99</v>
      </c>
      <c r="BP77" s="438">
        <v>38404.239999999998</v>
      </c>
      <c r="BQ77" s="438">
        <v>6114</v>
      </c>
      <c r="BR77" s="438">
        <v>0</v>
      </c>
      <c r="BS77" s="438">
        <v>0</v>
      </c>
      <c r="BT77" s="438">
        <v>0</v>
      </c>
      <c r="BU77" s="438">
        <v>0</v>
      </c>
      <c r="BV77" s="438">
        <v>35074.769999999997</v>
      </c>
      <c r="BW77" s="438">
        <v>0</v>
      </c>
      <c r="BX77" s="438">
        <v>0</v>
      </c>
      <c r="BY77" s="438">
        <v>6000</v>
      </c>
      <c r="BZ77" s="438">
        <v>0</v>
      </c>
      <c r="CA77" s="438">
        <v>0</v>
      </c>
      <c r="CB77" s="438">
        <v>0</v>
      </c>
      <c r="CC77" s="438">
        <v>9974.77</v>
      </c>
      <c r="CD77" s="438">
        <v>5906</v>
      </c>
      <c r="CE77" s="438">
        <v>218091</v>
      </c>
      <c r="CF77" s="438">
        <v>50055</v>
      </c>
      <c r="CG77" s="438">
        <v>0</v>
      </c>
      <c r="CH77" s="438">
        <v>0</v>
      </c>
      <c r="CI77" s="438">
        <v>0</v>
      </c>
      <c r="CJ77" s="111">
        <f t="shared" si="3"/>
        <v>223997</v>
      </c>
      <c r="CK77" s="111">
        <f t="shared" si="4"/>
        <v>50055</v>
      </c>
      <c r="CL77" s="111">
        <f t="shared" si="5"/>
        <v>223997</v>
      </c>
    </row>
    <row r="78" spans="1:90">
      <c r="A78" s="435">
        <v>302</v>
      </c>
      <c r="B78" s="435">
        <v>3524</v>
      </c>
      <c r="C78" s="435" t="s">
        <v>330</v>
      </c>
      <c r="D78" s="435" t="s">
        <v>594</v>
      </c>
      <c r="E78" s="435"/>
      <c r="F78" s="435" t="s">
        <v>588</v>
      </c>
      <c r="G78" s="435">
        <v>0</v>
      </c>
      <c r="H78" s="435">
        <v>1</v>
      </c>
      <c r="I78" s="435" t="s">
        <v>695</v>
      </c>
      <c r="J78" s="435" t="s">
        <v>590</v>
      </c>
      <c r="K78" s="435" t="s">
        <v>591</v>
      </c>
      <c r="L78" s="435" t="s">
        <v>592</v>
      </c>
      <c r="M78" s="435" t="s">
        <v>591</v>
      </c>
      <c r="N78" s="435" t="s">
        <v>593</v>
      </c>
      <c r="O78" s="435" t="s">
        <v>188</v>
      </c>
      <c r="P78" s="435" t="s">
        <v>188</v>
      </c>
      <c r="Q78" s="438">
        <v>102755</v>
      </c>
      <c r="R78" s="438">
        <v>0</v>
      </c>
      <c r="S78" s="438">
        <v>0</v>
      </c>
      <c r="T78" s="438">
        <v>1090531.6100000001</v>
      </c>
      <c r="U78" s="438">
        <v>0</v>
      </c>
      <c r="V78" s="438">
        <v>105580.15</v>
      </c>
      <c r="W78" s="438">
        <v>0</v>
      </c>
      <c r="X78" s="438">
        <v>18005.330000000002</v>
      </c>
      <c r="Y78" s="438">
        <v>62504.06</v>
      </c>
      <c r="Z78" s="438">
        <v>0</v>
      </c>
      <c r="AA78" s="438">
        <v>0</v>
      </c>
      <c r="AB78" s="438">
        <v>10331.049999999999</v>
      </c>
      <c r="AC78" s="438">
        <v>116.15</v>
      </c>
      <c r="AD78" s="438">
        <v>0</v>
      </c>
      <c r="AE78" s="438">
        <v>0</v>
      </c>
      <c r="AF78" s="438">
        <v>50751.9</v>
      </c>
      <c r="AG78" s="438">
        <v>385970.77</v>
      </c>
      <c r="AH78" s="438">
        <v>0</v>
      </c>
      <c r="AI78" s="438">
        <v>0</v>
      </c>
      <c r="AJ78" s="438">
        <v>0</v>
      </c>
      <c r="AK78" s="438">
        <v>0</v>
      </c>
      <c r="AL78" s="438">
        <v>0</v>
      </c>
      <c r="AM78" s="438">
        <v>1567</v>
      </c>
      <c r="AN78" s="438">
        <v>54001.63</v>
      </c>
      <c r="AO78" s="438">
        <v>860448.3</v>
      </c>
      <c r="AP78" s="438">
        <v>0</v>
      </c>
      <c r="AQ78" s="438">
        <v>318860.26</v>
      </c>
      <c r="AR78" s="438">
        <v>37267.72</v>
      </c>
      <c r="AS78" s="438">
        <v>111932.01</v>
      </c>
      <c r="AT78" s="438">
        <v>0</v>
      </c>
      <c r="AU78" s="438">
        <v>0</v>
      </c>
      <c r="AV78" s="438">
        <v>1666.67</v>
      </c>
      <c r="AW78" s="438">
        <v>3670.71</v>
      </c>
      <c r="AX78" s="438">
        <v>325.36</v>
      </c>
      <c r="AY78" s="438">
        <v>0</v>
      </c>
      <c r="AZ78" s="438">
        <v>47104.83</v>
      </c>
      <c r="BA78" s="438">
        <v>1391.82</v>
      </c>
      <c r="BB78" s="438">
        <v>37873.32</v>
      </c>
      <c r="BC78" s="438">
        <v>2980.97</v>
      </c>
      <c r="BD78" s="438">
        <v>39813.65</v>
      </c>
      <c r="BE78" s="438">
        <v>7424</v>
      </c>
      <c r="BF78" s="438">
        <v>60224.32</v>
      </c>
      <c r="BG78" s="438">
        <v>75874.06</v>
      </c>
      <c r="BH78" s="438">
        <v>15582.79</v>
      </c>
      <c r="BI78" s="438">
        <v>0</v>
      </c>
      <c r="BJ78" s="438">
        <v>27050.41</v>
      </c>
      <c r="BK78" s="438">
        <v>21956.78</v>
      </c>
      <c r="BL78" s="438">
        <v>0</v>
      </c>
      <c r="BM78" s="438">
        <v>52633.24</v>
      </c>
      <c r="BN78" s="438">
        <v>22191.040000000001</v>
      </c>
      <c r="BO78" s="438">
        <v>28617.39</v>
      </c>
      <c r="BP78" s="438">
        <v>26878</v>
      </c>
      <c r="BQ78" s="438">
        <v>0</v>
      </c>
      <c r="BR78" s="438">
        <v>0</v>
      </c>
      <c r="BS78" s="438">
        <v>0</v>
      </c>
      <c r="BT78" s="438">
        <v>0</v>
      </c>
      <c r="BU78" s="438">
        <v>0</v>
      </c>
      <c r="BV78" s="438">
        <v>0</v>
      </c>
      <c r="BW78" s="438">
        <v>0</v>
      </c>
      <c r="BX78" s="438">
        <v>0</v>
      </c>
      <c r="BY78" s="438">
        <v>6000</v>
      </c>
      <c r="BZ78" s="438">
        <v>0</v>
      </c>
      <c r="CA78" s="438">
        <v>0</v>
      </c>
      <c r="CB78" s="438">
        <v>0</v>
      </c>
      <c r="CC78" s="438">
        <v>0</v>
      </c>
      <c r="CD78" s="438">
        <v>0</v>
      </c>
      <c r="CE78" s="438">
        <v>80347</v>
      </c>
      <c r="CF78" s="438">
        <v>0</v>
      </c>
      <c r="CG78" s="438">
        <v>0</v>
      </c>
      <c r="CH78" s="438">
        <v>0</v>
      </c>
      <c r="CI78" s="438">
        <v>0</v>
      </c>
      <c r="CJ78" s="111">
        <f t="shared" si="3"/>
        <v>80347</v>
      </c>
      <c r="CK78" s="111">
        <f t="shared" si="4"/>
        <v>0</v>
      </c>
      <c r="CL78" s="111">
        <f t="shared" si="5"/>
        <v>80347</v>
      </c>
    </row>
    <row r="79" spans="1:90" ht="26.4">
      <c r="A79" s="435">
        <v>302</v>
      </c>
      <c r="B79" s="435">
        <v>4003</v>
      </c>
      <c r="C79" s="435" t="s">
        <v>116</v>
      </c>
      <c r="D79" s="435" t="s">
        <v>594</v>
      </c>
      <c r="E79" s="435"/>
      <c r="F79" s="435" t="s">
        <v>588</v>
      </c>
      <c r="G79" s="435">
        <v>0</v>
      </c>
      <c r="H79" s="435">
        <v>0</v>
      </c>
      <c r="I79" s="435" t="s">
        <v>695</v>
      </c>
      <c r="J79" s="435" t="s">
        <v>590</v>
      </c>
      <c r="K79" s="435" t="s">
        <v>591</v>
      </c>
      <c r="L79" s="435" t="s">
        <v>592</v>
      </c>
      <c r="M79" s="435" t="s">
        <v>591</v>
      </c>
      <c r="N79" s="435" t="s">
        <v>593</v>
      </c>
      <c r="O79" s="435" t="s">
        <v>188</v>
      </c>
      <c r="P79" s="435" t="s">
        <v>188</v>
      </c>
      <c r="Q79" s="438">
        <v>173674</v>
      </c>
      <c r="R79" s="438">
        <v>0</v>
      </c>
      <c r="S79" s="438">
        <v>5042</v>
      </c>
      <c r="T79" s="438">
        <v>5262379.1500000004</v>
      </c>
      <c r="U79" s="438">
        <v>0</v>
      </c>
      <c r="V79" s="438">
        <v>347867.93</v>
      </c>
      <c r="W79" s="438">
        <v>0</v>
      </c>
      <c r="X79" s="438">
        <v>318117.02</v>
      </c>
      <c r="Y79" s="438">
        <v>283476.5</v>
      </c>
      <c r="Z79" s="438">
        <v>56567.12</v>
      </c>
      <c r="AA79" s="438">
        <v>13370</v>
      </c>
      <c r="AB79" s="438">
        <v>2179.14</v>
      </c>
      <c r="AC79" s="438">
        <v>100881.22</v>
      </c>
      <c r="AD79" s="438">
        <v>0</v>
      </c>
      <c r="AE79" s="438">
        <v>0</v>
      </c>
      <c r="AF79" s="438">
        <v>75836.800000000003</v>
      </c>
      <c r="AG79" s="438">
        <v>62123.82</v>
      </c>
      <c r="AH79" s="438">
        <v>0</v>
      </c>
      <c r="AI79" s="438">
        <v>0</v>
      </c>
      <c r="AJ79" s="438">
        <v>0</v>
      </c>
      <c r="AK79" s="438">
        <v>40918.5</v>
      </c>
      <c r="AL79" s="438">
        <v>0</v>
      </c>
      <c r="AM79" s="438">
        <v>87294.83</v>
      </c>
      <c r="AN79" s="438">
        <v>11200</v>
      </c>
      <c r="AO79" s="438">
        <v>3478138.24</v>
      </c>
      <c r="AP79" s="438">
        <v>0</v>
      </c>
      <c r="AQ79" s="438">
        <v>902519.71</v>
      </c>
      <c r="AR79" s="438">
        <v>83647.490000000005</v>
      </c>
      <c r="AS79" s="438">
        <v>475088</v>
      </c>
      <c r="AT79" s="438">
        <v>0</v>
      </c>
      <c r="AU79" s="438">
        <v>45278.29</v>
      </c>
      <c r="AV79" s="438">
        <v>44486.239999999998</v>
      </c>
      <c r="AW79" s="438">
        <v>9783.4500000000007</v>
      </c>
      <c r="AX79" s="438">
        <v>1045.45</v>
      </c>
      <c r="AY79" s="438">
        <v>0</v>
      </c>
      <c r="AZ79" s="438">
        <v>109912.63</v>
      </c>
      <c r="BA79" s="438">
        <v>8343.27</v>
      </c>
      <c r="BB79" s="438">
        <v>88385.19</v>
      </c>
      <c r="BC79" s="438">
        <v>6016.89</v>
      </c>
      <c r="BD79" s="438">
        <v>133065.32999999999</v>
      </c>
      <c r="BE79" s="438">
        <v>0</v>
      </c>
      <c r="BF79" s="438">
        <v>35090.75</v>
      </c>
      <c r="BG79" s="438">
        <v>153925.44</v>
      </c>
      <c r="BH79" s="438">
        <v>76958.070000000007</v>
      </c>
      <c r="BI79" s="438">
        <v>53793.47</v>
      </c>
      <c r="BJ79" s="438">
        <v>17142.23</v>
      </c>
      <c r="BK79" s="438">
        <v>28167.91</v>
      </c>
      <c r="BL79" s="438">
        <v>0</v>
      </c>
      <c r="BM79" s="438">
        <v>190891.22</v>
      </c>
      <c r="BN79" s="438">
        <v>210861.96</v>
      </c>
      <c r="BO79" s="438">
        <v>164971.6</v>
      </c>
      <c r="BP79" s="438">
        <v>14650.2</v>
      </c>
      <c r="BQ79" s="438">
        <v>0</v>
      </c>
      <c r="BR79" s="438">
        <v>0</v>
      </c>
      <c r="BS79" s="438">
        <v>271000</v>
      </c>
      <c r="BT79" s="438">
        <v>0</v>
      </c>
      <c r="BU79" s="438">
        <v>0</v>
      </c>
      <c r="BV79" s="438">
        <v>49035.89</v>
      </c>
      <c r="BW79" s="438">
        <v>0</v>
      </c>
      <c r="BX79" s="438">
        <v>271000</v>
      </c>
      <c r="BY79" s="438">
        <v>6000</v>
      </c>
      <c r="BZ79" s="438">
        <v>0</v>
      </c>
      <c r="CA79" s="438">
        <v>249253.2</v>
      </c>
      <c r="CB79" s="438">
        <v>7395</v>
      </c>
      <c r="CC79" s="438">
        <v>14751.69</v>
      </c>
      <c r="CD79" s="438">
        <v>14280</v>
      </c>
      <c r="CE79" s="438">
        <v>218443</v>
      </c>
      <c r="CF79" s="438">
        <v>53678</v>
      </c>
      <c r="CG79" s="438">
        <v>0</v>
      </c>
      <c r="CH79" s="438">
        <v>0</v>
      </c>
      <c r="CI79" s="438">
        <v>0</v>
      </c>
      <c r="CJ79" s="111">
        <f t="shared" si="3"/>
        <v>232723</v>
      </c>
      <c r="CK79" s="111">
        <f t="shared" si="4"/>
        <v>53678</v>
      </c>
      <c r="CL79" s="111">
        <f t="shared" si="5"/>
        <v>232723</v>
      </c>
    </row>
    <row r="80" spans="1:90" ht="26.4">
      <c r="A80" s="435">
        <v>302</v>
      </c>
      <c r="B80" s="435">
        <v>4004</v>
      </c>
      <c r="C80" s="435" t="s">
        <v>622</v>
      </c>
      <c r="D80" s="435" t="s">
        <v>594</v>
      </c>
      <c r="E80" s="435"/>
      <c r="F80" s="435" t="s">
        <v>588</v>
      </c>
      <c r="G80" s="435">
        <v>0</v>
      </c>
      <c r="H80" s="435">
        <v>0</v>
      </c>
      <c r="I80" s="435" t="s">
        <v>695</v>
      </c>
      <c r="J80" s="435" t="s">
        <v>590</v>
      </c>
      <c r="K80" s="435" t="s">
        <v>591</v>
      </c>
      <c r="L80" s="435" t="s">
        <v>592</v>
      </c>
      <c r="M80" s="435" t="s">
        <v>591</v>
      </c>
      <c r="N80" s="435" t="s">
        <v>593</v>
      </c>
      <c r="O80" s="435" t="s">
        <v>188</v>
      </c>
      <c r="P80" s="435" t="s">
        <v>188</v>
      </c>
      <c r="Q80" s="438">
        <v>57743</v>
      </c>
      <c r="R80" s="438">
        <v>0</v>
      </c>
      <c r="S80" s="438">
        <v>0</v>
      </c>
      <c r="T80" s="438">
        <v>1870496</v>
      </c>
      <c r="U80" s="438">
        <v>429605</v>
      </c>
      <c r="V80" s="438">
        <v>96434</v>
      </c>
      <c r="W80" s="438">
        <v>0</v>
      </c>
      <c r="X80" s="438">
        <v>17730</v>
      </c>
      <c r="Y80" s="438">
        <v>38134</v>
      </c>
      <c r="Z80" s="438">
        <v>0</v>
      </c>
      <c r="AA80" s="438">
        <v>0</v>
      </c>
      <c r="AB80" s="438">
        <v>0</v>
      </c>
      <c r="AC80" s="438">
        <v>0</v>
      </c>
      <c r="AD80" s="438">
        <v>0</v>
      </c>
      <c r="AE80" s="438">
        <v>0</v>
      </c>
      <c r="AF80" s="438">
        <v>0</v>
      </c>
      <c r="AG80" s="438">
        <v>589112</v>
      </c>
      <c r="AH80" s="438">
        <v>0</v>
      </c>
      <c r="AI80" s="438">
        <v>0</v>
      </c>
      <c r="AJ80" s="438">
        <v>0</v>
      </c>
      <c r="AK80" s="438">
        <v>0</v>
      </c>
      <c r="AL80" s="438">
        <v>8950</v>
      </c>
      <c r="AM80" s="438">
        <v>1400</v>
      </c>
      <c r="AN80" s="438">
        <v>0</v>
      </c>
      <c r="AO80" s="438">
        <v>2038511</v>
      </c>
      <c r="AP80" s="438">
        <v>0</v>
      </c>
      <c r="AQ80" s="438">
        <v>178135</v>
      </c>
      <c r="AR80" s="438">
        <v>49442</v>
      </c>
      <c r="AS80" s="438">
        <v>165629</v>
      </c>
      <c r="AT80" s="438">
        <v>0</v>
      </c>
      <c r="AU80" s="438">
        <v>0</v>
      </c>
      <c r="AV80" s="438">
        <v>5094</v>
      </c>
      <c r="AW80" s="438">
        <v>13937</v>
      </c>
      <c r="AX80" s="438">
        <v>436</v>
      </c>
      <c r="AY80" s="438">
        <v>0</v>
      </c>
      <c r="AZ80" s="438">
        <v>170700</v>
      </c>
      <c r="BA80" s="438">
        <v>0</v>
      </c>
      <c r="BB80" s="438">
        <v>62374</v>
      </c>
      <c r="BC80" s="438">
        <v>4713</v>
      </c>
      <c r="BD80" s="438">
        <v>26316</v>
      </c>
      <c r="BE80" s="438">
        <v>0</v>
      </c>
      <c r="BF80" s="438">
        <v>73342</v>
      </c>
      <c r="BG80" s="438">
        <v>54460</v>
      </c>
      <c r="BH80" s="438">
        <v>7559</v>
      </c>
      <c r="BI80" s="438">
        <v>28161</v>
      </c>
      <c r="BJ80" s="438">
        <v>49468</v>
      </c>
      <c r="BK80" s="438">
        <v>12336</v>
      </c>
      <c r="BL80" s="438">
        <v>1623</v>
      </c>
      <c r="BM80" s="438">
        <v>0</v>
      </c>
      <c r="BN80" s="438">
        <v>0</v>
      </c>
      <c r="BO80" s="438">
        <v>22617</v>
      </c>
      <c r="BP80" s="438">
        <v>57133</v>
      </c>
      <c r="BQ80" s="438">
        <v>0</v>
      </c>
      <c r="BR80" s="438">
        <v>0</v>
      </c>
      <c r="BS80" s="438">
        <v>28106</v>
      </c>
      <c r="BT80" s="438">
        <v>0</v>
      </c>
      <c r="BU80" s="438">
        <v>0</v>
      </c>
      <c r="BV80" s="438">
        <v>0</v>
      </c>
      <c r="BW80" s="438">
        <v>0</v>
      </c>
      <c r="BX80" s="438">
        <v>28106</v>
      </c>
      <c r="BY80" s="438">
        <v>6000</v>
      </c>
      <c r="BZ80" s="438">
        <v>0</v>
      </c>
      <c r="CA80" s="438">
        <v>0</v>
      </c>
      <c r="CB80" s="438">
        <v>0</v>
      </c>
      <c r="CC80" s="438">
        <v>28106</v>
      </c>
      <c r="CD80" s="438">
        <v>0</v>
      </c>
      <c r="CE80" s="438">
        <v>59512</v>
      </c>
      <c r="CF80" s="438">
        <v>0</v>
      </c>
      <c r="CG80" s="438">
        <v>0</v>
      </c>
      <c r="CH80" s="438">
        <v>0</v>
      </c>
      <c r="CI80" s="438">
        <v>0</v>
      </c>
      <c r="CJ80" s="111">
        <f t="shared" si="3"/>
        <v>59512</v>
      </c>
      <c r="CK80" s="111">
        <f t="shared" si="4"/>
        <v>0</v>
      </c>
      <c r="CL80" s="111">
        <f t="shared" si="5"/>
        <v>59512</v>
      </c>
    </row>
    <row r="81" spans="1:90">
      <c r="A81" s="435">
        <v>302</v>
      </c>
      <c r="B81" s="435">
        <v>5201</v>
      </c>
      <c r="C81" s="435" t="s">
        <v>84</v>
      </c>
      <c r="D81" s="435" t="s">
        <v>594</v>
      </c>
      <c r="E81" s="435"/>
      <c r="F81" s="435" t="s">
        <v>588</v>
      </c>
      <c r="G81" s="435">
        <v>0</v>
      </c>
      <c r="H81" s="435">
        <v>0</v>
      </c>
      <c r="I81" s="435" t="s">
        <v>695</v>
      </c>
      <c r="J81" s="435" t="s">
        <v>590</v>
      </c>
      <c r="K81" s="435" t="s">
        <v>591</v>
      </c>
      <c r="L81" s="435" t="s">
        <v>592</v>
      </c>
      <c r="M81" s="435" t="s">
        <v>591</v>
      </c>
      <c r="N81" s="435" t="s">
        <v>593</v>
      </c>
      <c r="O81" s="435" t="s">
        <v>188</v>
      </c>
      <c r="P81" s="435" t="s">
        <v>188</v>
      </c>
      <c r="Q81" s="438">
        <v>279849</v>
      </c>
      <c r="R81" s="438">
        <v>0</v>
      </c>
      <c r="S81" s="438">
        <v>0</v>
      </c>
      <c r="T81" s="438">
        <v>2077197.03</v>
      </c>
      <c r="U81" s="438">
        <v>0</v>
      </c>
      <c r="V81" s="438">
        <v>166434.54</v>
      </c>
      <c r="W81" s="438">
        <v>0</v>
      </c>
      <c r="X81" s="438">
        <v>124650</v>
      </c>
      <c r="Y81" s="438">
        <v>2780</v>
      </c>
      <c r="Z81" s="438">
        <v>15271.28</v>
      </c>
      <c r="AA81" s="438">
        <v>4801.3100000000004</v>
      </c>
      <c r="AB81" s="438">
        <v>48504.83</v>
      </c>
      <c r="AC81" s="438">
        <v>41787</v>
      </c>
      <c r="AD81" s="438">
        <v>0</v>
      </c>
      <c r="AE81" s="438">
        <v>420</v>
      </c>
      <c r="AF81" s="438">
        <v>56798.1</v>
      </c>
      <c r="AG81" s="438">
        <v>24520.38</v>
      </c>
      <c r="AH81" s="438">
        <v>0</v>
      </c>
      <c r="AI81" s="438">
        <v>0</v>
      </c>
      <c r="AJ81" s="438">
        <v>0</v>
      </c>
      <c r="AK81" s="438">
        <v>0</v>
      </c>
      <c r="AL81" s="438">
        <v>0</v>
      </c>
      <c r="AM81" s="438">
        <v>26181.63</v>
      </c>
      <c r="AN81" s="438">
        <v>85294</v>
      </c>
      <c r="AO81" s="438">
        <v>1147208.6299999999</v>
      </c>
      <c r="AP81" s="438">
        <v>1665.52</v>
      </c>
      <c r="AQ81" s="438">
        <v>538620.71</v>
      </c>
      <c r="AR81" s="438">
        <v>71277.84</v>
      </c>
      <c r="AS81" s="438">
        <v>143026.28</v>
      </c>
      <c r="AT81" s="438">
        <v>0</v>
      </c>
      <c r="AU81" s="438">
        <v>39681.919999999998</v>
      </c>
      <c r="AV81" s="438">
        <v>4866.22</v>
      </c>
      <c r="AW81" s="438">
        <v>2456.12</v>
      </c>
      <c r="AX81" s="438">
        <v>687.24</v>
      </c>
      <c r="AY81" s="438">
        <v>0</v>
      </c>
      <c r="AZ81" s="438">
        <v>66128.73</v>
      </c>
      <c r="BA81" s="438">
        <v>32864.42</v>
      </c>
      <c r="BB81" s="438">
        <v>30174.05</v>
      </c>
      <c r="BC81" s="438">
        <v>7739.37</v>
      </c>
      <c r="BD81" s="438">
        <v>60666.58</v>
      </c>
      <c r="BE81" s="438">
        <v>4759.97</v>
      </c>
      <c r="BF81" s="438">
        <v>10829.63</v>
      </c>
      <c r="BG81" s="438">
        <v>118371.06</v>
      </c>
      <c r="BH81" s="438">
        <v>15092.3</v>
      </c>
      <c r="BI81" s="438">
        <v>0</v>
      </c>
      <c r="BJ81" s="438">
        <v>15664.56</v>
      </c>
      <c r="BK81" s="438">
        <v>16579.52</v>
      </c>
      <c r="BL81" s="438">
        <v>9199.73</v>
      </c>
      <c r="BM81" s="438">
        <v>123758.51</v>
      </c>
      <c r="BN81" s="438">
        <v>4860.16</v>
      </c>
      <c r="BO81" s="438">
        <v>91500.5</v>
      </c>
      <c r="BP81" s="438">
        <v>27851.53</v>
      </c>
      <c r="BQ81" s="438">
        <v>0</v>
      </c>
      <c r="BR81" s="438">
        <v>0</v>
      </c>
      <c r="BS81" s="438">
        <v>4651</v>
      </c>
      <c r="BT81" s="438">
        <v>0</v>
      </c>
      <c r="BU81" s="438">
        <v>0</v>
      </c>
      <c r="BV81" s="438">
        <v>26383.11</v>
      </c>
      <c r="BW81" s="438">
        <v>5100</v>
      </c>
      <c r="BX81" s="438">
        <v>4651</v>
      </c>
      <c r="BY81" s="438">
        <v>6000</v>
      </c>
      <c r="BZ81" s="438">
        <v>0</v>
      </c>
      <c r="CA81" s="438">
        <v>18200.11</v>
      </c>
      <c r="CB81" s="438">
        <v>0</v>
      </c>
      <c r="CC81" s="438">
        <v>0</v>
      </c>
      <c r="CD81" s="438">
        <v>50616</v>
      </c>
      <c r="CE81" s="438">
        <v>313691</v>
      </c>
      <c r="CF81" s="438">
        <v>17934</v>
      </c>
      <c r="CG81" s="438">
        <v>0</v>
      </c>
      <c r="CH81" s="438">
        <v>0</v>
      </c>
      <c r="CI81" s="438">
        <v>0</v>
      </c>
      <c r="CJ81" s="111">
        <f t="shared" si="3"/>
        <v>364307</v>
      </c>
      <c r="CK81" s="111">
        <f t="shared" si="4"/>
        <v>17934</v>
      </c>
      <c r="CL81" s="111">
        <f t="shared" si="5"/>
        <v>364307</v>
      </c>
    </row>
    <row r="82" spans="1:90" ht="26.4">
      <c r="A82" s="435">
        <v>302</v>
      </c>
      <c r="B82" s="435">
        <v>5404</v>
      </c>
      <c r="C82" s="435" t="s">
        <v>623</v>
      </c>
      <c r="D82" s="435" t="s">
        <v>594</v>
      </c>
      <c r="E82" s="435"/>
      <c r="F82" s="435" t="s">
        <v>588</v>
      </c>
      <c r="G82" s="435">
        <v>0</v>
      </c>
      <c r="H82" s="435">
        <v>0</v>
      </c>
      <c r="I82" s="435" t="s">
        <v>695</v>
      </c>
      <c r="J82" s="435" t="s">
        <v>590</v>
      </c>
      <c r="K82" s="435" t="s">
        <v>591</v>
      </c>
      <c r="L82" s="435" t="s">
        <v>592</v>
      </c>
      <c r="M82" s="435" t="s">
        <v>591</v>
      </c>
      <c r="N82" s="435" t="s">
        <v>593</v>
      </c>
      <c r="O82" s="435" t="s">
        <v>188</v>
      </c>
      <c r="P82" s="435" t="s">
        <v>188</v>
      </c>
      <c r="Q82" s="438">
        <v>413787</v>
      </c>
      <c r="R82" s="438">
        <v>0</v>
      </c>
      <c r="S82" s="438">
        <v>0</v>
      </c>
      <c r="T82" s="438">
        <v>3792079.24</v>
      </c>
      <c r="U82" s="438">
        <v>1569807.66</v>
      </c>
      <c r="V82" s="438">
        <v>0</v>
      </c>
      <c r="W82" s="438">
        <v>0</v>
      </c>
      <c r="X82" s="438">
        <v>49569.98</v>
      </c>
      <c r="Y82" s="438">
        <v>0</v>
      </c>
      <c r="Z82" s="438">
        <v>0</v>
      </c>
      <c r="AA82" s="438">
        <v>0</v>
      </c>
      <c r="AB82" s="438">
        <v>17735</v>
      </c>
      <c r="AC82" s="438">
        <v>170593.42</v>
      </c>
      <c r="AD82" s="438">
        <v>0</v>
      </c>
      <c r="AE82" s="438">
        <v>24796</v>
      </c>
      <c r="AF82" s="438">
        <v>0</v>
      </c>
      <c r="AG82" s="438">
        <v>8193.16</v>
      </c>
      <c r="AH82" s="438">
        <v>0</v>
      </c>
      <c r="AI82" s="438">
        <v>0</v>
      </c>
      <c r="AJ82" s="438">
        <v>0</v>
      </c>
      <c r="AK82" s="438">
        <v>90724.92</v>
      </c>
      <c r="AL82" s="438">
        <v>0</v>
      </c>
      <c r="AM82" s="438">
        <v>0</v>
      </c>
      <c r="AN82" s="438">
        <v>0</v>
      </c>
      <c r="AO82" s="438">
        <v>3585113.4</v>
      </c>
      <c r="AP82" s="438">
        <v>3925.14</v>
      </c>
      <c r="AQ82" s="438">
        <v>349744.5</v>
      </c>
      <c r="AR82" s="438">
        <v>98301.69</v>
      </c>
      <c r="AS82" s="438">
        <v>406719.5</v>
      </c>
      <c r="AT82" s="438">
        <v>63220.67</v>
      </c>
      <c r="AU82" s="438">
        <v>2930.1</v>
      </c>
      <c r="AV82" s="438">
        <v>47014</v>
      </c>
      <c r="AW82" s="438">
        <v>15767.5</v>
      </c>
      <c r="AX82" s="438">
        <v>856.4</v>
      </c>
      <c r="AY82" s="438">
        <v>0</v>
      </c>
      <c r="AZ82" s="438">
        <v>149910.9</v>
      </c>
      <c r="BA82" s="438">
        <v>9466.7000000000007</v>
      </c>
      <c r="BB82" s="438">
        <v>103896.3</v>
      </c>
      <c r="BC82" s="438">
        <v>23256.68</v>
      </c>
      <c r="BD82" s="438">
        <v>174290.9</v>
      </c>
      <c r="BE82" s="438">
        <v>3010.4</v>
      </c>
      <c r="BF82" s="438">
        <v>41154.9</v>
      </c>
      <c r="BG82" s="438">
        <v>155197.5</v>
      </c>
      <c r="BH82" s="438">
        <v>49763.4</v>
      </c>
      <c r="BI82" s="438">
        <v>30797.1</v>
      </c>
      <c r="BJ82" s="438">
        <v>47613.2</v>
      </c>
      <c r="BK82" s="438">
        <v>28077.4</v>
      </c>
      <c r="BL82" s="438">
        <v>5000</v>
      </c>
      <c r="BM82" s="438">
        <v>120599.2</v>
      </c>
      <c r="BN82" s="438">
        <v>9814.9</v>
      </c>
      <c r="BO82" s="438">
        <v>93639</v>
      </c>
      <c r="BP82" s="438">
        <v>139308</v>
      </c>
      <c r="BQ82" s="438">
        <v>0</v>
      </c>
      <c r="BR82" s="438">
        <v>0</v>
      </c>
      <c r="BS82" s="438">
        <v>1468</v>
      </c>
      <c r="BT82" s="438">
        <v>0</v>
      </c>
      <c r="BU82" s="438">
        <v>0</v>
      </c>
      <c r="BV82" s="438">
        <v>0</v>
      </c>
      <c r="BW82" s="438">
        <v>0</v>
      </c>
      <c r="BX82" s="438">
        <v>0</v>
      </c>
      <c r="BY82" s="438">
        <v>6000</v>
      </c>
      <c r="BZ82" s="438">
        <v>0</v>
      </c>
      <c r="CA82" s="438">
        <v>0</v>
      </c>
      <c r="CB82" s="438">
        <v>0</v>
      </c>
      <c r="CC82" s="438">
        <v>0</v>
      </c>
      <c r="CD82" s="438">
        <v>377429</v>
      </c>
      <c r="CE82" s="438">
        <v>0</v>
      </c>
      <c r="CF82" s="438">
        <v>0</v>
      </c>
      <c r="CG82" s="438">
        <v>0</v>
      </c>
      <c r="CH82" s="438">
        <v>0</v>
      </c>
      <c r="CI82" s="438">
        <v>0</v>
      </c>
      <c r="CJ82" s="111">
        <f t="shared" ref="CJ82:CJ90" si="6">CD82+CE82+CH82</f>
        <v>377429</v>
      </c>
      <c r="CK82" s="111">
        <f t="shared" ref="CK82:CK90" si="7">CF82+CG82+CI82</f>
        <v>0</v>
      </c>
      <c r="CL82" s="111">
        <f t="shared" si="5"/>
        <v>377429</v>
      </c>
    </row>
    <row r="83" spans="1:90" ht="26.4">
      <c r="A83" s="435">
        <v>302</v>
      </c>
      <c r="B83" s="435">
        <v>5405</v>
      </c>
      <c r="C83" s="435" t="s">
        <v>624</v>
      </c>
      <c r="D83" s="435" t="s">
        <v>594</v>
      </c>
      <c r="E83" s="435"/>
      <c r="F83" s="435" t="s">
        <v>588</v>
      </c>
      <c r="G83" s="435">
        <v>0</v>
      </c>
      <c r="H83" s="435">
        <v>0</v>
      </c>
      <c r="I83" s="435" t="s">
        <v>695</v>
      </c>
      <c r="J83" s="435" t="s">
        <v>590</v>
      </c>
      <c r="K83" s="435" t="s">
        <v>591</v>
      </c>
      <c r="L83" s="435" t="s">
        <v>592</v>
      </c>
      <c r="M83" s="435" t="s">
        <v>591</v>
      </c>
      <c r="N83" s="435" t="s">
        <v>593</v>
      </c>
      <c r="O83" s="435" t="s">
        <v>188</v>
      </c>
      <c r="P83" s="435" t="s">
        <v>188</v>
      </c>
      <c r="Q83" s="438">
        <v>827317</v>
      </c>
      <c r="R83" s="438">
        <v>-4590</v>
      </c>
      <c r="S83" s="438">
        <v>0</v>
      </c>
      <c r="T83" s="438">
        <v>5607015.5700000003</v>
      </c>
      <c r="U83" s="438">
        <v>1738417.73</v>
      </c>
      <c r="V83" s="438">
        <v>195132.15</v>
      </c>
      <c r="W83" s="438">
        <v>0</v>
      </c>
      <c r="X83" s="438">
        <v>133898.03</v>
      </c>
      <c r="Y83" s="438">
        <v>13400</v>
      </c>
      <c r="Z83" s="438">
        <v>4880</v>
      </c>
      <c r="AA83" s="438">
        <v>1000.75</v>
      </c>
      <c r="AB83" s="438">
        <v>13127.72</v>
      </c>
      <c r="AC83" s="438">
        <v>387586.2</v>
      </c>
      <c r="AD83" s="438">
        <v>0</v>
      </c>
      <c r="AE83" s="438">
        <v>0</v>
      </c>
      <c r="AF83" s="438">
        <v>108971.09</v>
      </c>
      <c r="AG83" s="438">
        <v>0</v>
      </c>
      <c r="AH83" s="438">
        <v>0</v>
      </c>
      <c r="AI83" s="438">
        <v>0</v>
      </c>
      <c r="AJ83" s="438">
        <v>0</v>
      </c>
      <c r="AK83" s="438">
        <v>0</v>
      </c>
      <c r="AL83" s="438">
        <v>1799.14</v>
      </c>
      <c r="AM83" s="438">
        <v>59759.88</v>
      </c>
      <c r="AN83" s="438">
        <v>0</v>
      </c>
      <c r="AO83" s="438">
        <v>4790931.12</v>
      </c>
      <c r="AP83" s="438">
        <v>769.57</v>
      </c>
      <c r="AQ83" s="438">
        <v>715959.7</v>
      </c>
      <c r="AR83" s="438">
        <v>118477.78</v>
      </c>
      <c r="AS83" s="438">
        <v>637176.34</v>
      </c>
      <c r="AT83" s="438">
        <v>153515</v>
      </c>
      <c r="AU83" s="438">
        <v>0</v>
      </c>
      <c r="AV83" s="438">
        <v>55268.81</v>
      </c>
      <c r="AW83" s="438">
        <v>22060.67</v>
      </c>
      <c r="AX83" s="438">
        <v>1289.05</v>
      </c>
      <c r="AY83" s="438">
        <v>0</v>
      </c>
      <c r="AZ83" s="438">
        <v>79453.48</v>
      </c>
      <c r="BA83" s="438">
        <v>45549.81</v>
      </c>
      <c r="BB83" s="438">
        <v>117439.67</v>
      </c>
      <c r="BC83" s="438">
        <v>1690.56</v>
      </c>
      <c r="BD83" s="438">
        <v>152329.94</v>
      </c>
      <c r="BE83" s="438">
        <v>24064</v>
      </c>
      <c r="BF83" s="438">
        <v>45656.480000000003</v>
      </c>
      <c r="BG83" s="438">
        <v>264015.86</v>
      </c>
      <c r="BH83" s="438">
        <v>46342.59</v>
      </c>
      <c r="BI83" s="438">
        <v>135380.51</v>
      </c>
      <c r="BJ83" s="438">
        <v>39910.81</v>
      </c>
      <c r="BK83" s="438">
        <v>63356.43</v>
      </c>
      <c r="BL83" s="438">
        <v>0</v>
      </c>
      <c r="BM83" s="438">
        <v>280228.23</v>
      </c>
      <c r="BN83" s="438">
        <v>68022.759999999995</v>
      </c>
      <c r="BO83" s="438">
        <v>147735.9</v>
      </c>
      <c r="BP83" s="438">
        <v>62009.63</v>
      </c>
      <c r="BQ83" s="438">
        <v>0</v>
      </c>
      <c r="BR83" s="438">
        <v>0</v>
      </c>
      <c r="BS83" s="438">
        <v>61734.559999999998</v>
      </c>
      <c r="BT83" s="438">
        <v>0</v>
      </c>
      <c r="BU83" s="438">
        <v>0</v>
      </c>
      <c r="BV83" s="438">
        <v>0</v>
      </c>
      <c r="BW83" s="438">
        <v>0</v>
      </c>
      <c r="BX83" s="438">
        <v>0</v>
      </c>
      <c r="BY83" s="438">
        <v>6000</v>
      </c>
      <c r="BZ83" s="438">
        <v>0</v>
      </c>
      <c r="CA83" s="438">
        <v>0</v>
      </c>
      <c r="CB83" s="438">
        <v>0</v>
      </c>
      <c r="CC83" s="438">
        <v>0</v>
      </c>
      <c r="CD83" s="438">
        <v>14080</v>
      </c>
      <c r="CE83" s="438">
        <v>947856</v>
      </c>
      <c r="CF83" s="438">
        <v>0</v>
      </c>
      <c r="CG83" s="438">
        <v>0</v>
      </c>
      <c r="CH83" s="438">
        <v>-4590</v>
      </c>
      <c r="CI83" s="438">
        <v>0</v>
      </c>
      <c r="CJ83" s="111">
        <f t="shared" si="6"/>
        <v>957346</v>
      </c>
      <c r="CK83" s="111">
        <f t="shared" si="7"/>
        <v>0</v>
      </c>
      <c r="CL83" s="111">
        <f t="shared" si="5"/>
        <v>961936</v>
      </c>
    </row>
    <row r="84" spans="1:90" ht="26.4">
      <c r="A84" s="435">
        <v>302</v>
      </c>
      <c r="B84" s="435">
        <v>5407</v>
      </c>
      <c r="C84" s="435" t="s">
        <v>625</v>
      </c>
      <c r="D84" s="435" t="s">
        <v>594</v>
      </c>
      <c r="E84" s="435"/>
      <c r="F84" s="435" t="s">
        <v>588</v>
      </c>
      <c r="G84" s="435">
        <v>0</v>
      </c>
      <c r="H84" s="435">
        <v>0</v>
      </c>
      <c r="I84" s="435" t="s">
        <v>695</v>
      </c>
      <c r="J84" s="435" t="s">
        <v>590</v>
      </c>
      <c r="K84" s="435" t="s">
        <v>591</v>
      </c>
      <c r="L84" s="435" t="s">
        <v>592</v>
      </c>
      <c r="M84" s="435" t="s">
        <v>591</v>
      </c>
      <c r="N84" s="435" t="s">
        <v>593</v>
      </c>
      <c r="O84" s="435" t="s">
        <v>188</v>
      </c>
      <c r="P84" s="435" t="s">
        <v>188</v>
      </c>
      <c r="Q84" s="438">
        <v>275097</v>
      </c>
      <c r="R84" s="438">
        <v>0</v>
      </c>
      <c r="S84" s="438">
        <v>0</v>
      </c>
      <c r="T84" s="438">
        <v>7394254.8899999997</v>
      </c>
      <c r="U84" s="438">
        <v>1126343.6100000001</v>
      </c>
      <c r="V84" s="438">
        <v>307242.87</v>
      </c>
      <c r="W84" s="438">
        <v>0</v>
      </c>
      <c r="X84" s="438">
        <v>270770</v>
      </c>
      <c r="Y84" s="438">
        <v>0</v>
      </c>
      <c r="Z84" s="438">
        <v>0</v>
      </c>
      <c r="AA84" s="438">
        <v>11481.23</v>
      </c>
      <c r="AB84" s="438">
        <v>0</v>
      </c>
      <c r="AC84" s="438">
        <v>0</v>
      </c>
      <c r="AD84" s="438">
        <v>0</v>
      </c>
      <c r="AE84" s="438">
        <v>0</v>
      </c>
      <c r="AF84" s="438">
        <v>68725.119999999995</v>
      </c>
      <c r="AG84" s="438">
        <v>234292.21</v>
      </c>
      <c r="AH84" s="438">
        <v>0</v>
      </c>
      <c r="AI84" s="438">
        <v>0</v>
      </c>
      <c r="AJ84" s="438">
        <v>0</v>
      </c>
      <c r="AK84" s="438">
        <v>31834.5</v>
      </c>
      <c r="AL84" s="438">
        <v>32546.16</v>
      </c>
      <c r="AM84" s="438">
        <v>0</v>
      </c>
      <c r="AN84" s="438">
        <v>41963.25</v>
      </c>
      <c r="AO84" s="438">
        <v>4964049.3499999996</v>
      </c>
      <c r="AP84" s="438">
        <v>0</v>
      </c>
      <c r="AQ84" s="438">
        <v>952998.06</v>
      </c>
      <c r="AR84" s="438">
        <v>141403.79999999999</v>
      </c>
      <c r="AS84" s="438">
        <v>491548.61</v>
      </c>
      <c r="AT84" s="438">
        <v>0</v>
      </c>
      <c r="AU84" s="438">
        <v>58131.3</v>
      </c>
      <c r="AV84" s="438">
        <v>143976.54999999999</v>
      </c>
      <c r="AW84" s="438">
        <v>19180.2</v>
      </c>
      <c r="AX84" s="438">
        <v>1587.39</v>
      </c>
      <c r="AY84" s="438">
        <v>4881.6400000000003</v>
      </c>
      <c r="AZ84" s="438">
        <v>96932.15</v>
      </c>
      <c r="BA84" s="438">
        <v>7608.84</v>
      </c>
      <c r="BB84" s="438">
        <v>168865.24</v>
      </c>
      <c r="BC84" s="438">
        <v>12630.44</v>
      </c>
      <c r="BD84" s="438">
        <v>198951.96</v>
      </c>
      <c r="BE84" s="438">
        <v>35072</v>
      </c>
      <c r="BF84" s="438">
        <v>64014.69</v>
      </c>
      <c r="BG84" s="438">
        <v>191000.21</v>
      </c>
      <c r="BH84" s="438">
        <v>73496.09</v>
      </c>
      <c r="BI84" s="438">
        <v>298434.3</v>
      </c>
      <c r="BJ84" s="438">
        <v>308174.61</v>
      </c>
      <c r="BK84" s="438">
        <v>54143.76</v>
      </c>
      <c r="BL84" s="438">
        <v>0</v>
      </c>
      <c r="BM84" s="438">
        <v>97583.66</v>
      </c>
      <c r="BN84" s="438">
        <v>195477.72</v>
      </c>
      <c r="BO84" s="438">
        <v>378127</v>
      </c>
      <c r="BP84" s="438">
        <v>112228.27</v>
      </c>
      <c r="BQ84" s="438">
        <v>0</v>
      </c>
      <c r="BR84" s="438">
        <v>0</v>
      </c>
      <c r="BS84" s="438">
        <v>0</v>
      </c>
      <c r="BT84" s="438">
        <v>0</v>
      </c>
      <c r="BU84" s="438">
        <v>0</v>
      </c>
      <c r="BV84" s="438">
        <v>0</v>
      </c>
      <c r="BW84" s="438">
        <v>0</v>
      </c>
      <c r="BX84" s="438">
        <v>0</v>
      </c>
      <c r="BY84" s="438">
        <v>6000</v>
      </c>
      <c r="BZ84" s="438">
        <v>0</v>
      </c>
      <c r="CA84" s="438">
        <v>0</v>
      </c>
      <c r="CB84" s="438">
        <v>0</v>
      </c>
      <c r="CC84" s="438">
        <v>0</v>
      </c>
      <c r="CD84" s="438">
        <v>0</v>
      </c>
      <c r="CE84" s="438">
        <v>724053</v>
      </c>
      <c r="CF84" s="438">
        <v>0</v>
      </c>
      <c r="CG84" s="438">
        <v>0</v>
      </c>
      <c r="CH84" s="438">
        <v>0</v>
      </c>
      <c r="CI84" s="438">
        <v>0</v>
      </c>
      <c r="CJ84" s="111">
        <f t="shared" si="6"/>
        <v>724053</v>
      </c>
      <c r="CK84" s="111">
        <f t="shared" si="7"/>
        <v>0</v>
      </c>
      <c r="CL84" s="111">
        <f t="shared" si="5"/>
        <v>724053</v>
      </c>
    </row>
    <row r="85" spans="1:90">
      <c r="A85" s="435">
        <v>302</v>
      </c>
      <c r="B85" s="435">
        <v>5427</v>
      </c>
      <c r="C85" s="435" t="s">
        <v>129</v>
      </c>
      <c r="D85" s="435" t="s">
        <v>594</v>
      </c>
      <c r="E85" s="435"/>
      <c r="F85" s="435" t="s">
        <v>588</v>
      </c>
      <c r="G85" s="435">
        <v>0</v>
      </c>
      <c r="H85" s="435">
        <v>1</v>
      </c>
      <c r="I85" s="435" t="s">
        <v>695</v>
      </c>
      <c r="J85" s="435" t="s">
        <v>590</v>
      </c>
      <c r="K85" s="435" t="s">
        <v>591</v>
      </c>
      <c r="L85" s="435" t="s">
        <v>592</v>
      </c>
      <c r="M85" s="435" t="s">
        <v>591</v>
      </c>
      <c r="N85" s="435" t="s">
        <v>593</v>
      </c>
      <c r="O85" s="435" t="s">
        <v>188</v>
      </c>
      <c r="P85" s="435" t="s">
        <v>188</v>
      </c>
      <c r="Q85" s="438">
        <v>26007</v>
      </c>
      <c r="R85" s="438">
        <v>0</v>
      </c>
      <c r="S85" s="438">
        <v>0</v>
      </c>
      <c r="T85" s="438">
        <v>7271885.8200000003</v>
      </c>
      <c r="U85" s="438">
        <v>1751774.7</v>
      </c>
      <c r="V85" s="438">
        <v>1460721.79</v>
      </c>
      <c r="W85" s="438">
        <v>0</v>
      </c>
      <c r="X85" s="438">
        <v>66875.039999999994</v>
      </c>
      <c r="Y85" s="438">
        <v>173000.43</v>
      </c>
      <c r="Z85" s="438">
        <v>0</v>
      </c>
      <c r="AA85" s="438">
        <v>16835</v>
      </c>
      <c r="AB85" s="438">
        <v>0</v>
      </c>
      <c r="AC85" s="438">
        <v>50750</v>
      </c>
      <c r="AD85" s="438">
        <v>8810.7999999999993</v>
      </c>
      <c r="AE85" s="438">
        <v>0</v>
      </c>
      <c r="AF85" s="438">
        <v>1070702.93</v>
      </c>
      <c r="AG85" s="438">
        <v>2063749.69</v>
      </c>
      <c r="AH85" s="438">
        <v>0</v>
      </c>
      <c r="AI85" s="438">
        <v>0</v>
      </c>
      <c r="AJ85" s="438">
        <v>0</v>
      </c>
      <c r="AK85" s="438">
        <v>0</v>
      </c>
      <c r="AL85" s="438">
        <v>0</v>
      </c>
      <c r="AM85" s="438">
        <v>0</v>
      </c>
      <c r="AN85" s="438">
        <v>43367.199999999997</v>
      </c>
      <c r="AO85" s="438">
        <v>7370268.4699999997</v>
      </c>
      <c r="AP85" s="438">
        <v>48097.18</v>
      </c>
      <c r="AQ85" s="438">
        <v>2046045.45</v>
      </c>
      <c r="AR85" s="438">
        <v>177689.76</v>
      </c>
      <c r="AS85" s="438">
        <v>928324.81</v>
      </c>
      <c r="AT85" s="438">
        <v>0</v>
      </c>
      <c r="AU85" s="438">
        <v>141782.19</v>
      </c>
      <c r="AV85" s="438">
        <v>112815.19</v>
      </c>
      <c r="AW85" s="438">
        <v>29984.97</v>
      </c>
      <c r="AX85" s="438">
        <v>1436.95</v>
      </c>
      <c r="AY85" s="438">
        <v>0</v>
      </c>
      <c r="AZ85" s="438">
        <v>269087.42</v>
      </c>
      <c r="BA85" s="438">
        <v>20353.04</v>
      </c>
      <c r="BB85" s="438">
        <v>168391.21</v>
      </c>
      <c r="BC85" s="438">
        <v>23598.87</v>
      </c>
      <c r="BD85" s="438">
        <v>193082.23</v>
      </c>
      <c r="BE85" s="438">
        <v>0</v>
      </c>
      <c r="BF85" s="438">
        <v>167978.22</v>
      </c>
      <c r="BG85" s="438">
        <v>366187.83</v>
      </c>
      <c r="BH85" s="438">
        <v>137876.23000000001</v>
      </c>
      <c r="BI85" s="438">
        <v>193391.06</v>
      </c>
      <c r="BJ85" s="438">
        <v>50916.7</v>
      </c>
      <c r="BK85" s="438">
        <v>73261.81</v>
      </c>
      <c r="BL85" s="438">
        <v>0</v>
      </c>
      <c r="BM85" s="438">
        <v>33598.82</v>
      </c>
      <c r="BN85" s="438">
        <v>68936.179999999993</v>
      </c>
      <c r="BO85" s="438">
        <v>570660.54</v>
      </c>
      <c r="BP85" s="438">
        <v>802779.27</v>
      </c>
      <c r="BQ85" s="438">
        <v>0</v>
      </c>
      <c r="BR85" s="438">
        <v>0</v>
      </c>
      <c r="BS85" s="438">
        <v>0</v>
      </c>
      <c r="BT85" s="438">
        <v>0</v>
      </c>
      <c r="BU85" s="438">
        <v>0</v>
      </c>
      <c r="BV85" s="438">
        <v>0</v>
      </c>
      <c r="BW85" s="438">
        <v>120868.2</v>
      </c>
      <c r="BX85" s="438">
        <v>0</v>
      </c>
      <c r="BY85" s="438">
        <v>6000</v>
      </c>
      <c r="BZ85" s="438">
        <v>0</v>
      </c>
      <c r="CA85" s="438">
        <v>0</v>
      </c>
      <c r="CB85" s="438">
        <v>0</v>
      </c>
      <c r="CC85" s="438">
        <v>120868.2</v>
      </c>
      <c r="CD85" s="438">
        <v>0</v>
      </c>
      <c r="CE85" s="438">
        <v>7936</v>
      </c>
      <c r="CF85" s="438">
        <v>0</v>
      </c>
      <c r="CG85" s="438">
        <v>0</v>
      </c>
      <c r="CH85" s="438">
        <v>0</v>
      </c>
      <c r="CI85" s="438">
        <v>0</v>
      </c>
      <c r="CJ85" s="111">
        <f t="shared" si="6"/>
        <v>7936</v>
      </c>
      <c r="CK85" s="111">
        <f t="shared" si="7"/>
        <v>0</v>
      </c>
      <c r="CL85" s="111">
        <f t="shared" si="5"/>
        <v>7936</v>
      </c>
    </row>
    <row r="86" spans="1:90" ht="26.4">
      <c r="A86" s="435">
        <v>302</v>
      </c>
      <c r="B86" s="435">
        <v>5948</v>
      </c>
      <c r="C86" s="435" t="s">
        <v>626</v>
      </c>
      <c r="D86" s="435" t="s">
        <v>594</v>
      </c>
      <c r="E86" s="435"/>
      <c r="F86" s="435" t="s">
        <v>588</v>
      </c>
      <c r="G86" s="435">
        <v>0</v>
      </c>
      <c r="H86" s="435">
        <v>1</v>
      </c>
      <c r="I86" s="435" t="s">
        <v>695</v>
      </c>
      <c r="J86" s="435" t="s">
        <v>590</v>
      </c>
      <c r="K86" s="435" t="s">
        <v>591</v>
      </c>
      <c r="L86" s="435" t="s">
        <v>592</v>
      </c>
      <c r="M86" s="435" t="s">
        <v>591</v>
      </c>
      <c r="N86" s="435" t="s">
        <v>593</v>
      </c>
      <c r="O86" s="435" t="s">
        <v>188</v>
      </c>
      <c r="P86" s="435" t="s">
        <v>188</v>
      </c>
      <c r="Q86" s="438">
        <v>-92635</v>
      </c>
      <c r="R86" s="438">
        <v>0</v>
      </c>
      <c r="S86" s="438">
        <v>0</v>
      </c>
      <c r="T86" s="438">
        <v>979000.51</v>
      </c>
      <c r="U86" s="438">
        <v>0</v>
      </c>
      <c r="V86" s="438">
        <v>16755.23</v>
      </c>
      <c r="W86" s="438">
        <v>0</v>
      </c>
      <c r="X86" s="438">
        <v>9288.77</v>
      </c>
      <c r="Y86" s="438">
        <v>54409.38</v>
      </c>
      <c r="Z86" s="438">
        <v>0</v>
      </c>
      <c r="AA86" s="438">
        <v>83159.210000000006</v>
      </c>
      <c r="AB86" s="438">
        <v>0</v>
      </c>
      <c r="AC86" s="438">
        <v>404</v>
      </c>
      <c r="AD86" s="438">
        <v>5000</v>
      </c>
      <c r="AE86" s="438">
        <v>2859.97</v>
      </c>
      <c r="AF86" s="438">
        <v>19825.849999999999</v>
      </c>
      <c r="AG86" s="438">
        <v>310366.90999999997</v>
      </c>
      <c r="AH86" s="438">
        <v>0</v>
      </c>
      <c r="AI86" s="438">
        <v>0</v>
      </c>
      <c r="AJ86" s="438">
        <v>0</v>
      </c>
      <c r="AK86" s="438">
        <v>63095.22</v>
      </c>
      <c r="AL86" s="438">
        <v>0</v>
      </c>
      <c r="AM86" s="438">
        <v>0</v>
      </c>
      <c r="AN86" s="438">
        <v>0</v>
      </c>
      <c r="AO86" s="438">
        <v>745554.29</v>
      </c>
      <c r="AP86" s="438">
        <v>0</v>
      </c>
      <c r="AQ86" s="438">
        <v>237229.16</v>
      </c>
      <c r="AR86" s="438">
        <v>13063.52</v>
      </c>
      <c r="AS86" s="438">
        <v>78030.31</v>
      </c>
      <c r="AT86" s="438">
        <v>0</v>
      </c>
      <c r="AU86" s="438">
        <v>7868.49</v>
      </c>
      <c r="AV86" s="438">
        <v>440.03</v>
      </c>
      <c r="AW86" s="438">
        <v>13075.26</v>
      </c>
      <c r="AX86" s="438">
        <v>424.77</v>
      </c>
      <c r="AY86" s="438">
        <v>8794.94</v>
      </c>
      <c r="AZ86" s="438">
        <v>18857.46</v>
      </c>
      <c r="BA86" s="438">
        <v>649.97</v>
      </c>
      <c r="BB86" s="438">
        <v>30071.1</v>
      </c>
      <c r="BC86" s="438">
        <v>6886.69</v>
      </c>
      <c r="BD86" s="438">
        <v>33504.99</v>
      </c>
      <c r="BE86" s="438">
        <v>17543.93</v>
      </c>
      <c r="BF86" s="438">
        <v>65563.64</v>
      </c>
      <c r="BG86" s="438">
        <v>72692.27</v>
      </c>
      <c r="BH86" s="438">
        <v>21313.56</v>
      </c>
      <c r="BI86" s="438">
        <v>0</v>
      </c>
      <c r="BJ86" s="438">
        <v>22752.58</v>
      </c>
      <c r="BK86" s="438">
        <v>4682.45</v>
      </c>
      <c r="BL86" s="438">
        <v>3372.87</v>
      </c>
      <c r="BM86" s="438">
        <v>40461.129999999997</v>
      </c>
      <c r="BN86" s="438">
        <v>0</v>
      </c>
      <c r="BO86" s="438">
        <v>14805.5</v>
      </c>
      <c r="BP86" s="438">
        <v>46341.14</v>
      </c>
      <c r="BQ86" s="438">
        <v>0</v>
      </c>
      <c r="BR86" s="438">
        <v>0</v>
      </c>
      <c r="BS86" s="438">
        <v>0</v>
      </c>
      <c r="BT86" s="438">
        <v>0</v>
      </c>
      <c r="BU86" s="438">
        <v>0</v>
      </c>
      <c r="BV86" s="438">
        <v>0</v>
      </c>
      <c r="BW86" s="438">
        <v>0</v>
      </c>
      <c r="BX86" s="438">
        <v>0</v>
      </c>
      <c r="BY86" s="438">
        <v>6000</v>
      </c>
      <c r="BZ86" s="438">
        <v>0</v>
      </c>
      <c r="CA86" s="438">
        <v>0</v>
      </c>
      <c r="CB86" s="438">
        <v>0</v>
      </c>
      <c r="CC86" s="438">
        <v>0</v>
      </c>
      <c r="CD86" s="438">
        <v>0</v>
      </c>
      <c r="CE86" s="438">
        <v>-52450</v>
      </c>
      <c r="CF86" s="438">
        <v>0</v>
      </c>
      <c r="CG86" s="438">
        <v>0</v>
      </c>
      <c r="CH86" s="438">
        <v>0</v>
      </c>
      <c r="CI86" s="438">
        <v>0</v>
      </c>
      <c r="CJ86" s="111">
        <f t="shared" si="6"/>
        <v>-52450</v>
      </c>
      <c r="CK86" s="111">
        <f t="shared" si="7"/>
        <v>0</v>
      </c>
      <c r="CL86" s="111">
        <f t="shared" si="5"/>
        <v>-52450</v>
      </c>
    </row>
    <row r="87" spans="1:90" ht="26.4">
      <c r="A87" s="435">
        <v>302</v>
      </c>
      <c r="B87" s="435">
        <v>5949</v>
      </c>
      <c r="C87" s="435" t="s">
        <v>627</v>
      </c>
      <c r="D87" s="435" t="s">
        <v>594</v>
      </c>
      <c r="E87" s="435"/>
      <c r="F87" s="435" t="s">
        <v>588</v>
      </c>
      <c r="G87" s="435">
        <v>0</v>
      </c>
      <c r="H87" s="435">
        <v>1</v>
      </c>
      <c r="I87" s="435" t="s">
        <v>695</v>
      </c>
      <c r="J87" s="435" t="s">
        <v>590</v>
      </c>
      <c r="K87" s="435" t="s">
        <v>591</v>
      </c>
      <c r="L87" s="435" t="s">
        <v>592</v>
      </c>
      <c r="M87" s="435" t="s">
        <v>591</v>
      </c>
      <c r="N87" s="435" t="s">
        <v>593</v>
      </c>
      <c r="O87" s="435" t="s">
        <v>188</v>
      </c>
      <c r="P87" s="435" t="s">
        <v>188</v>
      </c>
      <c r="Q87" s="438">
        <v>-2167</v>
      </c>
      <c r="R87" s="438">
        <v>0</v>
      </c>
      <c r="S87" s="438">
        <v>0</v>
      </c>
      <c r="T87" s="438">
        <v>1782448.51</v>
      </c>
      <c r="U87" s="438">
        <v>0</v>
      </c>
      <c r="V87" s="438">
        <v>32296.04</v>
      </c>
      <c r="W87" s="438">
        <v>0</v>
      </c>
      <c r="X87" s="438">
        <v>15234.97</v>
      </c>
      <c r="Y87" s="438">
        <v>0</v>
      </c>
      <c r="Z87" s="438">
        <v>5814.21</v>
      </c>
      <c r="AA87" s="438">
        <v>0</v>
      </c>
      <c r="AB87" s="438">
        <v>1981</v>
      </c>
      <c r="AC87" s="438">
        <v>30513.5</v>
      </c>
      <c r="AD87" s="438">
        <v>0</v>
      </c>
      <c r="AE87" s="438">
        <v>16712.46</v>
      </c>
      <c r="AF87" s="438">
        <v>24112.84</v>
      </c>
      <c r="AG87" s="438">
        <v>1394195.43</v>
      </c>
      <c r="AH87" s="438">
        <v>0</v>
      </c>
      <c r="AI87" s="438">
        <v>0</v>
      </c>
      <c r="AJ87" s="438">
        <v>0</v>
      </c>
      <c r="AK87" s="438">
        <v>0</v>
      </c>
      <c r="AL87" s="438">
        <v>0</v>
      </c>
      <c r="AM87" s="438">
        <v>4213.2299999999996</v>
      </c>
      <c r="AN87" s="438">
        <v>81072</v>
      </c>
      <c r="AO87" s="438">
        <v>1220316.2</v>
      </c>
      <c r="AP87" s="438">
        <v>0</v>
      </c>
      <c r="AQ87" s="438">
        <v>1187766.6100000001</v>
      </c>
      <c r="AR87" s="438">
        <v>58936.03</v>
      </c>
      <c r="AS87" s="438">
        <v>109369.33</v>
      </c>
      <c r="AT87" s="438">
        <v>0</v>
      </c>
      <c r="AU87" s="438">
        <v>14227.07</v>
      </c>
      <c r="AV87" s="438">
        <v>77497.919999999998</v>
      </c>
      <c r="AW87" s="438">
        <v>27023.93</v>
      </c>
      <c r="AX87" s="438">
        <v>595.94000000000005</v>
      </c>
      <c r="AY87" s="438">
        <v>0</v>
      </c>
      <c r="AZ87" s="438">
        <v>29024.38</v>
      </c>
      <c r="BA87" s="438">
        <v>0</v>
      </c>
      <c r="BB87" s="438">
        <v>68212.25</v>
      </c>
      <c r="BC87" s="438">
        <v>3007.42</v>
      </c>
      <c r="BD87" s="438">
        <v>45448.93</v>
      </c>
      <c r="BE87" s="438">
        <v>31488</v>
      </c>
      <c r="BF87" s="438">
        <v>11134.57</v>
      </c>
      <c r="BG87" s="438">
        <v>133326.67000000001</v>
      </c>
      <c r="BH87" s="438">
        <v>19201.59</v>
      </c>
      <c r="BI87" s="438">
        <v>0</v>
      </c>
      <c r="BJ87" s="438">
        <v>9652.0499999999993</v>
      </c>
      <c r="BK87" s="438">
        <v>24632.66</v>
      </c>
      <c r="BL87" s="438">
        <v>3471</v>
      </c>
      <c r="BM87" s="438">
        <v>119200.13</v>
      </c>
      <c r="BN87" s="438">
        <v>38965</v>
      </c>
      <c r="BO87" s="438">
        <v>34975.54</v>
      </c>
      <c r="BP87" s="438">
        <v>152281.97</v>
      </c>
      <c r="BQ87" s="438">
        <v>0</v>
      </c>
      <c r="BR87" s="438">
        <v>0</v>
      </c>
      <c r="BS87" s="438">
        <v>0</v>
      </c>
      <c r="BT87" s="438">
        <v>0</v>
      </c>
      <c r="BU87" s="438">
        <v>0</v>
      </c>
      <c r="BV87" s="438">
        <v>0</v>
      </c>
      <c r="BW87" s="438">
        <v>0</v>
      </c>
      <c r="BX87" s="438">
        <v>0</v>
      </c>
      <c r="BY87" s="438">
        <v>6000</v>
      </c>
      <c r="BZ87" s="438">
        <v>0</v>
      </c>
      <c r="CA87" s="438">
        <v>0</v>
      </c>
      <c r="CB87" s="438">
        <v>0</v>
      </c>
      <c r="CC87" s="438">
        <v>0</v>
      </c>
      <c r="CD87" s="438">
        <v>0</v>
      </c>
      <c r="CE87" s="438">
        <v>-33328</v>
      </c>
      <c r="CF87" s="438">
        <v>0</v>
      </c>
      <c r="CG87" s="438">
        <v>0</v>
      </c>
      <c r="CH87" s="438">
        <v>0</v>
      </c>
      <c r="CI87" s="438">
        <v>0</v>
      </c>
      <c r="CJ87" s="111">
        <f t="shared" si="6"/>
        <v>-33328</v>
      </c>
      <c r="CK87" s="111">
        <f t="shared" si="7"/>
        <v>0</v>
      </c>
      <c r="CL87" s="111">
        <f t="shared" si="5"/>
        <v>-33328</v>
      </c>
    </row>
    <row r="88" spans="1:90" ht="26.4">
      <c r="A88" s="435">
        <v>302</v>
      </c>
      <c r="B88" s="435">
        <v>7005</v>
      </c>
      <c r="C88" s="435" t="s">
        <v>125</v>
      </c>
      <c r="D88" s="435" t="s">
        <v>594</v>
      </c>
      <c r="E88" s="435"/>
      <c r="F88" s="435" t="s">
        <v>588</v>
      </c>
      <c r="G88" s="435">
        <v>0</v>
      </c>
      <c r="H88" s="435">
        <v>0</v>
      </c>
      <c r="I88" s="435" t="s">
        <v>695</v>
      </c>
      <c r="J88" s="435" t="s">
        <v>590</v>
      </c>
      <c r="K88" s="435" t="s">
        <v>591</v>
      </c>
      <c r="L88" s="435" t="s">
        <v>592</v>
      </c>
      <c r="M88" s="435" t="s">
        <v>591</v>
      </c>
      <c r="N88" s="435" t="s">
        <v>593</v>
      </c>
      <c r="O88" s="435" t="s">
        <v>188</v>
      </c>
      <c r="P88" s="435" t="s">
        <v>188</v>
      </c>
      <c r="Q88" s="438">
        <v>496524</v>
      </c>
      <c r="R88" s="438">
        <v>0</v>
      </c>
      <c r="S88" s="438">
        <v>0</v>
      </c>
      <c r="T88" s="438">
        <v>1575015</v>
      </c>
      <c r="U88" s="438">
        <v>0</v>
      </c>
      <c r="V88" s="438">
        <v>1814359.66</v>
      </c>
      <c r="W88" s="438">
        <v>0</v>
      </c>
      <c r="X88" s="438">
        <v>65094.97</v>
      </c>
      <c r="Y88" s="438">
        <v>0</v>
      </c>
      <c r="Z88" s="438">
        <v>195</v>
      </c>
      <c r="AA88" s="438">
        <v>34158.67</v>
      </c>
      <c r="AB88" s="438">
        <v>12970</v>
      </c>
      <c r="AC88" s="438">
        <v>8722.39</v>
      </c>
      <c r="AD88" s="438">
        <v>504</v>
      </c>
      <c r="AE88" s="438">
        <v>0</v>
      </c>
      <c r="AF88" s="438">
        <v>2041.04</v>
      </c>
      <c r="AG88" s="438">
        <v>1600</v>
      </c>
      <c r="AH88" s="438">
        <v>0</v>
      </c>
      <c r="AI88" s="438">
        <v>0</v>
      </c>
      <c r="AJ88" s="438">
        <v>0</v>
      </c>
      <c r="AK88" s="438">
        <v>0</v>
      </c>
      <c r="AL88" s="438">
        <v>0</v>
      </c>
      <c r="AM88" s="438">
        <v>15072.5</v>
      </c>
      <c r="AN88" s="438">
        <v>36221.69</v>
      </c>
      <c r="AO88" s="438">
        <v>1147621.55</v>
      </c>
      <c r="AP88" s="438">
        <v>0</v>
      </c>
      <c r="AQ88" s="438">
        <v>1098592.6100000001</v>
      </c>
      <c r="AR88" s="438">
        <v>23998.03</v>
      </c>
      <c r="AS88" s="438">
        <v>167139.04</v>
      </c>
      <c r="AT88" s="438">
        <v>0</v>
      </c>
      <c r="AU88" s="438">
        <v>26297.77</v>
      </c>
      <c r="AV88" s="438">
        <v>10944</v>
      </c>
      <c r="AW88" s="438">
        <v>14095.69</v>
      </c>
      <c r="AX88" s="438">
        <v>0</v>
      </c>
      <c r="AY88" s="438">
        <v>0</v>
      </c>
      <c r="AZ88" s="438">
        <v>105330.4</v>
      </c>
      <c r="BA88" s="438">
        <v>5044.4799999999996</v>
      </c>
      <c r="BB88" s="438">
        <v>57780.34</v>
      </c>
      <c r="BC88" s="438">
        <v>10752.29</v>
      </c>
      <c r="BD88" s="438">
        <v>87041.19</v>
      </c>
      <c r="BE88" s="438">
        <v>0</v>
      </c>
      <c r="BF88" s="438">
        <v>11428.45</v>
      </c>
      <c r="BG88" s="438">
        <v>74537.8</v>
      </c>
      <c r="BH88" s="438">
        <v>39852.58</v>
      </c>
      <c r="BI88" s="438">
        <v>0</v>
      </c>
      <c r="BJ88" s="438">
        <v>12624.78</v>
      </c>
      <c r="BK88" s="438">
        <v>6994</v>
      </c>
      <c r="BL88" s="438">
        <v>149.05000000000001</v>
      </c>
      <c r="BM88" s="438">
        <v>35978.879999999997</v>
      </c>
      <c r="BN88" s="438">
        <v>81510.86</v>
      </c>
      <c r="BO88" s="438">
        <v>574113.01</v>
      </c>
      <c r="BP88" s="438">
        <v>45706.76</v>
      </c>
      <c r="BQ88" s="438">
        <v>0</v>
      </c>
      <c r="BR88" s="438">
        <v>0</v>
      </c>
      <c r="BS88" s="438">
        <v>81880.36</v>
      </c>
      <c r="BT88" s="438">
        <v>0</v>
      </c>
      <c r="BU88" s="438">
        <v>0</v>
      </c>
      <c r="BV88" s="438">
        <v>31189.19</v>
      </c>
      <c r="BW88" s="438">
        <v>0</v>
      </c>
      <c r="BX88" s="438">
        <v>81880.36</v>
      </c>
      <c r="BY88" s="438">
        <v>6000</v>
      </c>
      <c r="BZ88" s="438">
        <v>0</v>
      </c>
      <c r="CA88" s="438">
        <v>72789.55</v>
      </c>
      <c r="CB88" s="438">
        <v>40280</v>
      </c>
      <c r="CC88" s="438">
        <v>0</v>
      </c>
      <c r="CD88" s="438">
        <v>343065</v>
      </c>
      <c r="CE88" s="438">
        <v>0</v>
      </c>
      <c r="CF88" s="438">
        <v>0</v>
      </c>
      <c r="CG88" s="438">
        <v>0</v>
      </c>
      <c r="CH88" s="438">
        <v>0</v>
      </c>
      <c r="CI88" s="438">
        <v>0</v>
      </c>
      <c r="CJ88" s="111">
        <f t="shared" si="6"/>
        <v>343065</v>
      </c>
      <c r="CK88" s="111">
        <f t="shared" si="7"/>
        <v>0</v>
      </c>
      <c r="CL88" s="111">
        <f t="shared" si="5"/>
        <v>343065</v>
      </c>
    </row>
    <row r="89" spans="1:90" ht="26.4">
      <c r="A89" s="435">
        <v>302</v>
      </c>
      <c r="B89" s="435">
        <v>7009</v>
      </c>
      <c r="C89" s="435" t="s">
        <v>127</v>
      </c>
      <c r="D89" s="435" t="s">
        <v>594</v>
      </c>
      <c r="E89" s="435"/>
      <c r="F89" s="435" t="s">
        <v>588</v>
      </c>
      <c r="G89" s="435">
        <v>0</v>
      </c>
      <c r="H89" s="435">
        <v>0</v>
      </c>
      <c r="I89" s="435" t="s">
        <v>695</v>
      </c>
      <c r="J89" s="435" t="s">
        <v>590</v>
      </c>
      <c r="K89" s="435" t="s">
        <v>591</v>
      </c>
      <c r="L89" s="435" t="s">
        <v>592</v>
      </c>
      <c r="M89" s="435" t="s">
        <v>591</v>
      </c>
      <c r="N89" s="435" t="s">
        <v>593</v>
      </c>
      <c r="O89" s="435" t="s">
        <v>188</v>
      </c>
      <c r="P89" s="435" t="s">
        <v>188</v>
      </c>
      <c r="Q89" s="438">
        <v>544514</v>
      </c>
      <c r="R89" s="438">
        <v>0</v>
      </c>
      <c r="S89" s="438">
        <v>18223</v>
      </c>
      <c r="T89" s="438">
        <v>1907395.04</v>
      </c>
      <c r="U89" s="438">
        <v>0</v>
      </c>
      <c r="V89" s="438">
        <v>2243079.48</v>
      </c>
      <c r="W89" s="438">
        <v>0</v>
      </c>
      <c r="X89" s="438">
        <v>53879.97</v>
      </c>
      <c r="Y89" s="438">
        <v>930</v>
      </c>
      <c r="Z89" s="438">
        <v>712830.95</v>
      </c>
      <c r="AA89" s="438">
        <v>5516.5</v>
      </c>
      <c r="AB89" s="438">
        <v>19995</v>
      </c>
      <c r="AC89" s="438">
        <v>6109.57</v>
      </c>
      <c r="AD89" s="438">
        <v>0</v>
      </c>
      <c r="AE89" s="438">
        <v>0</v>
      </c>
      <c r="AF89" s="438">
        <v>2822</v>
      </c>
      <c r="AG89" s="438">
        <v>8285.1200000000008</v>
      </c>
      <c r="AH89" s="438">
        <v>0</v>
      </c>
      <c r="AI89" s="438">
        <v>0</v>
      </c>
      <c r="AJ89" s="438">
        <v>0</v>
      </c>
      <c r="AK89" s="438">
        <v>0</v>
      </c>
      <c r="AL89" s="438">
        <v>0</v>
      </c>
      <c r="AM89" s="438">
        <v>40674</v>
      </c>
      <c r="AN89" s="438">
        <v>40882</v>
      </c>
      <c r="AO89" s="438">
        <v>2076888.49</v>
      </c>
      <c r="AP89" s="438">
        <v>4464.9799999999996</v>
      </c>
      <c r="AQ89" s="438">
        <v>1873014.15</v>
      </c>
      <c r="AR89" s="438">
        <v>41824.71</v>
      </c>
      <c r="AS89" s="438">
        <v>115244.32</v>
      </c>
      <c r="AT89" s="438">
        <v>0</v>
      </c>
      <c r="AU89" s="438">
        <v>146863.48000000001</v>
      </c>
      <c r="AV89" s="438">
        <v>30863.72</v>
      </c>
      <c r="AW89" s="438">
        <v>21537.200000000001</v>
      </c>
      <c r="AX89" s="438">
        <v>0</v>
      </c>
      <c r="AY89" s="438">
        <v>0</v>
      </c>
      <c r="AZ89" s="438">
        <v>100276.55</v>
      </c>
      <c r="BA89" s="438">
        <v>0</v>
      </c>
      <c r="BB89" s="438">
        <v>33568.800000000003</v>
      </c>
      <c r="BC89" s="438">
        <v>8819.4500000000007</v>
      </c>
      <c r="BD89" s="438">
        <v>47153.36</v>
      </c>
      <c r="BE89" s="438">
        <v>0</v>
      </c>
      <c r="BF89" s="438">
        <v>27700.59</v>
      </c>
      <c r="BG89" s="438">
        <v>138364.1</v>
      </c>
      <c r="BH89" s="438">
        <v>27928.66</v>
      </c>
      <c r="BI89" s="438">
        <v>0</v>
      </c>
      <c r="BJ89" s="438">
        <v>35283.24</v>
      </c>
      <c r="BK89" s="438">
        <v>7081.73</v>
      </c>
      <c r="BL89" s="438">
        <v>63526.61</v>
      </c>
      <c r="BM89" s="438">
        <v>27146.1</v>
      </c>
      <c r="BN89" s="438">
        <v>19193.8</v>
      </c>
      <c r="BO89" s="438">
        <v>458412.05</v>
      </c>
      <c r="BP89" s="438">
        <v>53166.54</v>
      </c>
      <c r="BQ89" s="438">
        <v>0</v>
      </c>
      <c r="BR89" s="438">
        <v>0</v>
      </c>
      <c r="BS89" s="438">
        <v>0</v>
      </c>
      <c r="BT89" s="438">
        <v>0</v>
      </c>
      <c r="BU89" s="438">
        <v>0</v>
      </c>
      <c r="BV89" s="438">
        <v>34092</v>
      </c>
      <c r="BW89" s="438">
        <v>0</v>
      </c>
      <c r="BX89" s="438">
        <v>0</v>
      </c>
      <c r="BY89" s="438">
        <v>6000</v>
      </c>
      <c r="BZ89" s="438">
        <v>0</v>
      </c>
      <c r="CA89" s="438">
        <v>0</v>
      </c>
      <c r="CB89" s="438">
        <v>0</v>
      </c>
      <c r="CC89" s="438">
        <v>0</v>
      </c>
      <c r="CD89" s="438">
        <v>135111</v>
      </c>
      <c r="CE89" s="438">
        <v>93480</v>
      </c>
      <c r="CF89" s="438">
        <v>52315</v>
      </c>
      <c r="CG89" s="438">
        <v>0</v>
      </c>
      <c r="CH89" s="438">
        <v>0</v>
      </c>
      <c r="CI89" s="438">
        <v>0</v>
      </c>
      <c r="CJ89" s="111">
        <f t="shared" si="6"/>
        <v>228591</v>
      </c>
      <c r="CK89" s="111">
        <f t="shared" si="7"/>
        <v>52315</v>
      </c>
      <c r="CL89" s="111">
        <f t="shared" si="5"/>
        <v>228591</v>
      </c>
    </row>
    <row r="90" spans="1:90" ht="26.4">
      <c r="A90" s="435">
        <v>302</v>
      </c>
      <c r="B90" s="435">
        <v>7010</v>
      </c>
      <c r="C90" s="435" t="s">
        <v>124</v>
      </c>
      <c r="D90" s="435" t="s">
        <v>594</v>
      </c>
      <c r="E90" s="435"/>
      <c r="F90" s="435" t="s">
        <v>588</v>
      </c>
      <c r="G90" s="435">
        <v>0</v>
      </c>
      <c r="H90" s="435">
        <v>1</v>
      </c>
      <c r="I90" s="435" t="s">
        <v>695</v>
      </c>
      <c r="J90" s="435" t="s">
        <v>590</v>
      </c>
      <c r="K90" s="435" t="s">
        <v>591</v>
      </c>
      <c r="L90" s="435" t="s">
        <v>592</v>
      </c>
      <c r="M90" s="435" t="s">
        <v>591</v>
      </c>
      <c r="N90" s="435" t="s">
        <v>593</v>
      </c>
      <c r="O90" s="435" t="s">
        <v>188</v>
      </c>
      <c r="P90" s="435" t="s">
        <v>188</v>
      </c>
      <c r="Q90" s="438">
        <v>611812</v>
      </c>
      <c r="R90" s="438">
        <v>0</v>
      </c>
      <c r="S90" s="438">
        <v>13326</v>
      </c>
      <c r="T90" s="438">
        <v>885387.03</v>
      </c>
      <c r="U90" s="438">
        <v>301124.99</v>
      </c>
      <c r="V90" s="438">
        <v>2666859.41</v>
      </c>
      <c r="W90" s="438">
        <v>0</v>
      </c>
      <c r="X90" s="438">
        <v>38340.03</v>
      </c>
      <c r="Y90" s="438">
        <v>57069.05</v>
      </c>
      <c r="Z90" s="438">
        <v>26452.560000000001</v>
      </c>
      <c r="AA90" s="438">
        <v>6728</v>
      </c>
      <c r="AB90" s="438">
        <v>178.5</v>
      </c>
      <c r="AC90" s="438">
        <v>10283.07</v>
      </c>
      <c r="AD90" s="438">
        <v>994.4</v>
      </c>
      <c r="AE90" s="438">
        <v>21450</v>
      </c>
      <c r="AF90" s="438">
        <v>441.5</v>
      </c>
      <c r="AG90" s="438">
        <v>5083.43</v>
      </c>
      <c r="AH90" s="438">
        <v>0</v>
      </c>
      <c r="AI90" s="438">
        <v>0</v>
      </c>
      <c r="AJ90" s="438">
        <v>0</v>
      </c>
      <c r="AK90" s="438">
        <v>0</v>
      </c>
      <c r="AL90" s="438">
        <v>1063.8399999999999</v>
      </c>
      <c r="AM90" s="438">
        <v>43138.82</v>
      </c>
      <c r="AN90" s="438">
        <v>2800</v>
      </c>
      <c r="AO90" s="438">
        <v>1351828.42</v>
      </c>
      <c r="AP90" s="438">
        <v>0</v>
      </c>
      <c r="AQ90" s="438">
        <v>1614945.18</v>
      </c>
      <c r="AR90" s="438">
        <v>105233.08</v>
      </c>
      <c r="AS90" s="438">
        <v>134535.43</v>
      </c>
      <c r="AT90" s="438">
        <v>0</v>
      </c>
      <c r="AU90" s="438">
        <v>66933.38</v>
      </c>
      <c r="AV90" s="438">
        <v>19127.07</v>
      </c>
      <c r="AW90" s="438">
        <v>19789.14</v>
      </c>
      <c r="AX90" s="438">
        <v>14972.01</v>
      </c>
      <c r="AY90" s="438">
        <v>29944.03</v>
      </c>
      <c r="AZ90" s="438">
        <v>57235.73</v>
      </c>
      <c r="BA90" s="438">
        <v>14309.1</v>
      </c>
      <c r="BB90" s="438">
        <v>6074.36</v>
      </c>
      <c r="BC90" s="438">
        <v>6339.59</v>
      </c>
      <c r="BD90" s="438">
        <v>47093.81</v>
      </c>
      <c r="BE90" s="438">
        <v>0</v>
      </c>
      <c r="BF90" s="438">
        <v>16822.490000000002</v>
      </c>
      <c r="BG90" s="438">
        <v>90459.62</v>
      </c>
      <c r="BH90" s="438">
        <v>18244.36</v>
      </c>
      <c r="BI90" s="438">
        <v>440</v>
      </c>
      <c r="BJ90" s="438">
        <v>9830.5</v>
      </c>
      <c r="BK90" s="438">
        <v>6270.52</v>
      </c>
      <c r="BL90" s="438">
        <v>64200</v>
      </c>
      <c r="BM90" s="438">
        <v>29147.46</v>
      </c>
      <c r="BN90" s="438">
        <v>19283.59</v>
      </c>
      <c r="BO90" s="438">
        <v>284338.34000000003</v>
      </c>
      <c r="BP90" s="438">
        <v>30254.42</v>
      </c>
      <c r="BQ90" s="438">
        <v>0</v>
      </c>
      <c r="BR90" s="438">
        <v>0</v>
      </c>
      <c r="BS90" s="438">
        <v>0</v>
      </c>
      <c r="BT90" s="438">
        <v>0</v>
      </c>
      <c r="BU90" s="438">
        <v>0</v>
      </c>
      <c r="BV90" s="438">
        <v>26681</v>
      </c>
      <c r="BW90" s="438">
        <v>8928</v>
      </c>
      <c r="BX90" s="438">
        <v>0</v>
      </c>
      <c r="BY90" s="438">
        <v>6000</v>
      </c>
      <c r="BZ90" s="438">
        <v>0</v>
      </c>
      <c r="CA90" s="438">
        <v>0</v>
      </c>
      <c r="CB90" s="438">
        <v>0</v>
      </c>
      <c r="CC90" s="438">
        <v>0</v>
      </c>
      <c r="CD90" s="438">
        <v>1165</v>
      </c>
      <c r="CE90" s="438">
        <v>620390</v>
      </c>
      <c r="CF90" s="438">
        <v>48935</v>
      </c>
      <c r="CG90" s="438">
        <v>0</v>
      </c>
      <c r="CH90" s="438">
        <v>0</v>
      </c>
      <c r="CI90" s="438">
        <v>0</v>
      </c>
      <c r="CJ90" s="111">
        <f t="shared" si="6"/>
        <v>621555</v>
      </c>
      <c r="CK90" s="111">
        <f t="shared" si="7"/>
        <v>48935</v>
      </c>
      <c r="CL90" s="111">
        <f t="shared" si="5"/>
        <v>621555</v>
      </c>
    </row>
    <row r="91" spans="1:90" ht="18" customHeight="1">
      <c r="Q91" s="113">
        <f>SUM(Q4:Q90)</f>
        <v>11141630</v>
      </c>
      <c r="R91" s="113">
        <f t="shared" ref="R91:AE91" si="8">SUM(R4:R90)</f>
        <v>289535</v>
      </c>
      <c r="S91" s="113">
        <f t="shared" si="8"/>
        <v>646549</v>
      </c>
      <c r="T91" s="113">
        <f t="shared" si="8"/>
        <v>176224352.80000001</v>
      </c>
      <c r="U91" s="113">
        <f t="shared" si="8"/>
        <v>7356694.75</v>
      </c>
      <c r="V91" s="113">
        <f t="shared" si="8"/>
        <v>19015272.940000005</v>
      </c>
      <c r="W91" s="113">
        <f t="shared" si="8"/>
        <v>0</v>
      </c>
      <c r="X91" s="113">
        <f t="shared" si="8"/>
        <v>8700101.2300000042</v>
      </c>
      <c r="Y91" s="113">
        <f t="shared" si="8"/>
        <v>1614428.45</v>
      </c>
      <c r="Z91" s="113">
        <f t="shared" si="8"/>
        <v>2244657.4099999997</v>
      </c>
      <c r="AA91" s="113">
        <f t="shared" si="8"/>
        <v>1718429.5599999998</v>
      </c>
      <c r="AB91" s="113">
        <f t="shared" si="8"/>
        <v>2913287.78</v>
      </c>
      <c r="AC91" s="113">
        <f t="shared" si="8"/>
        <v>3274001.46</v>
      </c>
      <c r="AD91" s="113">
        <f t="shared" si="8"/>
        <v>179137.88999999998</v>
      </c>
      <c r="AE91" s="113">
        <f t="shared" si="8"/>
        <v>180349.86</v>
      </c>
      <c r="AF91" s="113">
        <f>SUM(AF4:AF90)</f>
        <v>5168457.57</v>
      </c>
      <c r="AG91" s="113">
        <f t="shared" ref="AG91" si="9">SUM(AG4:AG90)</f>
        <v>8326439.0299999984</v>
      </c>
      <c r="AH91" s="113">
        <f t="shared" ref="AH91" si="10">SUM(AH4:AH90)</f>
        <v>0</v>
      </c>
      <c r="AI91" s="113">
        <f t="shared" ref="AI91" si="11">SUM(AI4:AI90)</f>
        <v>888103.03</v>
      </c>
      <c r="AJ91" s="113">
        <f t="shared" ref="AJ91" si="12">SUM(AJ4:AJ90)</f>
        <v>22737.89</v>
      </c>
      <c r="AK91" s="113">
        <f t="shared" ref="AK91" si="13">SUM(AK4:AK90)</f>
        <v>233073.13999999998</v>
      </c>
      <c r="AL91" s="113">
        <f t="shared" ref="AL91" si="14">SUM(AL4:AL90)</f>
        <v>213514.39000000004</v>
      </c>
      <c r="AM91" s="113">
        <f t="shared" ref="AM91" si="15">SUM(AM4:AM90)</f>
        <v>1817941.4999999984</v>
      </c>
      <c r="AN91" s="113">
        <f t="shared" ref="AN91:AO91" si="16">SUM(AN4:AN90)</f>
        <v>4930246.3</v>
      </c>
      <c r="AO91" s="113">
        <f t="shared" si="16"/>
        <v>112181949.42999999</v>
      </c>
      <c r="AP91" s="113">
        <f t="shared" ref="AP91" si="17">SUM(AP4:AP90)</f>
        <v>469159.44</v>
      </c>
      <c r="AQ91" s="113">
        <f t="shared" ref="AQ91" si="18">SUM(AQ4:AQ90)</f>
        <v>48264967.45000001</v>
      </c>
      <c r="AR91" s="113">
        <f t="shared" ref="AR91" si="19">SUM(AR4:AR90)</f>
        <v>5507671.4300000006</v>
      </c>
      <c r="AS91" s="113">
        <f t="shared" ref="AS91" si="20">SUM(AS4:AS90)</f>
        <v>11454382.809999997</v>
      </c>
      <c r="AT91" s="113">
        <f t="shared" ref="AT91" si="21">SUM(AT4:AT90)</f>
        <v>673440.34</v>
      </c>
      <c r="AU91" s="113">
        <f t="shared" ref="AU91" si="22">SUM(AU4:AU90)</f>
        <v>4921569.2300000023</v>
      </c>
      <c r="AV91" s="113">
        <f t="shared" ref="AV91" si="23">SUM(AV4:AV90)</f>
        <v>1507846.5899999999</v>
      </c>
      <c r="AW91" s="113">
        <f t="shared" ref="AW91" si="24">SUM(AW4:AW90)</f>
        <v>571343.68000000005</v>
      </c>
      <c r="AX91" s="113">
        <f t="shared" ref="AX91" si="25">SUM(AX4:AX90)</f>
        <v>350954.05000000016</v>
      </c>
      <c r="AY91" s="113">
        <f t="shared" ref="AY91" si="26">SUM(AY4:AY90)</f>
        <v>83946.53</v>
      </c>
      <c r="AZ91" s="113">
        <f t="shared" ref="AZ91" si="27">SUM(AZ4:AZ90)</f>
        <v>3137373.5899999994</v>
      </c>
      <c r="BA91" s="113">
        <f t="shared" ref="BA91" si="28">SUM(BA4:BA90)</f>
        <v>472629.7</v>
      </c>
      <c r="BB91" s="113">
        <f t="shared" ref="BB91" si="29">SUM(BB4:BB90)</f>
        <v>3112208.7199999988</v>
      </c>
      <c r="BC91" s="113">
        <f t="shared" ref="BC91:BD91" si="30">SUM(BC4:BC90)</f>
        <v>668580.00000000012</v>
      </c>
      <c r="BD91" s="113">
        <f t="shared" si="30"/>
        <v>4490719.8599999994</v>
      </c>
      <c r="BE91" s="113">
        <f t="shared" ref="BE91" si="31">SUM(BE4:BE90)</f>
        <v>1633771.9999999993</v>
      </c>
      <c r="BF91" s="113">
        <f t="shared" ref="BF91" si="32">SUM(BF4:BF90)</f>
        <v>2006235.6499999994</v>
      </c>
      <c r="BG91" s="113">
        <f t="shared" ref="BG91" si="33">SUM(BG4:BG90)</f>
        <v>7716275.6699999971</v>
      </c>
      <c r="BH91" s="113">
        <f t="shared" ref="BH91" si="34">SUM(BH4:BH90)</f>
        <v>1713191.6800000004</v>
      </c>
      <c r="BI91" s="113">
        <f t="shared" ref="BI91" si="35">SUM(BI4:BI90)</f>
        <v>851059.42000000016</v>
      </c>
      <c r="BJ91" s="113">
        <f t="shared" ref="BJ91" si="36">SUM(BJ4:BJ90)</f>
        <v>2068600.6399999997</v>
      </c>
      <c r="BK91" s="113">
        <f t="shared" ref="BK91" si="37">SUM(BK4:BK90)</f>
        <v>1326010.3199999998</v>
      </c>
      <c r="BL91" s="113">
        <f t="shared" ref="BL91:BM91" si="38">SUM(BL4:BL90)</f>
        <v>1044888.38</v>
      </c>
      <c r="BM91" s="113">
        <f t="shared" si="38"/>
        <v>7805980.0800000019</v>
      </c>
      <c r="BN91" s="113">
        <f t="shared" ref="BN91" si="39">SUM(BN4:BN90)</f>
        <v>5576353.6000000006</v>
      </c>
      <c r="BO91" s="113">
        <f t="shared" ref="BO91" si="40">SUM(BO4:BO90)</f>
        <v>11832747.959999999</v>
      </c>
      <c r="BP91" s="113">
        <f t="shared" ref="BP91" si="41">SUM(BP4:BP90)</f>
        <v>4540799.5</v>
      </c>
      <c r="BQ91" s="113">
        <f t="shared" ref="BQ91" si="42">SUM(BQ4:BQ90)</f>
        <v>23861.82</v>
      </c>
      <c r="BR91" s="113">
        <f t="shared" ref="BR91" si="43">SUM(BR4:BR90)</f>
        <v>0</v>
      </c>
      <c r="BS91" s="113">
        <f t="shared" ref="BS91" si="44">SUM(BS4:BS90)</f>
        <v>618266.49</v>
      </c>
      <c r="BT91" s="113">
        <f t="shared" ref="BT91" si="45">SUM(BT4:BT90)</f>
        <v>701524.27</v>
      </c>
      <c r="BU91" s="113">
        <f t="shared" ref="BU91" si="46">SUM(BU4:BU90)</f>
        <v>369248.66000000003</v>
      </c>
      <c r="BV91" s="113">
        <f t="shared" ref="BV91" si="47">SUM(BV4:BV90)</f>
        <v>1378800.5799999998</v>
      </c>
      <c r="BW91" s="113">
        <f t="shared" ref="BW91" si="48">SUM(BW4:BW90)</f>
        <v>262312.32000000001</v>
      </c>
      <c r="BX91" s="113">
        <f t="shared" ref="BX91" si="49">SUM(BX4:BX90)</f>
        <v>549228.32000000007</v>
      </c>
      <c r="BY91" s="113">
        <f t="shared" ref="BY91" si="50">SUM(BY4:BY90)</f>
        <v>522000</v>
      </c>
      <c r="BZ91" s="113">
        <f t="shared" ref="BZ91" si="51">SUM(BZ4:BZ90)</f>
        <v>0</v>
      </c>
      <c r="CA91" s="113">
        <f t="shared" ref="CA91" si="52">SUM(CA4:CA90)</f>
        <v>977247.76000000013</v>
      </c>
      <c r="CB91" s="113">
        <f t="shared" ref="CB91" si="53">SUM(CB4:CB90)</f>
        <v>121081.69</v>
      </c>
      <c r="CC91" s="113">
        <f t="shared" ref="CC91" si="54">SUM(CC4:CC90)</f>
        <v>459191.77</v>
      </c>
      <c r="CD91" s="113">
        <f t="shared" ref="CD91" si="55">SUM(CD4:CD90)</f>
        <v>1937731</v>
      </c>
      <c r="CE91" s="113">
        <f t="shared" ref="CE91" si="56">SUM(CE4:CE90)</f>
        <v>6687499</v>
      </c>
      <c r="CF91" s="113">
        <f t="shared" ref="CF91" si="57">SUM(CF4:CF90)</f>
        <v>1277991</v>
      </c>
      <c r="CG91" s="113">
        <f t="shared" ref="CG91" si="58">SUM(CG4:CG90)</f>
        <v>1378</v>
      </c>
      <c r="CH91" s="113">
        <f t="shared" ref="CH91" si="59">SUM(CH4:CH90)</f>
        <v>129602.98999999999</v>
      </c>
      <c r="CI91" s="113">
        <f t="shared" ref="CI91:CJ91" si="60">SUM(CI4:CI90)</f>
        <v>0</v>
      </c>
      <c r="CJ91" s="113">
        <f t="shared" si="60"/>
        <v>8754832.9900000002</v>
      </c>
      <c r="CK91" s="113">
        <f t="shared" ref="CK91:CL91" si="61">SUM(CK4:CK90)</f>
        <v>1279369</v>
      </c>
      <c r="CL91" s="113">
        <f t="shared" si="61"/>
        <v>8625230</v>
      </c>
    </row>
    <row r="92" spans="1:90">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c r="AO92" s="439"/>
      <c r="AP92" s="439"/>
      <c r="AQ92" s="439"/>
      <c r="AR92" s="439"/>
      <c r="AS92" s="439"/>
      <c r="AT92" s="439"/>
      <c r="AU92" s="439"/>
      <c r="AV92" s="439"/>
      <c r="AW92" s="439"/>
      <c r="AX92" s="439"/>
      <c r="AY92" s="439"/>
      <c r="AZ92" s="439"/>
      <c r="BA92" s="439"/>
      <c r="BB92" s="439"/>
      <c r="BC92" s="439"/>
      <c r="BD92" s="439"/>
      <c r="BE92" s="439"/>
      <c r="BF92" s="439"/>
      <c r="BG92" s="439"/>
      <c r="BH92" s="439"/>
      <c r="BI92" s="439"/>
      <c r="BJ92" s="439"/>
      <c r="BK92" s="439"/>
      <c r="BL92" s="439"/>
      <c r="BM92" s="439"/>
      <c r="BN92" s="439"/>
      <c r="BO92" s="439"/>
      <c r="BP92" s="439"/>
      <c r="BQ92" s="439"/>
      <c r="BR92" s="439"/>
      <c r="BS92" s="439"/>
      <c r="BT92" s="439"/>
      <c r="BU92" s="439"/>
      <c r="BV92" s="439"/>
      <c r="BW92" s="439"/>
      <c r="BX92" s="439"/>
      <c r="BY92" s="439"/>
      <c r="BZ92" s="439"/>
      <c r="CA92" s="439"/>
      <c r="CB92" s="439"/>
      <c r="CC92" s="439"/>
      <c r="CD92" s="439"/>
      <c r="CE92" s="439"/>
      <c r="CF92" s="439"/>
      <c r="CG92" s="439"/>
      <c r="CH92" s="439"/>
      <c r="CI92" s="439"/>
    </row>
    <row r="93" spans="1:90">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c r="AO93" s="439"/>
      <c r="AP93" s="439"/>
      <c r="AQ93" s="439"/>
      <c r="AR93" s="439"/>
      <c r="AS93" s="439"/>
      <c r="AT93" s="439"/>
      <c r="AU93" s="439"/>
      <c r="AV93" s="439"/>
      <c r="AW93" s="439"/>
      <c r="AX93" s="439"/>
      <c r="AY93" s="439"/>
      <c r="AZ93" s="439"/>
      <c r="BA93" s="439"/>
      <c r="BB93" s="439"/>
      <c r="BC93" s="439"/>
      <c r="BD93" s="439"/>
      <c r="BE93" s="439"/>
      <c r="BF93" s="439"/>
      <c r="BG93" s="439"/>
      <c r="BH93" s="439"/>
      <c r="BI93" s="439"/>
      <c r="BJ93" s="439"/>
      <c r="BK93" s="439"/>
      <c r="BL93" s="439"/>
      <c r="BM93" s="439"/>
      <c r="BN93" s="439"/>
      <c r="BO93" s="439"/>
      <c r="BP93" s="439"/>
      <c r="BQ93" s="439"/>
      <c r="BR93" s="439"/>
      <c r="BS93" s="439"/>
      <c r="BT93" s="439"/>
      <c r="BU93" s="439"/>
      <c r="BV93" s="439"/>
      <c r="BW93" s="439"/>
      <c r="BX93" s="439"/>
      <c r="BY93" s="439"/>
      <c r="BZ93" s="439"/>
      <c r="CA93" s="439"/>
      <c r="CB93" s="439"/>
      <c r="CC93" s="439"/>
      <c r="CD93" s="439"/>
      <c r="CE93" s="439"/>
      <c r="CF93" s="439"/>
      <c r="CG93" s="439"/>
      <c r="CH93" s="439"/>
      <c r="CI93" s="439"/>
    </row>
  </sheetData>
  <pageMargins left="0.98425196850393704" right="0.98425196850393704" top="0.98425196850393704" bottom="0.98425196850393704" header="0.98425196850393704" footer="0.98425196850393704"/>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62D70-008E-4076-95A4-5B3E0F1BFE3F}">
  <dimension ref="A1:F97"/>
  <sheetViews>
    <sheetView workbookViewId="0">
      <pane xSplit="5" ySplit="2" topLeftCell="F88" activePane="bottomRight" state="frozen"/>
      <selection activeCell="D6" sqref="D6"/>
      <selection pane="topRight" activeCell="D6" sqref="D6"/>
      <selection pane="bottomLeft" activeCell="D6" sqref="D6"/>
      <selection pane="bottomRight" activeCell="D6" sqref="D6"/>
    </sheetView>
  </sheetViews>
  <sheetFormatPr defaultColWidth="9.109375" defaultRowHeight="14.4"/>
  <cols>
    <col min="1" max="1" width="11.88671875" style="115" customWidth="1"/>
    <col min="2" max="2" width="9.109375" style="115"/>
    <col min="3" max="3" width="56.109375" style="115" bestFit="1" customWidth="1"/>
    <col min="4" max="4" width="14.6640625" style="115" bestFit="1" customWidth="1"/>
    <col min="5" max="16384" width="9.109375" style="115"/>
  </cols>
  <sheetData>
    <row r="1" spans="1:6">
      <c r="A1" s="114"/>
      <c r="B1" s="114"/>
      <c r="C1" s="114" t="s">
        <v>628</v>
      </c>
      <c r="D1" s="114"/>
      <c r="E1" s="114"/>
    </row>
    <row r="2" spans="1:6" ht="28.8">
      <c r="A2" s="116" t="s">
        <v>410</v>
      </c>
      <c r="B2" s="116" t="s">
        <v>629</v>
      </c>
      <c r="C2" s="116" t="s">
        <v>128</v>
      </c>
      <c r="D2" s="116" t="s">
        <v>630</v>
      </c>
      <c r="E2" s="116" t="s">
        <v>631</v>
      </c>
      <c r="F2" s="117"/>
    </row>
    <row r="3" spans="1:6">
      <c r="A3" s="115">
        <v>1000</v>
      </c>
      <c r="B3" s="115">
        <v>101251</v>
      </c>
      <c r="C3" s="115" t="s">
        <v>27</v>
      </c>
      <c r="D3" s="115" t="s">
        <v>632</v>
      </c>
      <c r="E3" s="115">
        <v>56</v>
      </c>
    </row>
    <row r="4" spans="1:6">
      <c r="A4" s="115">
        <v>1001</v>
      </c>
      <c r="B4" s="115">
        <v>101252</v>
      </c>
      <c r="C4" s="115" t="s">
        <v>28</v>
      </c>
      <c r="D4" s="115" t="s">
        <v>632</v>
      </c>
      <c r="E4" s="115">
        <v>57</v>
      </c>
    </row>
    <row r="5" spans="1:6">
      <c r="A5" s="115">
        <v>1003</v>
      </c>
      <c r="B5" s="115">
        <v>101254</v>
      </c>
      <c r="C5" s="115" t="s">
        <v>30</v>
      </c>
      <c r="D5" s="115" t="s">
        <v>632</v>
      </c>
      <c r="E5" s="115">
        <v>63</v>
      </c>
    </row>
    <row r="6" spans="1:6" s="118" customFormat="1">
      <c r="A6" s="118">
        <v>1000</v>
      </c>
      <c r="C6" s="118" t="s">
        <v>442</v>
      </c>
      <c r="E6" s="118">
        <f>SUM(E3:E5)</f>
        <v>176</v>
      </c>
    </row>
    <row r="7" spans="1:6">
      <c r="A7" s="115">
        <v>3520</v>
      </c>
      <c r="B7" s="115">
        <v>135086</v>
      </c>
      <c r="C7" s="115" t="s">
        <v>256</v>
      </c>
      <c r="D7" s="115" t="s">
        <v>632</v>
      </c>
      <c r="E7" s="115">
        <v>421</v>
      </c>
    </row>
    <row r="8" spans="1:6">
      <c r="A8" s="115">
        <v>3317</v>
      </c>
      <c r="B8" s="115">
        <v>101329</v>
      </c>
      <c r="C8" s="115" t="s">
        <v>257</v>
      </c>
      <c r="D8" s="115" t="s">
        <v>632</v>
      </c>
      <c r="E8" s="115">
        <v>235</v>
      </c>
    </row>
    <row r="9" spans="1:6">
      <c r="A9" s="115">
        <v>3300</v>
      </c>
      <c r="B9" s="115">
        <v>101315</v>
      </c>
      <c r="C9" s="115" t="s">
        <v>424</v>
      </c>
      <c r="D9" s="115" t="s">
        <v>632</v>
      </c>
      <c r="E9" s="115">
        <v>158</v>
      </c>
    </row>
    <row r="10" spans="1:6">
      <c r="A10" s="115">
        <v>3500</v>
      </c>
      <c r="B10" s="115">
        <v>101330</v>
      </c>
      <c r="C10" s="115" t="s">
        <v>382</v>
      </c>
      <c r="D10" s="115" t="s">
        <v>632</v>
      </c>
      <c r="E10" s="115">
        <v>152</v>
      </c>
    </row>
    <row r="11" spans="1:6">
      <c r="A11" s="115">
        <v>3514</v>
      </c>
      <c r="B11" s="115">
        <v>101342</v>
      </c>
      <c r="C11" s="115" t="s">
        <v>291</v>
      </c>
      <c r="D11" s="115" t="s">
        <v>632</v>
      </c>
      <c r="E11" s="115">
        <v>187</v>
      </c>
    </row>
    <row r="12" spans="1:6">
      <c r="A12" s="115">
        <v>2002</v>
      </c>
      <c r="B12" s="115">
        <v>101258</v>
      </c>
      <c r="C12" s="115" t="s">
        <v>258</v>
      </c>
      <c r="D12" s="115" t="s">
        <v>632</v>
      </c>
      <c r="E12" s="115">
        <v>431.5</v>
      </c>
    </row>
    <row r="13" spans="1:6">
      <c r="A13" s="115">
        <v>2079</v>
      </c>
      <c r="B13" s="115">
        <v>133365</v>
      </c>
      <c r="C13" s="115" t="s">
        <v>259</v>
      </c>
      <c r="D13" s="115" t="s">
        <v>632</v>
      </c>
      <c r="E13" s="115">
        <v>472</v>
      </c>
    </row>
    <row r="14" spans="1:6">
      <c r="A14" s="115">
        <v>3524</v>
      </c>
      <c r="B14" s="115">
        <v>136402</v>
      </c>
      <c r="C14" s="115" t="s">
        <v>393</v>
      </c>
      <c r="D14" s="115" t="s">
        <v>632</v>
      </c>
      <c r="E14" s="115">
        <v>221</v>
      </c>
    </row>
    <row r="15" spans="1:6">
      <c r="A15" s="115">
        <v>2003</v>
      </c>
      <c r="B15" s="115">
        <v>101259</v>
      </c>
      <c r="C15" s="115" t="s">
        <v>260</v>
      </c>
      <c r="D15" s="115" t="s">
        <v>632</v>
      </c>
      <c r="E15" s="115">
        <v>405.5</v>
      </c>
    </row>
    <row r="16" spans="1:6">
      <c r="A16" s="115">
        <v>3511</v>
      </c>
      <c r="B16" s="115">
        <v>101339</v>
      </c>
      <c r="C16" s="115" t="s">
        <v>439</v>
      </c>
      <c r="D16" s="115" t="s">
        <v>632</v>
      </c>
      <c r="E16" s="115">
        <v>439.5</v>
      </c>
    </row>
    <row r="17" spans="1:5">
      <c r="A17" s="115">
        <v>2008</v>
      </c>
      <c r="B17" s="115">
        <v>101263</v>
      </c>
      <c r="C17" s="115" t="s">
        <v>261</v>
      </c>
      <c r="D17" s="115" t="s">
        <v>632</v>
      </c>
      <c r="E17" s="115">
        <v>303.5</v>
      </c>
    </row>
    <row r="18" spans="1:5">
      <c r="A18" s="115">
        <v>2007</v>
      </c>
      <c r="B18" s="115">
        <v>101262</v>
      </c>
      <c r="C18" s="115" t="s">
        <v>42</v>
      </c>
      <c r="D18" s="115" t="s">
        <v>632</v>
      </c>
      <c r="E18" s="115">
        <v>353</v>
      </c>
    </row>
    <row r="19" spans="1:5">
      <c r="A19" s="115">
        <v>2009</v>
      </c>
      <c r="B19" s="115">
        <v>101264</v>
      </c>
      <c r="C19" s="115" t="s">
        <v>262</v>
      </c>
      <c r="D19" s="115" t="s">
        <v>632</v>
      </c>
      <c r="E19" s="115">
        <v>440.5</v>
      </c>
    </row>
    <row r="20" spans="1:5">
      <c r="A20" s="115">
        <v>2067</v>
      </c>
      <c r="B20" s="115">
        <v>101309</v>
      </c>
      <c r="C20" s="115" t="s">
        <v>263</v>
      </c>
      <c r="D20" s="115" t="s">
        <v>632</v>
      </c>
      <c r="E20" s="115">
        <v>223</v>
      </c>
    </row>
    <row r="21" spans="1:5">
      <c r="A21" s="115">
        <v>3302</v>
      </c>
      <c r="B21" s="115">
        <v>101316</v>
      </c>
      <c r="C21" s="115" t="s">
        <v>264</v>
      </c>
      <c r="D21" s="115" t="s">
        <v>632</v>
      </c>
      <c r="E21" s="115">
        <v>218.5</v>
      </c>
    </row>
    <row r="22" spans="1:5">
      <c r="A22" s="115">
        <v>2011</v>
      </c>
      <c r="B22" s="115">
        <v>101266</v>
      </c>
      <c r="C22" s="115" t="s">
        <v>47</v>
      </c>
      <c r="D22" s="115" t="s">
        <v>632</v>
      </c>
      <c r="E22" s="115">
        <v>210</v>
      </c>
    </row>
    <row r="23" spans="1:5">
      <c r="A23" s="115">
        <v>2014</v>
      </c>
      <c r="B23" s="115">
        <v>101269</v>
      </c>
      <c r="C23" s="115" t="s">
        <v>266</v>
      </c>
      <c r="D23" s="115" t="s">
        <v>632</v>
      </c>
      <c r="E23" s="115">
        <v>676</v>
      </c>
    </row>
    <row r="24" spans="1:5">
      <c r="A24" s="115">
        <v>2015</v>
      </c>
      <c r="B24" s="115">
        <v>101270</v>
      </c>
      <c r="C24" s="115" t="s">
        <v>267</v>
      </c>
      <c r="D24" s="115" t="s">
        <v>632</v>
      </c>
      <c r="E24" s="115">
        <v>238</v>
      </c>
    </row>
    <row r="25" spans="1:5">
      <c r="A25" s="115">
        <v>2016</v>
      </c>
      <c r="B25" s="115">
        <v>101271</v>
      </c>
      <c r="C25" s="115" t="s">
        <v>52</v>
      </c>
      <c r="D25" s="115" t="s">
        <v>632</v>
      </c>
      <c r="E25" s="115">
        <v>196.5</v>
      </c>
    </row>
    <row r="26" spans="1:5">
      <c r="A26" s="115">
        <v>2017</v>
      </c>
      <c r="B26" s="115">
        <v>101272</v>
      </c>
      <c r="C26" s="115" t="s">
        <v>268</v>
      </c>
      <c r="D26" s="115" t="s">
        <v>632</v>
      </c>
      <c r="E26" s="115">
        <v>413</v>
      </c>
    </row>
    <row r="27" spans="1:5">
      <c r="A27" s="115">
        <v>2073</v>
      </c>
      <c r="B27" s="115">
        <v>101314</v>
      </c>
      <c r="C27" s="115" t="s">
        <v>269</v>
      </c>
      <c r="D27" s="115" t="s">
        <v>632</v>
      </c>
      <c r="E27" s="115">
        <v>622</v>
      </c>
    </row>
    <row r="28" spans="1:5">
      <c r="A28" s="115">
        <v>2019</v>
      </c>
      <c r="B28" s="115">
        <v>101274</v>
      </c>
      <c r="C28" s="115" t="s">
        <v>55</v>
      </c>
      <c r="D28" s="115" t="s">
        <v>632</v>
      </c>
      <c r="E28" s="115">
        <v>248</v>
      </c>
    </row>
    <row r="29" spans="1:5">
      <c r="A29" s="115">
        <v>2021</v>
      </c>
      <c r="B29" s="115">
        <v>101275</v>
      </c>
      <c r="C29" s="115" t="s">
        <v>474</v>
      </c>
      <c r="D29" s="115" t="s">
        <v>632</v>
      </c>
      <c r="E29" s="115">
        <v>457</v>
      </c>
    </row>
    <row r="30" spans="1:5">
      <c r="A30" s="115">
        <v>2023</v>
      </c>
      <c r="B30" s="115">
        <v>101277</v>
      </c>
      <c r="C30" s="115" t="s">
        <v>412</v>
      </c>
      <c r="D30" s="115" t="s">
        <v>632</v>
      </c>
      <c r="E30" s="115">
        <v>471</v>
      </c>
    </row>
    <row r="31" spans="1:5">
      <c r="A31" s="115">
        <v>2024</v>
      </c>
      <c r="B31" s="115">
        <v>101278</v>
      </c>
      <c r="C31" s="115" t="s">
        <v>421</v>
      </c>
      <c r="D31" s="115" t="s">
        <v>632</v>
      </c>
      <c r="E31" s="115">
        <v>239.5</v>
      </c>
    </row>
    <row r="32" spans="1:5">
      <c r="A32" s="115">
        <v>2025</v>
      </c>
      <c r="B32" s="115">
        <v>101279</v>
      </c>
      <c r="C32" s="115" t="s">
        <v>62</v>
      </c>
      <c r="D32" s="115" t="s">
        <v>632</v>
      </c>
      <c r="E32" s="115">
        <v>317</v>
      </c>
    </row>
    <row r="33" spans="1:5">
      <c r="A33" s="115">
        <v>2026</v>
      </c>
      <c r="B33" s="115">
        <v>101280</v>
      </c>
      <c r="C33" s="115" t="s">
        <v>270</v>
      </c>
      <c r="D33" s="115" t="s">
        <v>632</v>
      </c>
      <c r="E33" s="115">
        <v>518.5</v>
      </c>
    </row>
    <row r="34" spans="1:5">
      <c r="A34" s="115">
        <v>2028</v>
      </c>
      <c r="B34" s="115">
        <v>101282</v>
      </c>
      <c r="C34" s="115" t="s">
        <v>64</v>
      </c>
      <c r="D34" s="115" t="s">
        <v>632</v>
      </c>
      <c r="E34" s="115">
        <v>220</v>
      </c>
    </row>
    <row r="35" spans="1:5">
      <c r="A35" s="115">
        <v>2027</v>
      </c>
      <c r="B35" s="115">
        <v>101281</v>
      </c>
      <c r="C35" s="115" t="s">
        <v>65</v>
      </c>
      <c r="D35" s="115" t="s">
        <v>632</v>
      </c>
      <c r="E35" s="115">
        <v>331</v>
      </c>
    </row>
    <row r="36" spans="1:5">
      <c r="A36" s="115">
        <v>2029</v>
      </c>
      <c r="B36" s="115">
        <v>101283</v>
      </c>
      <c r="C36" s="115" t="s">
        <v>271</v>
      </c>
      <c r="D36" s="115" t="s">
        <v>632</v>
      </c>
      <c r="E36" s="115">
        <v>454</v>
      </c>
    </row>
    <row r="37" spans="1:5">
      <c r="A37" s="115">
        <v>3516</v>
      </c>
      <c r="B37" s="115">
        <v>130998</v>
      </c>
      <c r="C37" s="115" t="s">
        <v>68</v>
      </c>
      <c r="D37" s="115" t="s">
        <v>632</v>
      </c>
      <c r="E37" s="115">
        <v>214</v>
      </c>
    </row>
    <row r="38" spans="1:5">
      <c r="A38" s="115">
        <v>2031</v>
      </c>
      <c r="B38" s="115">
        <v>101285</v>
      </c>
      <c r="C38" s="115" t="s">
        <v>272</v>
      </c>
      <c r="D38" s="115" t="s">
        <v>632</v>
      </c>
      <c r="E38" s="115">
        <v>208</v>
      </c>
    </row>
    <row r="39" spans="1:5">
      <c r="A39" s="115">
        <v>2032</v>
      </c>
      <c r="B39" s="115">
        <v>101286</v>
      </c>
      <c r="C39" s="115" t="s">
        <v>273</v>
      </c>
      <c r="D39" s="115" t="s">
        <v>632</v>
      </c>
      <c r="E39" s="115">
        <v>446</v>
      </c>
    </row>
    <row r="40" spans="1:5">
      <c r="A40" s="115">
        <v>3304</v>
      </c>
      <c r="B40" s="115">
        <v>101317</v>
      </c>
      <c r="C40" s="115" t="s">
        <v>274</v>
      </c>
      <c r="D40" s="115" t="s">
        <v>632</v>
      </c>
      <c r="E40" s="115">
        <v>218.5</v>
      </c>
    </row>
    <row r="41" spans="1:5">
      <c r="A41" s="115">
        <v>2036</v>
      </c>
      <c r="B41" s="115">
        <v>101289</v>
      </c>
      <c r="C41" s="115" t="s">
        <v>422</v>
      </c>
      <c r="D41" s="115" t="s">
        <v>632</v>
      </c>
      <c r="E41" s="115">
        <v>246.5</v>
      </c>
    </row>
    <row r="42" spans="1:5">
      <c r="A42" s="115">
        <v>2037</v>
      </c>
      <c r="B42" s="115">
        <v>101290</v>
      </c>
      <c r="C42" s="115" t="s">
        <v>275</v>
      </c>
      <c r="D42" s="115" t="s">
        <v>632</v>
      </c>
      <c r="E42" s="115">
        <v>263</v>
      </c>
    </row>
    <row r="43" spans="1:5">
      <c r="A43" s="115">
        <v>3523</v>
      </c>
      <c r="B43" s="115">
        <v>135226</v>
      </c>
      <c r="C43" s="115" t="s">
        <v>276</v>
      </c>
      <c r="D43" s="115" t="s">
        <v>632</v>
      </c>
      <c r="E43" s="115">
        <v>663</v>
      </c>
    </row>
    <row r="44" spans="1:5">
      <c r="A44" s="115">
        <v>5948</v>
      </c>
      <c r="B44" s="115">
        <v>101376</v>
      </c>
      <c r="C44" s="115" t="s">
        <v>277</v>
      </c>
      <c r="D44" s="115" t="s">
        <v>632</v>
      </c>
      <c r="E44" s="115">
        <v>224</v>
      </c>
    </row>
    <row r="45" spans="1:5">
      <c r="A45" s="115">
        <v>5949</v>
      </c>
      <c r="B45" s="115">
        <v>131359</v>
      </c>
      <c r="C45" s="115" t="s">
        <v>76</v>
      </c>
      <c r="D45" s="115" t="s">
        <v>632</v>
      </c>
      <c r="E45" s="115">
        <v>406</v>
      </c>
    </row>
    <row r="46" spans="1:5">
      <c r="A46" s="115">
        <v>3513</v>
      </c>
      <c r="B46" s="115">
        <v>101341</v>
      </c>
      <c r="C46" s="115" t="s">
        <v>77</v>
      </c>
      <c r="D46" s="115" t="s">
        <v>632</v>
      </c>
      <c r="E46" s="115">
        <v>430</v>
      </c>
    </row>
    <row r="47" spans="1:5">
      <c r="A47" s="115">
        <v>3305</v>
      </c>
      <c r="B47" s="115">
        <v>101318</v>
      </c>
      <c r="C47" s="115" t="s">
        <v>278</v>
      </c>
      <c r="D47" s="115" t="s">
        <v>632</v>
      </c>
      <c r="E47" s="115">
        <v>148</v>
      </c>
    </row>
    <row r="48" spans="1:5">
      <c r="A48" s="115">
        <v>2042</v>
      </c>
      <c r="B48" s="115">
        <v>101293</v>
      </c>
      <c r="C48" s="115" t="s">
        <v>279</v>
      </c>
      <c r="D48" s="115" t="s">
        <v>632</v>
      </c>
      <c r="E48" s="115">
        <v>423</v>
      </c>
    </row>
    <row r="49" spans="1:5">
      <c r="A49" s="115">
        <v>2044</v>
      </c>
      <c r="B49" s="115">
        <v>101295</v>
      </c>
      <c r="C49" s="115" t="s">
        <v>80</v>
      </c>
      <c r="D49" s="115" t="s">
        <v>632</v>
      </c>
      <c r="E49" s="115">
        <v>352</v>
      </c>
    </row>
    <row r="50" spans="1:5">
      <c r="A50" s="115">
        <v>2043</v>
      </c>
      <c r="B50" s="115">
        <v>101294</v>
      </c>
      <c r="C50" s="115" t="s">
        <v>81</v>
      </c>
      <c r="D50" s="115" t="s">
        <v>632</v>
      </c>
      <c r="E50" s="115">
        <v>442</v>
      </c>
    </row>
    <row r="51" spans="1:5">
      <c r="A51" s="115">
        <v>1002</v>
      </c>
      <c r="B51" s="115">
        <v>101253</v>
      </c>
      <c r="C51" s="115" t="s">
        <v>29</v>
      </c>
      <c r="D51" s="115" t="s">
        <v>632</v>
      </c>
      <c r="E51" s="115">
        <v>69.5</v>
      </c>
    </row>
    <row r="52" spans="1:5">
      <c r="A52" s="115">
        <v>2045</v>
      </c>
      <c r="B52" s="115">
        <v>101296</v>
      </c>
      <c r="C52" s="115" t="s">
        <v>280</v>
      </c>
      <c r="D52" s="115" t="s">
        <v>632</v>
      </c>
      <c r="E52" s="115">
        <v>249</v>
      </c>
    </row>
    <row r="53" spans="1:5">
      <c r="A53" s="115">
        <v>2077</v>
      </c>
      <c r="B53" s="115">
        <v>131970</v>
      </c>
      <c r="C53" s="115" t="s">
        <v>293</v>
      </c>
      <c r="D53" s="115" t="s">
        <v>632</v>
      </c>
      <c r="E53" s="115">
        <v>915</v>
      </c>
    </row>
    <row r="54" spans="1:5">
      <c r="A54" s="115">
        <v>5201</v>
      </c>
      <c r="B54" s="115">
        <v>101356</v>
      </c>
      <c r="C54" s="115" t="s">
        <v>281</v>
      </c>
      <c r="D54" s="115" t="s">
        <v>632</v>
      </c>
      <c r="E54" s="115">
        <v>412</v>
      </c>
    </row>
    <row r="55" spans="1:5">
      <c r="A55" s="115">
        <v>3501</v>
      </c>
      <c r="B55" s="115">
        <v>101331</v>
      </c>
      <c r="C55" s="115" t="s">
        <v>85</v>
      </c>
      <c r="D55" s="115" t="s">
        <v>632</v>
      </c>
      <c r="E55" s="115">
        <v>226.5</v>
      </c>
    </row>
    <row r="56" spans="1:5">
      <c r="A56" s="115">
        <v>2078</v>
      </c>
      <c r="B56" s="115">
        <v>133364</v>
      </c>
      <c r="C56" s="115" t="s">
        <v>282</v>
      </c>
      <c r="D56" s="115" t="s">
        <v>632</v>
      </c>
      <c r="E56" s="115">
        <v>355</v>
      </c>
    </row>
    <row r="57" spans="1:5">
      <c r="B57" s="115">
        <v>101312</v>
      </c>
      <c r="C57" s="115" t="s">
        <v>423</v>
      </c>
      <c r="D57" s="115" t="s">
        <v>632</v>
      </c>
      <c r="E57" s="115">
        <v>213.5</v>
      </c>
    </row>
    <row r="58" spans="1:5">
      <c r="B58" s="115">
        <v>101313</v>
      </c>
      <c r="C58" s="115" t="s">
        <v>88</v>
      </c>
      <c r="D58" s="115" t="s">
        <v>632</v>
      </c>
      <c r="E58" s="115">
        <v>297</v>
      </c>
    </row>
    <row r="59" spans="1:5" s="118" customFormat="1">
      <c r="A59" s="118">
        <v>2072</v>
      </c>
      <c r="C59" s="118" t="s">
        <v>635</v>
      </c>
      <c r="D59" s="118" t="s">
        <v>632</v>
      </c>
      <c r="E59" s="118">
        <f>SUM(E57:E58)</f>
        <v>510.5</v>
      </c>
    </row>
    <row r="60" spans="1:5">
      <c r="A60" s="115">
        <v>3512</v>
      </c>
      <c r="B60" s="115">
        <v>101340</v>
      </c>
      <c r="C60" s="115" t="s">
        <v>284</v>
      </c>
      <c r="D60" s="115" t="s">
        <v>632</v>
      </c>
      <c r="E60" s="115">
        <v>365</v>
      </c>
    </row>
    <row r="61" spans="1:5">
      <c r="A61" s="115">
        <v>3510</v>
      </c>
      <c r="B61" s="115">
        <v>101338</v>
      </c>
      <c r="C61" s="115" t="s">
        <v>285</v>
      </c>
      <c r="D61" s="115" t="s">
        <v>632</v>
      </c>
      <c r="E61" s="115">
        <v>400</v>
      </c>
    </row>
    <row r="62" spans="1:5">
      <c r="A62" s="115">
        <v>2053</v>
      </c>
      <c r="B62" s="115">
        <v>146803</v>
      </c>
      <c r="C62" s="115" t="s">
        <v>519</v>
      </c>
      <c r="D62" s="115" t="s">
        <v>632</v>
      </c>
      <c r="E62" s="115">
        <v>229</v>
      </c>
    </row>
    <row r="63" spans="1:5">
      <c r="A63" s="115">
        <v>3502</v>
      </c>
      <c r="B63" s="115">
        <v>101332</v>
      </c>
      <c r="C63" s="115" t="s">
        <v>633</v>
      </c>
      <c r="D63" s="115" t="s">
        <v>632</v>
      </c>
      <c r="E63" s="115">
        <v>395.5</v>
      </c>
    </row>
    <row r="64" spans="1:5">
      <c r="A64" s="115">
        <v>3315</v>
      </c>
      <c r="B64" s="115">
        <v>101327</v>
      </c>
      <c r="C64" s="115" t="s">
        <v>428</v>
      </c>
      <c r="D64" s="115" t="s">
        <v>632</v>
      </c>
      <c r="E64" s="115">
        <v>207</v>
      </c>
    </row>
    <row r="65" spans="1:5">
      <c r="A65" s="115">
        <v>3504</v>
      </c>
      <c r="B65" s="115">
        <v>101333</v>
      </c>
      <c r="C65" s="115" t="s">
        <v>287</v>
      </c>
      <c r="D65" s="115" t="s">
        <v>632</v>
      </c>
      <c r="E65" s="115">
        <v>459.5</v>
      </c>
    </row>
    <row r="66" spans="1:5">
      <c r="A66" s="115">
        <v>3307</v>
      </c>
      <c r="B66" s="115">
        <v>101319</v>
      </c>
      <c r="C66" s="115" t="s">
        <v>425</v>
      </c>
      <c r="D66" s="115" t="s">
        <v>632</v>
      </c>
      <c r="E66" s="115">
        <v>230.5</v>
      </c>
    </row>
    <row r="67" spans="1:5">
      <c r="A67" s="115">
        <v>3309</v>
      </c>
      <c r="B67" s="115">
        <v>101321</v>
      </c>
      <c r="C67" s="115" t="s">
        <v>634</v>
      </c>
      <c r="D67" s="115" t="s">
        <v>632</v>
      </c>
      <c r="E67" s="115">
        <v>232.5</v>
      </c>
    </row>
    <row r="68" spans="1:5">
      <c r="A68" s="115">
        <v>3509</v>
      </c>
      <c r="B68" s="115">
        <v>101337</v>
      </c>
      <c r="C68" s="115" t="s">
        <v>414</v>
      </c>
      <c r="D68" s="115" t="s">
        <v>632</v>
      </c>
      <c r="E68" s="115">
        <v>472.5</v>
      </c>
    </row>
    <row r="69" spans="1:5">
      <c r="A69" s="115">
        <v>3311</v>
      </c>
      <c r="B69" s="115">
        <v>101323</v>
      </c>
      <c r="C69" s="115" t="s">
        <v>427</v>
      </c>
      <c r="D69" s="115" t="s">
        <v>632</v>
      </c>
      <c r="E69" s="115">
        <v>444</v>
      </c>
    </row>
    <row r="70" spans="1:5">
      <c r="A70" s="115">
        <v>3312</v>
      </c>
      <c r="B70" s="115">
        <v>101324</v>
      </c>
      <c r="C70" s="115" t="s">
        <v>288</v>
      </c>
      <c r="D70" s="115" t="s">
        <v>632</v>
      </c>
      <c r="E70" s="115">
        <v>210</v>
      </c>
    </row>
    <row r="71" spans="1:5">
      <c r="A71" s="115">
        <v>3313</v>
      </c>
      <c r="B71" s="115">
        <v>101325</v>
      </c>
      <c r="C71" s="115" t="s">
        <v>289</v>
      </c>
      <c r="D71" s="115" t="s">
        <v>632</v>
      </c>
      <c r="E71" s="115">
        <v>211.5</v>
      </c>
    </row>
    <row r="72" spans="1:5">
      <c r="A72" s="115">
        <v>3314</v>
      </c>
      <c r="B72" s="115">
        <v>101326</v>
      </c>
      <c r="C72" s="115" t="s">
        <v>338</v>
      </c>
      <c r="D72" s="115" t="s">
        <v>632</v>
      </c>
      <c r="E72" s="115">
        <v>207</v>
      </c>
    </row>
    <row r="73" spans="1:5">
      <c r="A73" s="115">
        <v>3507</v>
      </c>
      <c r="B73" s="115">
        <v>101335</v>
      </c>
      <c r="C73" s="115" t="s">
        <v>429</v>
      </c>
      <c r="D73" s="115" t="s">
        <v>632</v>
      </c>
      <c r="E73" s="115">
        <v>176</v>
      </c>
    </row>
    <row r="74" spans="1:5">
      <c r="A74" s="115">
        <v>3506</v>
      </c>
      <c r="B74" s="115">
        <v>101334</v>
      </c>
      <c r="C74" s="115" t="s">
        <v>386</v>
      </c>
      <c r="D74" s="115" t="s">
        <v>632</v>
      </c>
      <c r="E74" s="115">
        <v>283</v>
      </c>
    </row>
    <row r="75" spans="1:5">
      <c r="A75" s="115">
        <v>2070</v>
      </c>
      <c r="B75" s="115">
        <v>101311</v>
      </c>
      <c r="C75" s="115" t="s">
        <v>290</v>
      </c>
      <c r="D75" s="115" t="s">
        <v>632</v>
      </c>
      <c r="E75" s="115">
        <v>240</v>
      </c>
    </row>
    <row r="76" spans="1:5">
      <c r="A76" s="115">
        <v>3316</v>
      </c>
      <c r="B76" s="115">
        <v>101328</v>
      </c>
      <c r="C76" s="115" t="s">
        <v>294</v>
      </c>
      <c r="D76" s="115" t="s">
        <v>632</v>
      </c>
      <c r="E76" s="115">
        <v>210</v>
      </c>
    </row>
    <row r="77" spans="1:5">
      <c r="A77" s="115">
        <v>2055</v>
      </c>
      <c r="B77" s="115">
        <v>101299</v>
      </c>
      <c r="C77" s="115" t="s">
        <v>295</v>
      </c>
      <c r="D77" s="115" t="s">
        <v>632</v>
      </c>
      <c r="E77" s="115">
        <v>232</v>
      </c>
    </row>
    <row r="78" spans="1:5">
      <c r="A78" s="115">
        <v>2057</v>
      </c>
      <c r="B78" s="115">
        <v>101301</v>
      </c>
      <c r="C78" s="115" t="s">
        <v>433</v>
      </c>
      <c r="D78" s="115" t="s">
        <v>632</v>
      </c>
      <c r="E78" s="115">
        <v>511</v>
      </c>
    </row>
    <row r="79" spans="1:5">
      <c r="A79" s="115">
        <v>2076</v>
      </c>
      <c r="B79" s="115">
        <v>131617</v>
      </c>
      <c r="C79" s="115" t="s">
        <v>296</v>
      </c>
      <c r="D79" s="115" t="s">
        <v>632</v>
      </c>
      <c r="E79" s="115">
        <v>343.5</v>
      </c>
    </row>
    <row r="80" spans="1:5">
      <c r="A80" s="115">
        <v>2060</v>
      </c>
      <c r="B80" s="115">
        <v>101304</v>
      </c>
      <c r="C80" s="115" t="s">
        <v>297</v>
      </c>
      <c r="D80" s="115" t="s">
        <v>632</v>
      </c>
      <c r="E80" s="115">
        <v>438.5</v>
      </c>
    </row>
    <row r="81" spans="1:5">
      <c r="A81" s="115">
        <v>3518</v>
      </c>
      <c r="B81" s="115">
        <v>134677</v>
      </c>
      <c r="C81" s="115" t="s">
        <v>112</v>
      </c>
      <c r="D81" s="115" t="s">
        <v>632</v>
      </c>
      <c r="E81" s="115">
        <v>429.5</v>
      </c>
    </row>
    <row r="82" spans="1:5">
      <c r="A82" s="115">
        <v>2054</v>
      </c>
      <c r="B82" s="115">
        <v>101298</v>
      </c>
      <c r="C82" s="115" t="s">
        <v>298</v>
      </c>
      <c r="D82" s="115" t="s">
        <v>632</v>
      </c>
      <c r="E82" s="115">
        <v>207</v>
      </c>
    </row>
    <row r="83" spans="1:5">
      <c r="A83" s="115">
        <v>3521</v>
      </c>
      <c r="B83" s="115">
        <v>103119</v>
      </c>
      <c r="C83" s="115" t="s">
        <v>440</v>
      </c>
      <c r="D83" s="115" t="s">
        <v>632</v>
      </c>
      <c r="E83" s="115">
        <v>1567</v>
      </c>
    </row>
    <row r="84" spans="1:5">
      <c r="A84" s="115">
        <v>4003</v>
      </c>
      <c r="B84" s="115">
        <v>101345</v>
      </c>
      <c r="C84" s="115" t="s">
        <v>116</v>
      </c>
      <c r="D84" s="115" t="s">
        <v>632</v>
      </c>
      <c r="E84" s="115">
        <v>726</v>
      </c>
    </row>
    <row r="85" spans="1:5">
      <c r="A85" s="115">
        <v>5405</v>
      </c>
      <c r="B85" s="115">
        <v>101362</v>
      </c>
      <c r="C85" s="115" t="s">
        <v>115</v>
      </c>
      <c r="D85" s="115" t="s">
        <v>632</v>
      </c>
      <c r="E85" s="115">
        <v>1199</v>
      </c>
    </row>
    <row r="86" spans="1:5">
      <c r="A86" s="115">
        <v>5427</v>
      </c>
      <c r="B86" s="115">
        <v>135747</v>
      </c>
      <c r="C86" s="115" t="s">
        <v>315</v>
      </c>
      <c r="D86" s="115" t="s">
        <v>632</v>
      </c>
      <c r="E86" s="115">
        <v>1335</v>
      </c>
    </row>
    <row r="87" spans="1:5">
      <c r="A87" s="115">
        <v>4004</v>
      </c>
      <c r="B87" s="115">
        <v>142627</v>
      </c>
      <c r="C87" s="115" t="s">
        <v>432</v>
      </c>
      <c r="D87" s="115" t="s">
        <v>632</v>
      </c>
      <c r="E87" s="115">
        <v>377</v>
      </c>
    </row>
    <row r="88" spans="1:5">
      <c r="A88" s="115">
        <v>5407</v>
      </c>
      <c r="B88" s="115">
        <v>101364</v>
      </c>
      <c r="C88" s="115" t="s">
        <v>120</v>
      </c>
      <c r="D88" s="115" t="s">
        <v>632</v>
      </c>
      <c r="E88" s="115">
        <v>1283</v>
      </c>
    </row>
    <row r="89" spans="1:5">
      <c r="A89" s="115">
        <v>5404</v>
      </c>
      <c r="B89" s="115">
        <v>101361</v>
      </c>
      <c r="C89" s="115" t="s">
        <v>301</v>
      </c>
      <c r="D89" s="115" t="s">
        <v>632</v>
      </c>
      <c r="E89" s="115">
        <v>857</v>
      </c>
    </row>
    <row r="90" spans="1:5">
      <c r="A90" s="115">
        <v>7010</v>
      </c>
      <c r="B90" s="115">
        <v>101397</v>
      </c>
      <c r="C90" s="115" t="s">
        <v>124</v>
      </c>
      <c r="D90" s="115" t="s">
        <v>632</v>
      </c>
      <c r="E90" s="115">
        <v>104</v>
      </c>
    </row>
    <row r="91" spans="1:5">
      <c r="A91" s="115">
        <v>7005</v>
      </c>
      <c r="B91" s="115">
        <v>101395</v>
      </c>
      <c r="C91" s="115" t="s">
        <v>125</v>
      </c>
      <c r="D91" s="115" t="s">
        <v>632</v>
      </c>
      <c r="E91" s="115">
        <v>124</v>
      </c>
    </row>
    <row r="92" spans="1:5">
      <c r="A92" s="115">
        <v>7009</v>
      </c>
      <c r="B92" s="115">
        <v>101396</v>
      </c>
      <c r="C92" s="115" t="s">
        <v>430</v>
      </c>
      <c r="D92" s="115" t="s">
        <v>632</v>
      </c>
      <c r="E92" s="115">
        <v>138</v>
      </c>
    </row>
    <row r="93" spans="1:5">
      <c r="A93" s="115">
        <v>1102</v>
      </c>
      <c r="B93" s="115">
        <v>133749</v>
      </c>
      <c r="C93" s="115" t="s">
        <v>348</v>
      </c>
      <c r="D93" s="115" t="s">
        <v>632</v>
      </c>
      <c r="E93" s="115">
        <v>30</v>
      </c>
    </row>
    <row r="94" spans="1:5">
      <c r="A94" s="115">
        <v>1100</v>
      </c>
      <c r="B94" s="115">
        <v>101255</v>
      </c>
      <c r="C94" s="115" t="s">
        <v>327</v>
      </c>
      <c r="D94" s="115" t="s">
        <v>632</v>
      </c>
      <c r="E94" s="115">
        <v>107</v>
      </c>
    </row>
    <row r="95" spans="1:5">
      <c r="E95" s="115">
        <f>SUM(E6:E94)-E57-E58</f>
        <v>32851.5</v>
      </c>
    </row>
    <row r="96" spans="1:5">
      <c r="E96" s="115">
        <v>-176</v>
      </c>
    </row>
    <row r="97" spans="5:5">
      <c r="E97" s="115">
        <f>SUM(E95:E96)</f>
        <v>32675.5</v>
      </c>
    </row>
  </sheetData>
  <autoFilter ref="C2:E94" xr:uid="{00000000-0009-0000-0000-000000000000}"/>
  <sortState xmlns:xlrd2="http://schemas.microsoft.com/office/spreadsheetml/2017/richdata2" ref="A7:F56">
    <sortCondition ref="C7:C56"/>
  </sortState>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9E2B-5E4C-4EB1-BB65-8564CA54A17F}">
  <dimension ref="A1:S93"/>
  <sheetViews>
    <sheetView workbookViewId="0">
      <pane xSplit="5" ySplit="6" topLeftCell="F76" activePane="bottomRight" state="frozen"/>
      <selection activeCell="D6" sqref="D6"/>
      <selection pane="topRight" activeCell="D6" sqref="D6"/>
      <selection pane="bottomLeft" activeCell="D6" sqref="D6"/>
      <selection pane="bottomRight" activeCell="D6" sqref="D6"/>
    </sheetView>
  </sheetViews>
  <sheetFormatPr defaultColWidth="9.109375" defaultRowHeight="13.2"/>
  <cols>
    <col min="1" max="5" width="9.109375" style="442"/>
    <col min="6" max="6" width="53.109375" style="442" bestFit="1" customWidth="1"/>
    <col min="7" max="7" width="15" style="442" bestFit="1" customWidth="1"/>
    <col min="8" max="8" width="14.109375" style="442" customWidth="1"/>
    <col min="9" max="9" width="11.88671875" style="442" customWidth="1"/>
    <col min="10" max="10" width="11" style="442" customWidth="1"/>
    <col min="11" max="12" width="9.109375" style="442"/>
    <col min="13" max="13" width="10.88671875" style="442" customWidth="1"/>
    <col min="14" max="14" width="10.5546875" style="442" customWidth="1"/>
    <col min="15" max="15" width="10" style="442" customWidth="1"/>
    <col min="16" max="16" width="10.109375" style="442" customWidth="1"/>
    <col min="17" max="17" width="10.33203125" style="442" customWidth="1"/>
    <col min="18" max="18" width="11.5546875" style="442" customWidth="1"/>
    <col min="19" max="19" width="12" style="442" customWidth="1"/>
    <col min="20" max="16384" width="9.109375" style="442"/>
  </cols>
  <sheetData>
    <row r="1" spans="1:19">
      <c r="A1" s="440" t="s">
        <v>699</v>
      </c>
      <c r="B1" s="441" t="s">
        <v>700</v>
      </c>
    </row>
    <row r="2" spans="1:19">
      <c r="A2" s="443" t="s">
        <v>701</v>
      </c>
    </row>
    <row r="3" spans="1:19">
      <c r="E3" s="458">
        <v>1</v>
      </c>
      <c r="F3" s="458">
        <v>2</v>
      </c>
      <c r="G3" s="458">
        <v>3</v>
      </c>
      <c r="H3" s="458">
        <v>4</v>
      </c>
      <c r="I3" s="458">
        <v>5</v>
      </c>
      <c r="J3" s="458">
        <v>6</v>
      </c>
      <c r="K3" s="458">
        <v>7</v>
      </c>
      <c r="L3" s="458">
        <v>8</v>
      </c>
      <c r="M3" s="458">
        <v>9</v>
      </c>
      <c r="N3" s="458">
        <v>10</v>
      </c>
      <c r="O3" s="458">
        <v>11</v>
      </c>
      <c r="P3" s="458">
        <v>12</v>
      </c>
      <c r="Q3" s="458">
        <v>13</v>
      </c>
      <c r="R3" s="458">
        <v>14</v>
      </c>
      <c r="S3" s="458">
        <v>15</v>
      </c>
    </row>
    <row r="4" spans="1:19">
      <c r="A4" s="656"/>
      <c r="B4" s="656"/>
      <c r="C4" s="656"/>
      <c r="D4" s="656"/>
      <c r="E4" s="656"/>
      <c r="F4" s="656"/>
      <c r="G4" s="656"/>
      <c r="H4" s="656"/>
      <c r="I4" s="656"/>
      <c r="J4" s="657" t="s">
        <v>702</v>
      </c>
      <c r="K4" s="657"/>
      <c r="L4" s="657"/>
      <c r="M4" s="657"/>
      <c r="N4" s="657"/>
      <c r="O4" s="657"/>
      <c r="P4" s="657"/>
      <c r="Q4" s="657"/>
      <c r="R4" s="657" t="s">
        <v>662</v>
      </c>
      <c r="S4" s="657"/>
    </row>
    <row r="5" spans="1:19">
      <c r="A5" s="656"/>
      <c r="B5" s="656"/>
      <c r="C5" s="656"/>
      <c r="D5" s="656"/>
      <c r="E5" s="656"/>
      <c r="F5" s="656"/>
      <c r="G5" s="656"/>
      <c r="H5" s="656"/>
      <c r="I5" s="656"/>
      <c r="J5" s="657" t="s">
        <v>663</v>
      </c>
      <c r="K5" s="657"/>
      <c r="L5" s="657"/>
      <c r="M5" s="657"/>
      <c r="N5" s="657" t="s">
        <v>664</v>
      </c>
      <c r="O5" s="657"/>
      <c r="P5" s="657"/>
      <c r="Q5" s="657"/>
      <c r="R5" s="444"/>
      <c r="S5" s="444"/>
    </row>
    <row r="6" spans="1:19" ht="132">
      <c r="A6" s="445" t="s">
        <v>703</v>
      </c>
      <c r="B6" s="445" t="s">
        <v>704</v>
      </c>
      <c r="C6" s="445" t="s">
        <v>705</v>
      </c>
      <c r="D6" s="445" t="s">
        <v>706</v>
      </c>
      <c r="E6" s="445" t="s">
        <v>707</v>
      </c>
      <c r="F6" s="445" t="s">
        <v>128</v>
      </c>
      <c r="G6" s="445" t="s">
        <v>419</v>
      </c>
      <c r="H6" s="445" t="s">
        <v>668</v>
      </c>
      <c r="I6" s="446" t="s">
        <v>708</v>
      </c>
      <c r="J6" s="445" t="s">
        <v>709</v>
      </c>
      <c r="K6" s="445" t="s">
        <v>671</v>
      </c>
      <c r="L6" s="445" t="s">
        <v>710</v>
      </c>
      <c r="M6" s="445" t="s">
        <v>711</v>
      </c>
      <c r="N6" s="445" t="s">
        <v>712</v>
      </c>
      <c r="O6" s="445" t="s">
        <v>675</v>
      </c>
      <c r="P6" s="445" t="s">
        <v>713</v>
      </c>
      <c r="Q6" s="445" t="s">
        <v>711</v>
      </c>
      <c r="R6" s="446" t="s">
        <v>678</v>
      </c>
      <c r="S6" s="460" t="s">
        <v>714</v>
      </c>
    </row>
    <row r="7" spans="1:19">
      <c r="A7" s="447">
        <v>101255</v>
      </c>
      <c r="B7" s="447">
        <v>3021100</v>
      </c>
      <c r="C7" s="447">
        <v>302</v>
      </c>
      <c r="D7" s="444" t="s">
        <v>431</v>
      </c>
      <c r="E7" s="447">
        <v>1100</v>
      </c>
      <c r="F7" s="444" t="s">
        <v>327</v>
      </c>
      <c r="G7" s="444" t="s">
        <v>446</v>
      </c>
      <c r="H7" s="444" t="s">
        <v>683</v>
      </c>
      <c r="I7" s="448">
        <v>45</v>
      </c>
      <c r="J7" s="448">
        <v>6</v>
      </c>
      <c r="K7" s="448">
        <v>2</v>
      </c>
      <c r="L7" s="448">
        <v>33.33</v>
      </c>
      <c r="M7" s="449">
        <v>2770</v>
      </c>
      <c r="N7" s="448">
        <v>39</v>
      </c>
      <c r="O7" s="448">
        <v>30</v>
      </c>
      <c r="P7" s="448">
        <v>76.92</v>
      </c>
      <c r="Q7" s="449">
        <v>29550</v>
      </c>
      <c r="R7" s="450">
        <v>32</v>
      </c>
      <c r="S7" s="461">
        <v>32320</v>
      </c>
    </row>
    <row r="8" spans="1:19">
      <c r="A8" s="447">
        <v>133749</v>
      </c>
      <c r="B8" s="447">
        <v>3021102</v>
      </c>
      <c r="C8" s="447">
        <v>302</v>
      </c>
      <c r="D8" s="444" t="s">
        <v>431</v>
      </c>
      <c r="E8" s="447">
        <v>1102</v>
      </c>
      <c r="F8" s="444" t="s">
        <v>348</v>
      </c>
      <c r="G8" s="444" t="s">
        <v>446</v>
      </c>
      <c r="H8" s="444" t="s">
        <v>681</v>
      </c>
      <c r="I8" s="448">
        <v>3.5</v>
      </c>
      <c r="J8" s="448">
        <v>0</v>
      </c>
      <c r="K8" s="448">
        <v>0</v>
      </c>
      <c r="L8" s="448">
        <v>0</v>
      </c>
      <c r="M8" s="449">
        <v>0</v>
      </c>
      <c r="N8" s="448">
        <v>3.5</v>
      </c>
      <c r="O8" s="448">
        <v>2.5</v>
      </c>
      <c r="P8" s="448">
        <v>71.430000000000007</v>
      </c>
      <c r="Q8" s="449">
        <v>2462.5</v>
      </c>
      <c r="R8" s="450">
        <v>2.5</v>
      </c>
      <c r="S8" s="461">
        <v>2462.5</v>
      </c>
    </row>
    <row r="9" spans="1:19">
      <c r="A9" s="447">
        <v>101258</v>
      </c>
      <c r="B9" s="447">
        <v>3022002</v>
      </c>
      <c r="C9" s="447">
        <v>302</v>
      </c>
      <c r="D9" s="444" t="s">
        <v>431</v>
      </c>
      <c r="E9" s="447">
        <v>2002</v>
      </c>
      <c r="F9" s="444" t="s">
        <v>258</v>
      </c>
      <c r="G9" s="444" t="s">
        <v>680</v>
      </c>
      <c r="H9" s="444" t="s">
        <v>681</v>
      </c>
      <c r="I9" s="448">
        <v>419</v>
      </c>
      <c r="J9" s="448">
        <v>419</v>
      </c>
      <c r="K9" s="448">
        <v>104</v>
      </c>
      <c r="L9" s="448">
        <v>24.82</v>
      </c>
      <c r="M9" s="449">
        <v>144040</v>
      </c>
      <c r="N9" s="448">
        <v>0</v>
      </c>
      <c r="O9" s="448">
        <v>0</v>
      </c>
      <c r="P9" s="448">
        <v>0</v>
      </c>
      <c r="Q9" s="449">
        <v>0</v>
      </c>
      <c r="R9" s="450">
        <v>104</v>
      </c>
      <c r="S9" s="461">
        <v>144040</v>
      </c>
    </row>
    <row r="10" spans="1:19">
      <c r="A10" s="447">
        <v>101259</v>
      </c>
      <c r="B10" s="447">
        <v>3022003</v>
      </c>
      <c r="C10" s="447">
        <v>302</v>
      </c>
      <c r="D10" s="444" t="s">
        <v>431</v>
      </c>
      <c r="E10" s="447">
        <v>2003</v>
      </c>
      <c r="F10" s="444" t="s">
        <v>260</v>
      </c>
      <c r="G10" s="444" t="s">
        <v>680</v>
      </c>
      <c r="H10" s="444" t="s">
        <v>681</v>
      </c>
      <c r="I10" s="448">
        <v>359</v>
      </c>
      <c r="J10" s="448">
        <v>359</v>
      </c>
      <c r="K10" s="448">
        <v>157</v>
      </c>
      <c r="L10" s="448">
        <v>43.73</v>
      </c>
      <c r="M10" s="449">
        <v>217445</v>
      </c>
      <c r="N10" s="448">
        <v>0</v>
      </c>
      <c r="O10" s="448">
        <v>0</v>
      </c>
      <c r="P10" s="448">
        <v>0</v>
      </c>
      <c r="Q10" s="449">
        <v>0</v>
      </c>
      <c r="R10" s="450">
        <v>157</v>
      </c>
      <c r="S10" s="461">
        <v>217445</v>
      </c>
    </row>
    <row r="11" spans="1:19">
      <c r="A11" s="447">
        <v>101262</v>
      </c>
      <c r="B11" s="447">
        <v>3022007</v>
      </c>
      <c r="C11" s="447">
        <v>302</v>
      </c>
      <c r="D11" s="444" t="s">
        <v>431</v>
      </c>
      <c r="E11" s="447">
        <v>2007</v>
      </c>
      <c r="F11" s="444" t="s">
        <v>42</v>
      </c>
      <c r="G11" s="444" t="s">
        <v>680</v>
      </c>
      <c r="H11" s="444" t="s">
        <v>682</v>
      </c>
      <c r="I11" s="448">
        <v>358</v>
      </c>
      <c r="J11" s="448">
        <v>358</v>
      </c>
      <c r="K11" s="448">
        <v>79</v>
      </c>
      <c r="L11" s="448">
        <v>22.07</v>
      </c>
      <c r="M11" s="449">
        <v>109415</v>
      </c>
      <c r="N11" s="448">
        <v>0</v>
      </c>
      <c r="O11" s="448">
        <v>0</v>
      </c>
      <c r="P11" s="448">
        <v>0</v>
      </c>
      <c r="Q11" s="449">
        <v>0</v>
      </c>
      <c r="R11" s="450">
        <v>79</v>
      </c>
      <c r="S11" s="461">
        <v>109415</v>
      </c>
    </row>
    <row r="12" spans="1:19">
      <c r="A12" s="447">
        <v>101263</v>
      </c>
      <c r="B12" s="447">
        <v>3022008</v>
      </c>
      <c r="C12" s="447">
        <v>302</v>
      </c>
      <c r="D12" s="444" t="s">
        <v>431</v>
      </c>
      <c r="E12" s="447">
        <v>2008</v>
      </c>
      <c r="F12" s="444" t="s">
        <v>261</v>
      </c>
      <c r="G12" s="444" t="s">
        <v>680</v>
      </c>
      <c r="H12" s="444" t="s">
        <v>682</v>
      </c>
      <c r="I12" s="448">
        <v>270</v>
      </c>
      <c r="J12" s="448">
        <v>270</v>
      </c>
      <c r="K12" s="448">
        <v>41</v>
      </c>
      <c r="L12" s="448">
        <v>15.19</v>
      </c>
      <c r="M12" s="449">
        <v>56785</v>
      </c>
      <c r="N12" s="448">
        <v>0</v>
      </c>
      <c r="O12" s="448">
        <v>0</v>
      </c>
      <c r="P12" s="448">
        <v>0</v>
      </c>
      <c r="Q12" s="449">
        <v>0</v>
      </c>
      <c r="R12" s="450">
        <v>41</v>
      </c>
      <c r="S12" s="461">
        <v>56785</v>
      </c>
    </row>
    <row r="13" spans="1:19">
      <c r="A13" s="447">
        <v>101264</v>
      </c>
      <c r="B13" s="447">
        <v>3022009</v>
      </c>
      <c r="C13" s="447">
        <v>302</v>
      </c>
      <c r="D13" s="444" t="s">
        <v>431</v>
      </c>
      <c r="E13" s="447">
        <v>2009</v>
      </c>
      <c r="F13" s="444" t="s">
        <v>262</v>
      </c>
      <c r="G13" s="444" t="s">
        <v>680</v>
      </c>
      <c r="H13" s="444" t="s">
        <v>683</v>
      </c>
      <c r="I13" s="448">
        <v>421</v>
      </c>
      <c r="J13" s="448">
        <v>421</v>
      </c>
      <c r="K13" s="448">
        <v>78</v>
      </c>
      <c r="L13" s="448">
        <v>18.53</v>
      </c>
      <c r="M13" s="449">
        <v>108030</v>
      </c>
      <c r="N13" s="448">
        <v>0</v>
      </c>
      <c r="O13" s="448">
        <v>0</v>
      </c>
      <c r="P13" s="448">
        <v>0</v>
      </c>
      <c r="Q13" s="449">
        <v>0</v>
      </c>
      <c r="R13" s="450">
        <v>78</v>
      </c>
      <c r="S13" s="461">
        <v>108030</v>
      </c>
    </row>
    <row r="14" spans="1:19">
      <c r="A14" s="447">
        <v>101266</v>
      </c>
      <c r="B14" s="447">
        <v>3022011</v>
      </c>
      <c r="C14" s="447">
        <v>302</v>
      </c>
      <c r="D14" s="444" t="s">
        <v>431</v>
      </c>
      <c r="E14" s="447">
        <v>2011</v>
      </c>
      <c r="F14" s="444" t="s">
        <v>47</v>
      </c>
      <c r="G14" s="444" t="s">
        <v>680</v>
      </c>
      <c r="H14" s="444" t="s">
        <v>683</v>
      </c>
      <c r="I14" s="448">
        <v>208</v>
      </c>
      <c r="J14" s="448">
        <v>208</v>
      </c>
      <c r="K14" s="448">
        <v>32</v>
      </c>
      <c r="L14" s="448">
        <v>15.38</v>
      </c>
      <c r="M14" s="449">
        <v>44320</v>
      </c>
      <c r="N14" s="448">
        <v>0</v>
      </c>
      <c r="O14" s="448">
        <v>0</v>
      </c>
      <c r="P14" s="448">
        <v>0</v>
      </c>
      <c r="Q14" s="449">
        <v>0</v>
      </c>
      <c r="R14" s="450">
        <v>32</v>
      </c>
      <c r="S14" s="461">
        <v>44320</v>
      </c>
    </row>
    <row r="15" spans="1:19">
      <c r="A15" s="447">
        <v>101269</v>
      </c>
      <c r="B15" s="447">
        <v>3022014</v>
      </c>
      <c r="C15" s="447">
        <v>302</v>
      </c>
      <c r="D15" s="444" t="s">
        <v>431</v>
      </c>
      <c r="E15" s="447">
        <v>2014</v>
      </c>
      <c r="F15" s="444" t="s">
        <v>266</v>
      </c>
      <c r="G15" s="444" t="s">
        <v>680</v>
      </c>
      <c r="H15" s="444" t="s">
        <v>681</v>
      </c>
      <c r="I15" s="448">
        <v>627</v>
      </c>
      <c r="J15" s="448">
        <v>627</v>
      </c>
      <c r="K15" s="448">
        <v>203</v>
      </c>
      <c r="L15" s="448">
        <v>32.380000000000003</v>
      </c>
      <c r="M15" s="449">
        <v>281155</v>
      </c>
      <c r="N15" s="448">
        <v>0</v>
      </c>
      <c r="O15" s="448">
        <v>0</v>
      </c>
      <c r="P15" s="448">
        <v>0</v>
      </c>
      <c r="Q15" s="449">
        <v>0</v>
      </c>
      <c r="R15" s="450">
        <v>203</v>
      </c>
      <c r="S15" s="461">
        <v>281155</v>
      </c>
    </row>
    <row r="16" spans="1:19">
      <c r="A16" s="447">
        <v>101270</v>
      </c>
      <c r="B16" s="447">
        <v>3022015</v>
      </c>
      <c r="C16" s="447">
        <v>302</v>
      </c>
      <c r="D16" s="444" t="s">
        <v>431</v>
      </c>
      <c r="E16" s="447">
        <v>2015</v>
      </c>
      <c r="F16" s="444" t="s">
        <v>267</v>
      </c>
      <c r="G16" s="444" t="s">
        <v>680</v>
      </c>
      <c r="H16" s="444" t="s">
        <v>683</v>
      </c>
      <c r="I16" s="448">
        <v>209.5</v>
      </c>
      <c r="J16" s="448">
        <v>209.5</v>
      </c>
      <c r="K16" s="448">
        <v>70</v>
      </c>
      <c r="L16" s="448">
        <v>33.409999999999997</v>
      </c>
      <c r="M16" s="449">
        <v>96950</v>
      </c>
      <c r="N16" s="448">
        <v>0</v>
      </c>
      <c r="O16" s="448">
        <v>0</v>
      </c>
      <c r="P16" s="448">
        <v>0</v>
      </c>
      <c r="Q16" s="449">
        <v>0</v>
      </c>
      <c r="R16" s="450">
        <v>70</v>
      </c>
      <c r="S16" s="461">
        <v>96950</v>
      </c>
    </row>
    <row r="17" spans="1:19">
      <c r="A17" s="447">
        <v>101271</v>
      </c>
      <c r="B17" s="447">
        <v>3022016</v>
      </c>
      <c r="C17" s="447">
        <v>302</v>
      </c>
      <c r="D17" s="444" t="s">
        <v>431</v>
      </c>
      <c r="E17" s="447">
        <v>2016</v>
      </c>
      <c r="F17" s="444" t="s">
        <v>52</v>
      </c>
      <c r="G17" s="444" t="s">
        <v>680</v>
      </c>
      <c r="H17" s="444" t="s">
        <v>681</v>
      </c>
      <c r="I17" s="448">
        <v>210</v>
      </c>
      <c r="J17" s="448">
        <v>210</v>
      </c>
      <c r="K17" s="448">
        <v>26</v>
      </c>
      <c r="L17" s="448">
        <v>12.38</v>
      </c>
      <c r="M17" s="449">
        <v>36010</v>
      </c>
      <c r="N17" s="448">
        <v>0</v>
      </c>
      <c r="O17" s="448">
        <v>0</v>
      </c>
      <c r="P17" s="448">
        <v>0</v>
      </c>
      <c r="Q17" s="449">
        <v>0</v>
      </c>
      <c r="R17" s="450">
        <v>26</v>
      </c>
      <c r="S17" s="461">
        <v>36010</v>
      </c>
    </row>
    <row r="18" spans="1:19">
      <c r="A18" s="447">
        <v>101272</v>
      </c>
      <c r="B18" s="447">
        <v>3022017</v>
      </c>
      <c r="C18" s="447">
        <v>302</v>
      </c>
      <c r="D18" s="444" t="s">
        <v>431</v>
      </c>
      <c r="E18" s="447">
        <v>2017</v>
      </c>
      <c r="F18" s="444" t="s">
        <v>268</v>
      </c>
      <c r="G18" s="444" t="s">
        <v>680</v>
      </c>
      <c r="H18" s="444" t="s">
        <v>683</v>
      </c>
      <c r="I18" s="448">
        <v>415</v>
      </c>
      <c r="J18" s="448">
        <v>415</v>
      </c>
      <c r="K18" s="448">
        <v>99</v>
      </c>
      <c r="L18" s="448">
        <v>23.86</v>
      </c>
      <c r="M18" s="449">
        <v>137115</v>
      </c>
      <c r="N18" s="448">
        <v>0</v>
      </c>
      <c r="O18" s="448">
        <v>0</v>
      </c>
      <c r="P18" s="448">
        <v>0</v>
      </c>
      <c r="Q18" s="449">
        <v>0</v>
      </c>
      <c r="R18" s="450">
        <v>99</v>
      </c>
      <c r="S18" s="461">
        <v>137115</v>
      </c>
    </row>
    <row r="19" spans="1:19">
      <c r="A19" s="447">
        <v>101274</v>
      </c>
      <c r="B19" s="447">
        <v>3022019</v>
      </c>
      <c r="C19" s="447">
        <v>302</v>
      </c>
      <c r="D19" s="444" t="s">
        <v>431</v>
      </c>
      <c r="E19" s="447">
        <v>2019</v>
      </c>
      <c r="F19" s="444" t="s">
        <v>55</v>
      </c>
      <c r="G19" s="444" t="s">
        <v>680</v>
      </c>
      <c r="H19" s="444" t="s">
        <v>681</v>
      </c>
      <c r="I19" s="448">
        <v>217</v>
      </c>
      <c r="J19" s="448">
        <v>217</v>
      </c>
      <c r="K19" s="448">
        <v>47</v>
      </c>
      <c r="L19" s="448">
        <v>21.66</v>
      </c>
      <c r="M19" s="449">
        <v>65095</v>
      </c>
      <c r="N19" s="448">
        <v>0</v>
      </c>
      <c r="O19" s="448">
        <v>0</v>
      </c>
      <c r="P19" s="448">
        <v>0</v>
      </c>
      <c r="Q19" s="449">
        <v>0</v>
      </c>
      <c r="R19" s="450">
        <v>47</v>
      </c>
      <c r="S19" s="461">
        <v>65095</v>
      </c>
    </row>
    <row r="20" spans="1:19">
      <c r="A20" s="447">
        <v>101275</v>
      </c>
      <c r="B20" s="447">
        <v>3022021</v>
      </c>
      <c r="C20" s="447">
        <v>302</v>
      </c>
      <c r="D20" s="444" t="s">
        <v>431</v>
      </c>
      <c r="E20" s="447">
        <v>2021</v>
      </c>
      <c r="F20" s="444" t="s">
        <v>474</v>
      </c>
      <c r="G20" s="444" t="s">
        <v>680</v>
      </c>
      <c r="H20" s="444" t="s">
        <v>681</v>
      </c>
      <c r="I20" s="448">
        <v>415</v>
      </c>
      <c r="J20" s="448">
        <v>415</v>
      </c>
      <c r="K20" s="448">
        <v>128</v>
      </c>
      <c r="L20" s="448">
        <v>30.84</v>
      </c>
      <c r="M20" s="449">
        <v>177280</v>
      </c>
      <c r="N20" s="448">
        <v>0</v>
      </c>
      <c r="O20" s="448">
        <v>0</v>
      </c>
      <c r="P20" s="448">
        <v>0</v>
      </c>
      <c r="Q20" s="449">
        <v>0</v>
      </c>
      <c r="R20" s="450">
        <v>128</v>
      </c>
      <c r="S20" s="461">
        <v>177280</v>
      </c>
    </row>
    <row r="21" spans="1:19">
      <c r="A21" s="447">
        <v>101277</v>
      </c>
      <c r="B21" s="447">
        <v>3022023</v>
      </c>
      <c r="C21" s="447">
        <v>302</v>
      </c>
      <c r="D21" s="444" t="s">
        <v>431</v>
      </c>
      <c r="E21" s="447">
        <v>2023</v>
      </c>
      <c r="F21" s="444" t="s">
        <v>412</v>
      </c>
      <c r="G21" s="444" t="s">
        <v>680</v>
      </c>
      <c r="H21" s="444" t="s">
        <v>681</v>
      </c>
      <c r="I21" s="448">
        <v>458.5</v>
      </c>
      <c r="J21" s="448">
        <v>458.5</v>
      </c>
      <c r="K21" s="448">
        <v>170.5</v>
      </c>
      <c r="L21" s="448">
        <v>37.19</v>
      </c>
      <c r="M21" s="449">
        <v>236142.5</v>
      </c>
      <c r="N21" s="448">
        <v>0</v>
      </c>
      <c r="O21" s="448">
        <v>0</v>
      </c>
      <c r="P21" s="448">
        <v>0</v>
      </c>
      <c r="Q21" s="449">
        <v>0</v>
      </c>
      <c r="R21" s="450">
        <v>170.5</v>
      </c>
      <c r="S21" s="461">
        <v>236142.5</v>
      </c>
    </row>
    <row r="22" spans="1:19">
      <c r="A22" s="447">
        <v>101278</v>
      </c>
      <c r="B22" s="447">
        <v>3022024</v>
      </c>
      <c r="C22" s="447">
        <v>302</v>
      </c>
      <c r="D22" s="444" t="s">
        <v>431</v>
      </c>
      <c r="E22" s="447">
        <v>2024</v>
      </c>
      <c r="F22" s="444" t="s">
        <v>421</v>
      </c>
      <c r="G22" s="444" t="s">
        <v>680</v>
      </c>
      <c r="H22" s="444" t="s">
        <v>681</v>
      </c>
      <c r="I22" s="448">
        <v>202.5</v>
      </c>
      <c r="J22" s="448">
        <v>202.5</v>
      </c>
      <c r="K22" s="448">
        <v>68.5</v>
      </c>
      <c r="L22" s="448">
        <v>33.83</v>
      </c>
      <c r="M22" s="449">
        <v>94872.5</v>
      </c>
      <c r="N22" s="448">
        <v>0</v>
      </c>
      <c r="O22" s="448">
        <v>0</v>
      </c>
      <c r="P22" s="448">
        <v>0</v>
      </c>
      <c r="Q22" s="449">
        <v>0</v>
      </c>
      <c r="R22" s="450">
        <v>68.5</v>
      </c>
      <c r="S22" s="461">
        <v>94872.5</v>
      </c>
    </row>
    <row r="23" spans="1:19">
      <c r="A23" s="447">
        <v>101279</v>
      </c>
      <c r="B23" s="447">
        <v>3022025</v>
      </c>
      <c r="C23" s="447">
        <v>302</v>
      </c>
      <c r="D23" s="444" t="s">
        <v>431</v>
      </c>
      <c r="E23" s="447">
        <v>2025</v>
      </c>
      <c r="F23" s="444" t="s">
        <v>62</v>
      </c>
      <c r="G23" s="444" t="s">
        <v>680</v>
      </c>
      <c r="H23" s="444" t="s">
        <v>683</v>
      </c>
      <c r="I23" s="448">
        <v>317</v>
      </c>
      <c r="J23" s="448">
        <v>317</v>
      </c>
      <c r="K23" s="448">
        <v>6</v>
      </c>
      <c r="L23" s="448">
        <v>1.89</v>
      </c>
      <c r="M23" s="449">
        <v>8310</v>
      </c>
      <c r="N23" s="448">
        <v>0</v>
      </c>
      <c r="O23" s="448">
        <v>0</v>
      </c>
      <c r="P23" s="448">
        <v>0</v>
      </c>
      <c r="Q23" s="449">
        <v>0</v>
      </c>
      <c r="R23" s="450">
        <v>6</v>
      </c>
      <c r="S23" s="461">
        <v>8310</v>
      </c>
    </row>
    <row r="24" spans="1:19">
      <c r="A24" s="447">
        <v>101280</v>
      </c>
      <c r="B24" s="447">
        <v>3022026</v>
      </c>
      <c r="C24" s="447">
        <v>302</v>
      </c>
      <c r="D24" s="444" t="s">
        <v>431</v>
      </c>
      <c r="E24" s="447">
        <v>2026</v>
      </c>
      <c r="F24" s="444" t="s">
        <v>270</v>
      </c>
      <c r="G24" s="444" t="s">
        <v>680</v>
      </c>
      <c r="H24" s="444" t="s">
        <v>681</v>
      </c>
      <c r="I24" s="448">
        <v>454</v>
      </c>
      <c r="J24" s="448">
        <v>454</v>
      </c>
      <c r="K24" s="448">
        <v>79</v>
      </c>
      <c r="L24" s="448">
        <v>17.399999999999999</v>
      </c>
      <c r="M24" s="449">
        <v>109415</v>
      </c>
      <c r="N24" s="448">
        <v>0</v>
      </c>
      <c r="O24" s="448">
        <v>0</v>
      </c>
      <c r="P24" s="448">
        <v>0</v>
      </c>
      <c r="Q24" s="449">
        <v>0</v>
      </c>
      <c r="R24" s="450">
        <v>79</v>
      </c>
      <c r="S24" s="461">
        <v>109415</v>
      </c>
    </row>
    <row r="25" spans="1:19">
      <c r="A25" s="447">
        <v>101281</v>
      </c>
      <c r="B25" s="447">
        <v>3022027</v>
      </c>
      <c r="C25" s="447">
        <v>302</v>
      </c>
      <c r="D25" s="444" t="s">
        <v>431</v>
      </c>
      <c r="E25" s="447">
        <v>2027</v>
      </c>
      <c r="F25" s="444" t="s">
        <v>65</v>
      </c>
      <c r="G25" s="444" t="s">
        <v>680</v>
      </c>
      <c r="H25" s="444" t="s">
        <v>682</v>
      </c>
      <c r="I25" s="448">
        <v>337</v>
      </c>
      <c r="J25" s="448">
        <v>337</v>
      </c>
      <c r="K25" s="448">
        <v>75</v>
      </c>
      <c r="L25" s="448">
        <v>22.26</v>
      </c>
      <c r="M25" s="449">
        <v>103875</v>
      </c>
      <c r="N25" s="448">
        <v>0</v>
      </c>
      <c r="O25" s="448">
        <v>0</v>
      </c>
      <c r="P25" s="448">
        <v>0</v>
      </c>
      <c r="Q25" s="449">
        <v>0</v>
      </c>
      <c r="R25" s="450">
        <v>75</v>
      </c>
      <c r="S25" s="461">
        <v>103875</v>
      </c>
    </row>
    <row r="26" spans="1:19">
      <c r="A26" s="447">
        <v>101282</v>
      </c>
      <c r="B26" s="447">
        <v>3022028</v>
      </c>
      <c r="C26" s="447">
        <v>302</v>
      </c>
      <c r="D26" s="444" t="s">
        <v>431</v>
      </c>
      <c r="E26" s="447">
        <v>2028</v>
      </c>
      <c r="F26" s="444" t="s">
        <v>64</v>
      </c>
      <c r="G26" s="444" t="s">
        <v>680</v>
      </c>
      <c r="H26" s="444" t="s">
        <v>682</v>
      </c>
      <c r="I26" s="448">
        <v>222</v>
      </c>
      <c r="J26" s="448">
        <v>222</v>
      </c>
      <c r="K26" s="448">
        <v>48</v>
      </c>
      <c r="L26" s="448">
        <v>21.62</v>
      </c>
      <c r="M26" s="449">
        <v>66480</v>
      </c>
      <c r="N26" s="448">
        <v>0</v>
      </c>
      <c r="O26" s="448">
        <v>0</v>
      </c>
      <c r="P26" s="448">
        <v>0</v>
      </c>
      <c r="Q26" s="449">
        <v>0</v>
      </c>
      <c r="R26" s="450">
        <v>48</v>
      </c>
      <c r="S26" s="461">
        <v>66480</v>
      </c>
    </row>
    <row r="27" spans="1:19">
      <c r="A27" s="447">
        <v>101283</v>
      </c>
      <c r="B27" s="447">
        <v>3022029</v>
      </c>
      <c r="C27" s="447">
        <v>302</v>
      </c>
      <c r="D27" s="444" t="s">
        <v>431</v>
      </c>
      <c r="E27" s="447">
        <v>2029</v>
      </c>
      <c r="F27" s="444" t="s">
        <v>271</v>
      </c>
      <c r="G27" s="444" t="s">
        <v>680</v>
      </c>
      <c r="H27" s="444" t="s">
        <v>681</v>
      </c>
      <c r="I27" s="448">
        <v>412</v>
      </c>
      <c r="J27" s="448">
        <v>412</v>
      </c>
      <c r="K27" s="448">
        <v>154</v>
      </c>
      <c r="L27" s="448">
        <v>37.380000000000003</v>
      </c>
      <c r="M27" s="449">
        <v>213290</v>
      </c>
      <c r="N27" s="448">
        <v>0</v>
      </c>
      <c r="O27" s="448">
        <v>0</v>
      </c>
      <c r="P27" s="448">
        <v>0</v>
      </c>
      <c r="Q27" s="449">
        <v>0</v>
      </c>
      <c r="R27" s="450">
        <v>154</v>
      </c>
      <c r="S27" s="461">
        <v>213290</v>
      </c>
    </row>
    <row r="28" spans="1:19">
      <c r="A28" s="447">
        <v>101285</v>
      </c>
      <c r="B28" s="447">
        <v>3022031</v>
      </c>
      <c r="C28" s="447">
        <v>302</v>
      </c>
      <c r="D28" s="444" t="s">
        <v>431</v>
      </c>
      <c r="E28" s="447">
        <v>2031</v>
      </c>
      <c r="F28" s="444" t="s">
        <v>272</v>
      </c>
      <c r="G28" s="444" t="s">
        <v>680</v>
      </c>
      <c r="H28" s="444" t="s">
        <v>683</v>
      </c>
      <c r="I28" s="448">
        <v>185</v>
      </c>
      <c r="J28" s="448">
        <v>185</v>
      </c>
      <c r="K28" s="448">
        <v>68</v>
      </c>
      <c r="L28" s="448">
        <v>36.76</v>
      </c>
      <c r="M28" s="449">
        <v>94180</v>
      </c>
      <c r="N28" s="448">
        <v>0</v>
      </c>
      <c r="O28" s="448">
        <v>0</v>
      </c>
      <c r="P28" s="448">
        <v>0</v>
      </c>
      <c r="Q28" s="449">
        <v>0</v>
      </c>
      <c r="R28" s="450">
        <v>68</v>
      </c>
      <c r="S28" s="461">
        <v>94180</v>
      </c>
    </row>
    <row r="29" spans="1:19">
      <c r="A29" s="447">
        <v>101286</v>
      </c>
      <c r="B29" s="447">
        <v>3022032</v>
      </c>
      <c r="C29" s="447">
        <v>302</v>
      </c>
      <c r="D29" s="444" t="s">
        <v>431</v>
      </c>
      <c r="E29" s="447">
        <v>2032</v>
      </c>
      <c r="F29" s="444" t="s">
        <v>273</v>
      </c>
      <c r="G29" s="444" t="s">
        <v>680</v>
      </c>
      <c r="H29" s="444" t="s">
        <v>683</v>
      </c>
      <c r="I29" s="448">
        <v>416</v>
      </c>
      <c r="J29" s="448">
        <v>416</v>
      </c>
      <c r="K29" s="448">
        <v>82</v>
      </c>
      <c r="L29" s="448">
        <v>19.71</v>
      </c>
      <c r="M29" s="449">
        <v>113570</v>
      </c>
      <c r="N29" s="448">
        <v>0</v>
      </c>
      <c r="O29" s="448">
        <v>0</v>
      </c>
      <c r="P29" s="448">
        <v>0</v>
      </c>
      <c r="Q29" s="449">
        <v>0</v>
      </c>
      <c r="R29" s="450">
        <v>82</v>
      </c>
      <c r="S29" s="461">
        <v>113570</v>
      </c>
    </row>
    <row r="30" spans="1:19">
      <c r="A30" s="447">
        <v>101289</v>
      </c>
      <c r="B30" s="447">
        <v>3022036</v>
      </c>
      <c r="C30" s="447">
        <v>302</v>
      </c>
      <c r="D30" s="444" t="s">
        <v>431</v>
      </c>
      <c r="E30" s="447">
        <v>2036</v>
      </c>
      <c r="F30" s="444" t="s">
        <v>422</v>
      </c>
      <c r="G30" s="444" t="s">
        <v>680</v>
      </c>
      <c r="H30" s="444" t="s">
        <v>683</v>
      </c>
      <c r="I30" s="448">
        <v>211</v>
      </c>
      <c r="J30" s="448">
        <v>211</v>
      </c>
      <c r="K30" s="448">
        <v>93</v>
      </c>
      <c r="L30" s="448">
        <v>44.08</v>
      </c>
      <c r="M30" s="449">
        <v>128805</v>
      </c>
      <c r="N30" s="448">
        <v>0</v>
      </c>
      <c r="O30" s="448">
        <v>0</v>
      </c>
      <c r="P30" s="448">
        <v>0</v>
      </c>
      <c r="Q30" s="449">
        <v>0</v>
      </c>
      <c r="R30" s="450">
        <v>93</v>
      </c>
      <c r="S30" s="461">
        <v>128805</v>
      </c>
    </row>
    <row r="31" spans="1:19">
      <c r="A31" s="447">
        <v>101290</v>
      </c>
      <c r="B31" s="447">
        <v>3022037</v>
      </c>
      <c r="C31" s="447">
        <v>302</v>
      </c>
      <c r="D31" s="444" t="s">
        <v>431</v>
      </c>
      <c r="E31" s="447">
        <v>2037</v>
      </c>
      <c r="F31" s="444" t="s">
        <v>275</v>
      </c>
      <c r="G31" s="444" t="s">
        <v>680</v>
      </c>
      <c r="H31" s="444" t="s">
        <v>682</v>
      </c>
      <c r="I31" s="448">
        <v>238</v>
      </c>
      <c r="J31" s="448">
        <v>238</v>
      </c>
      <c r="K31" s="448">
        <v>39</v>
      </c>
      <c r="L31" s="448">
        <v>16.39</v>
      </c>
      <c r="M31" s="449">
        <v>54015</v>
      </c>
      <c r="N31" s="448">
        <v>0</v>
      </c>
      <c r="O31" s="448">
        <v>0</v>
      </c>
      <c r="P31" s="448">
        <v>0</v>
      </c>
      <c r="Q31" s="449">
        <v>0</v>
      </c>
      <c r="R31" s="450">
        <v>39</v>
      </c>
      <c r="S31" s="461">
        <v>54015</v>
      </c>
    </row>
    <row r="32" spans="1:19">
      <c r="A32" s="447">
        <v>101293</v>
      </c>
      <c r="B32" s="447">
        <v>3022042</v>
      </c>
      <c r="C32" s="447">
        <v>302</v>
      </c>
      <c r="D32" s="444" t="s">
        <v>431</v>
      </c>
      <c r="E32" s="447">
        <v>2042</v>
      </c>
      <c r="F32" s="444" t="s">
        <v>279</v>
      </c>
      <c r="G32" s="444" t="s">
        <v>680</v>
      </c>
      <c r="H32" s="444" t="s">
        <v>683</v>
      </c>
      <c r="I32" s="448">
        <v>423</v>
      </c>
      <c r="J32" s="448">
        <v>423</v>
      </c>
      <c r="K32" s="448">
        <v>25</v>
      </c>
      <c r="L32" s="448">
        <v>5.91</v>
      </c>
      <c r="M32" s="449">
        <v>34625</v>
      </c>
      <c r="N32" s="448">
        <v>0</v>
      </c>
      <c r="O32" s="448">
        <v>0</v>
      </c>
      <c r="P32" s="448">
        <v>0</v>
      </c>
      <c r="Q32" s="449">
        <v>0</v>
      </c>
      <c r="R32" s="450">
        <v>25</v>
      </c>
      <c r="S32" s="461">
        <v>34625</v>
      </c>
    </row>
    <row r="33" spans="1:19">
      <c r="A33" s="447">
        <v>101294</v>
      </c>
      <c r="B33" s="447">
        <v>3022043</v>
      </c>
      <c r="C33" s="447">
        <v>302</v>
      </c>
      <c r="D33" s="444" t="s">
        <v>431</v>
      </c>
      <c r="E33" s="447">
        <v>2043</v>
      </c>
      <c r="F33" s="444" t="s">
        <v>81</v>
      </c>
      <c r="G33" s="444" t="s">
        <v>680</v>
      </c>
      <c r="H33" s="444" t="s">
        <v>682</v>
      </c>
      <c r="I33" s="448">
        <v>445</v>
      </c>
      <c r="J33" s="448">
        <v>445</v>
      </c>
      <c r="K33" s="448">
        <v>85</v>
      </c>
      <c r="L33" s="448">
        <v>19.100000000000001</v>
      </c>
      <c r="M33" s="449">
        <v>117725</v>
      </c>
      <c r="N33" s="448">
        <v>0</v>
      </c>
      <c r="O33" s="448">
        <v>0</v>
      </c>
      <c r="P33" s="448">
        <v>0</v>
      </c>
      <c r="Q33" s="449">
        <v>0</v>
      </c>
      <c r="R33" s="450">
        <v>85</v>
      </c>
      <c r="S33" s="461">
        <v>117725</v>
      </c>
    </row>
    <row r="34" spans="1:19">
      <c r="A34" s="447">
        <v>101295</v>
      </c>
      <c r="B34" s="447">
        <v>3022044</v>
      </c>
      <c r="C34" s="447">
        <v>302</v>
      </c>
      <c r="D34" s="444" t="s">
        <v>431</v>
      </c>
      <c r="E34" s="447">
        <v>2044</v>
      </c>
      <c r="F34" s="444" t="s">
        <v>80</v>
      </c>
      <c r="G34" s="444" t="s">
        <v>680</v>
      </c>
      <c r="H34" s="444" t="s">
        <v>682</v>
      </c>
      <c r="I34" s="448">
        <v>356</v>
      </c>
      <c r="J34" s="448">
        <v>356</v>
      </c>
      <c r="K34" s="448">
        <v>50</v>
      </c>
      <c r="L34" s="448">
        <v>14.04</v>
      </c>
      <c r="M34" s="449">
        <v>69250</v>
      </c>
      <c r="N34" s="448">
        <v>0</v>
      </c>
      <c r="O34" s="448">
        <v>0</v>
      </c>
      <c r="P34" s="448">
        <v>0</v>
      </c>
      <c r="Q34" s="449">
        <v>0</v>
      </c>
      <c r="R34" s="450">
        <v>50</v>
      </c>
      <c r="S34" s="461">
        <v>69250</v>
      </c>
    </row>
    <row r="35" spans="1:19">
      <c r="A35" s="447">
        <v>101296</v>
      </c>
      <c r="B35" s="447">
        <v>3022045</v>
      </c>
      <c r="C35" s="447">
        <v>302</v>
      </c>
      <c r="D35" s="444" t="s">
        <v>431</v>
      </c>
      <c r="E35" s="447">
        <v>2045</v>
      </c>
      <c r="F35" s="444" t="s">
        <v>280</v>
      </c>
      <c r="G35" s="444" t="s">
        <v>680</v>
      </c>
      <c r="H35" s="444" t="s">
        <v>682</v>
      </c>
      <c r="I35" s="448">
        <v>210</v>
      </c>
      <c r="J35" s="448">
        <v>210</v>
      </c>
      <c r="K35" s="448">
        <v>34</v>
      </c>
      <c r="L35" s="448">
        <v>16.190000000000001</v>
      </c>
      <c r="M35" s="449">
        <v>47090</v>
      </c>
      <c r="N35" s="448">
        <v>0</v>
      </c>
      <c r="O35" s="448">
        <v>0</v>
      </c>
      <c r="P35" s="448">
        <v>0</v>
      </c>
      <c r="Q35" s="449">
        <v>0</v>
      </c>
      <c r="R35" s="450">
        <v>34</v>
      </c>
      <c r="S35" s="461">
        <v>47090</v>
      </c>
    </row>
    <row r="36" spans="1:19">
      <c r="A36" s="447">
        <v>146803</v>
      </c>
      <c r="B36" s="447">
        <v>3022053</v>
      </c>
      <c r="C36" s="447">
        <v>302</v>
      </c>
      <c r="D36" s="444" t="s">
        <v>431</v>
      </c>
      <c r="E36" s="447">
        <v>2053</v>
      </c>
      <c r="F36" s="444" t="s">
        <v>519</v>
      </c>
      <c r="G36" s="444" t="s">
        <v>680</v>
      </c>
      <c r="H36" s="444" t="s">
        <v>681</v>
      </c>
      <c r="I36" s="448">
        <v>204</v>
      </c>
      <c r="J36" s="448">
        <v>204</v>
      </c>
      <c r="K36" s="448">
        <v>4</v>
      </c>
      <c r="L36" s="448">
        <v>1.96</v>
      </c>
      <c r="M36" s="449">
        <v>5540</v>
      </c>
      <c r="N36" s="448">
        <v>0</v>
      </c>
      <c r="O36" s="448">
        <v>0</v>
      </c>
      <c r="P36" s="448">
        <v>0</v>
      </c>
      <c r="Q36" s="449">
        <v>0</v>
      </c>
      <c r="R36" s="450">
        <v>4</v>
      </c>
      <c r="S36" s="461">
        <v>5540</v>
      </c>
    </row>
    <row r="37" spans="1:19">
      <c r="A37" s="447">
        <v>101298</v>
      </c>
      <c r="B37" s="447">
        <v>3022054</v>
      </c>
      <c r="C37" s="447">
        <v>302</v>
      </c>
      <c r="D37" s="444" t="s">
        <v>431</v>
      </c>
      <c r="E37" s="447">
        <v>2054</v>
      </c>
      <c r="F37" s="444" t="s">
        <v>298</v>
      </c>
      <c r="G37" s="444" t="s">
        <v>680</v>
      </c>
      <c r="H37" s="444" t="s">
        <v>683</v>
      </c>
      <c r="I37" s="448">
        <v>205</v>
      </c>
      <c r="J37" s="448">
        <v>205</v>
      </c>
      <c r="K37" s="448">
        <v>13</v>
      </c>
      <c r="L37" s="448">
        <v>6.34</v>
      </c>
      <c r="M37" s="449">
        <v>18005</v>
      </c>
      <c r="N37" s="448">
        <v>0</v>
      </c>
      <c r="O37" s="448">
        <v>0</v>
      </c>
      <c r="P37" s="448">
        <v>0</v>
      </c>
      <c r="Q37" s="449">
        <v>0</v>
      </c>
      <c r="R37" s="450">
        <v>13</v>
      </c>
      <c r="S37" s="461">
        <v>18005</v>
      </c>
    </row>
    <row r="38" spans="1:19">
      <c r="A38" s="447">
        <v>101299</v>
      </c>
      <c r="B38" s="447">
        <v>3022055</v>
      </c>
      <c r="C38" s="447">
        <v>302</v>
      </c>
      <c r="D38" s="444" t="s">
        <v>431</v>
      </c>
      <c r="E38" s="447">
        <v>2055</v>
      </c>
      <c r="F38" s="444" t="s">
        <v>295</v>
      </c>
      <c r="G38" s="444" t="s">
        <v>680</v>
      </c>
      <c r="H38" s="444" t="s">
        <v>682</v>
      </c>
      <c r="I38" s="448">
        <v>214</v>
      </c>
      <c r="J38" s="448">
        <v>214</v>
      </c>
      <c r="K38" s="448">
        <v>75</v>
      </c>
      <c r="L38" s="448">
        <v>35.049999999999997</v>
      </c>
      <c r="M38" s="449">
        <v>103875</v>
      </c>
      <c r="N38" s="448">
        <v>0</v>
      </c>
      <c r="O38" s="448">
        <v>0</v>
      </c>
      <c r="P38" s="448">
        <v>0</v>
      </c>
      <c r="Q38" s="449">
        <v>0</v>
      </c>
      <c r="R38" s="450">
        <v>75</v>
      </c>
      <c r="S38" s="461">
        <v>103875</v>
      </c>
    </row>
    <row r="39" spans="1:19">
      <c r="A39" s="447">
        <v>101301</v>
      </c>
      <c r="B39" s="447">
        <v>3022057</v>
      </c>
      <c r="C39" s="447">
        <v>302</v>
      </c>
      <c r="D39" s="444" t="s">
        <v>431</v>
      </c>
      <c r="E39" s="447">
        <v>2057</v>
      </c>
      <c r="F39" s="444" t="s">
        <v>433</v>
      </c>
      <c r="G39" s="444" t="s">
        <v>680</v>
      </c>
      <c r="H39" s="444" t="s">
        <v>683</v>
      </c>
      <c r="I39" s="448">
        <v>483</v>
      </c>
      <c r="J39" s="448">
        <v>483</v>
      </c>
      <c r="K39" s="448">
        <v>204</v>
      </c>
      <c r="L39" s="448">
        <v>42.24</v>
      </c>
      <c r="M39" s="449">
        <v>282540</v>
      </c>
      <c r="N39" s="448">
        <v>0</v>
      </c>
      <c r="O39" s="448">
        <v>0</v>
      </c>
      <c r="P39" s="448">
        <v>0</v>
      </c>
      <c r="Q39" s="449">
        <v>0</v>
      </c>
      <c r="R39" s="450">
        <v>204</v>
      </c>
      <c r="S39" s="461">
        <v>282540</v>
      </c>
    </row>
    <row r="40" spans="1:19">
      <c r="A40" s="447">
        <v>101304</v>
      </c>
      <c r="B40" s="447">
        <v>3022060</v>
      </c>
      <c r="C40" s="447">
        <v>302</v>
      </c>
      <c r="D40" s="444" t="s">
        <v>431</v>
      </c>
      <c r="E40" s="447">
        <v>2060</v>
      </c>
      <c r="F40" s="444" t="s">
        <v>297</v>
      </c>
      <c r="G40" s="444" t="s">
        <v>680</v>
      </c>
      <c r="H40" s="444" t="s">
        <v>683</v>
      </c>
      <c r="I40" s="448">
        <v>421</v>
      </c>
      <c r="J40" s="448">
        <v>421</v>
      </c>
      <c r="K40" s="448">
        <v>123</v>
      </c>
      <c r="L40" s="448">
        <v>29.22</v>
      </c>
      <c r="M40" s="449">
        <v>170355</v>
      </c>
      <c r="N40" s="448">
        <v>0</v>
      </c>
      <c r="O40" s="448">
        <v>0</v>
      </c>
      <c r="P40" s="448">
        <v>0</v>
      </c>
      <c r="Q40" s="449">
        <v>0</v>
      </c>
      <c r="R40" s="450">
        <v>123</v>
      </c>
      <c r="S40" s="461">
        <v>170355</v>
      </c>
    </row>
    <row r="41" spans="1:19">
      <c r="A41" s="447">
        <v>101309</v>
      </c>
      <c r="B41" s="447">
        <v>3022067</v>
      </c>
      <c r="C41" s="447">
        <v>302</v>
      </c>
      <c r="D41" s="444" t="s">
        <v>431</v>
      </c>
      <c r="E41" s="447">
        <v>2067</v>
      </c>
      <c r="F41" s="444" t="s">
        <v>263</v>
      </c>
      <c r="G41" s="444" t="s">
        <v>680</v>
      </c>
      <c r="H41" s="444" t="s">
        <v>682</v>
      </c>
      <c r="I41" s="448">
        <v>227</v>
      </c>
      <c r="J41" s="448">
        <v>227</v>
      </c>
      <c r="K41" s="448">
        <v>52</v>
      </c>
      <c r="L41" s="448">
        <v>22.91</v>
      </c>
      <c r="M41" s="449">
        <v>72020</v>
      </c>
      <c r="N41" s="448">
        <v>0</v>
      </c>
      <c r="O41" s="448">
        <v>0</v>
      </c>
      <c r="P41" s="448">
        <v>0</v>
      </c>
      <c r="Q41" s="449">
        <v>0</v>
      </c>
      <c r="R41" s="450">
        <v>52</v>
      </c>
      <c r="S41" s="461">
        <v>72020</v>
      </c>
    </row>
    <row r="42" spans="1:19">
      <c r="A42" s="447">
        <v>101311</v>
      </c>
      <c r="B42" s="447">
        <v>3022070</v>
      </c>
      <c r="C42" s="447">
        <v>302</v>
      </c>
      <c r="D42" s="444" t="s">
        <v>431</v>
      </c>
      <c r="E42" s="447">
        <v>2070</v>
      </c>
      <c r="F42" s="444" t="s">
        <v>290</v>
      </c>
      <c r="G42" s="444" t="s">
        <v>680</v>
      </c>
      <c r="H42" s="444" t="s">
        <v>681</v>
      </c>
      <c r="I42" s="448">
        <v>207</v>
      </c>
      <c r="J42" s="448">
        <v>207</v>
      </c>
      <c r="K42" s="448">
        <v>76</v>
      </c>
      <c r="L42" s="448">
        <v>36.71</v>
      </c>
      <c r="M42" s="449">
        <v>105260</v>
      </c>
      <c r="N42" s="448">
        <v>0</v>
      </c>
      <c r="O42" s="448">
        <v>0</v>
      </c>
      <c r="P42" s="448">
        <v>0</v>
      </c>
      <c r="Q42" s="449">
        <v>0</v>
      </c>
      <c r="R42" s="450">
        <v>76</v>
      </c>
      <c r="S42" s="461">
        <v>105260</v>
      </c>
    </row>
    <row r="43" spans="1:19">
      <c r="A43" s="451">
        <v>101312</v>
      </c>
      <c r="B43" s="451">
        <v>3022071</v>
      </c>
      <c r="C43" s="451">
        <v>302</v>
      </c>
      <c r="D43" s="452" t="s">
        <v>431</v>
      </c>
      <c r="E43" s="451">
        <v>2071</v>
      </c>
      <c r="F43" s="452" t="s">
        <v>423</v>
      </c>
      <c r="G43" s="452" t="s">
        <v>680</v>
      </c>
      <c r="H43" s="452" t="s">
        <v>683</v>
      </c>
      <c r="I43" s="453">
        <f>171</f>
        <v>171</v>
      </c>
      <c r="J43" s="453">
        <v>171</v>
      </c>
      <c r="K43" s="453">
        <v>37</v>
      </c>
      <c r="L43" s="453">
        <v>21.64</v>
      </c>
      <c r="M43" s="454">
        <v>51245</v>
      </c>
      <c r="N43" s="453">
        <v>0</v>
      </c>
      <c r="O43" s="453">
        <v>0</v>
      </c>
      <c r="P43" s="453">
        <v>0</v>
      </c>
      <c r="Q43" s="454">
        <v>0</v>
      </c>
      <c r="R43" s="455">
        <v>37</v>
      </c>
      <c r="S43" s="462">
        <v>51245</v>
      </c>
    </row>
    <row r="44" spans="1:19">
      <c r="A44" s="451">
        <v>101313</v>
      </c>
      <c r="B44" s="451">
        <v>3022072</v>
      </c>
      <c r="C44" s="451">
        <v>302</v>
      </c>
      <c r="D44" s="452" t="s">
        <v>431</v>
      </c>
      <c r="E44" s="451">
        <v>2072</v>
      </c>
      <c r="F44" s="452" t="s">
        <v>88</v>
      </c>
      <c r="G44" s="452" t="s">
        <v>680</v>
      </c>
      <c r="H44" s="452" t="s">
        <v>683</v>
      </c>
      <c r="I44" s="453">
        <f>290+I43</f>
        <v>461</v>
      </c>
      <c r="J44" s="453">
        <v>290</v>
      </c>
      <c r="K44" s="453">
        <v>94</v>
      </c>
      <c r="L44" s="453">
        <v>32.409999999999997</v>
      </c>
      <c r="M44" s="454">
        <v>130190</v>
      </c>
      <c r="N44" s="453">
        <v>0</v>
      </c>
      <c r="O44" s="453">
        <v>0</v>
      </c>
      <c r="P44" s="453">
        <v>0</v>
      </c>
      <c r="Q44" s="454">
        <v>0</v>
      </c>
      <c r="R44" s="456">
        <f>94+R43</f>
        <v>131</v>
      </c>
      <c r="S44" s="462">
        <v>130190</v>
      </c>
    </row>
    <row r="45" spans="1:19">
      <c r="A45" s="447">
        <v>101314</v>
      </c>
      <c r="B45" s="447">
        <v>3022073</v>
      </c>
      <c r="C45" s="447">
        <v>302</v>
      </c>
      <c r="D45" s="444" t="s">
        <v>431</v>
      </c>
      <c r="E45" s="447">
        <v>2073</v>
      </c>
      <c r="F45" s="444" t="s">
        <v>269</v>
      </c>
      <c r="G45" s="444" t="s">
        <v>680</v>
      </c>
      <c r="H45" s="444" t="s">
        <v>683</v>
      </c>
      <c r="I45" s="448">
        <v>616</v>
      </c>
      <c r="J45" s="448">
        <v>616</v>
      </c>
      <c r="K45" s="448">
        <v>183</v>
      </c>
      <c r="L45" s="448">
        <v>29.71</v>
      </c>
      <c r="M45" s="449">
        <v>253455</v>
      </c>
      <c r="N45" s="448">
        <v>0</v>
      </c>
      <c r="O45" s="448">
        <v>0</v>
      </c>
      <c r="P45" s="448">
        <v>0</v>
      </c>
      <c r="Q45" s="449">
        <v>0</v>
      </c>
      <c r="R45" s="450">
        <v>183</v>
      </c>
      <c r="S45" s="461">
        <v>253455</v>
      </c>
    </row>
    <row r="46" spans="1:19">
      <c r="A46" s="447">
        <v>131617</v>
      </c>
      <c r="B46" s="447">
        <v>3022076</v>
      </c>
      <c r="C46" s="447">
        <v>302</v>
      </c>
      <c r="D46" s="444" t="s">
        <v>431</v>
      </c>
      <c r="E46" s="447">
        <v>2076</v>
      </c>
      <c r="F46" s="444" t="s">
        <v>296</v>
      </c>
      <c r="G46" s="444" t="s">
        <v>680</v>
      </c>
      <c r="H46" s="444" t="s">
        <v>682</v>
      </c>
      <c r="I46" s="448">
        <v>327</v>
      </c>
      <c r="J46" s="448">
        <v>327</v>
      </c>
      <c r="K46" s="448">
        <v>113</v>
      </c>
      <c r="L46" s="448">
        <v>34.56</v>
      </c>
      <c r="M46" s="449">
        <v>156505</v>
      </c>
      <c r="N46" s="448">
        <v>0</v>
      </c>
      <c r="O46" s="448">
        <v>0</v>
      </c>
      <c r="P46" s="448">
        <v>0</v>
      </c>
      <c r="Q46" s="449">
        <v>0</v>
      </c>
      <c r="R46" s="450">
        <v>113</v>
      </c>
      <c r="S46" s="461">
        <v>156505</v>
      </c>
    </row>
    <row r="47" spans="1:19">
      <c r="A47" s="447">
        <v>131970</v>
      </c>
      <c r="B47" s="447">
        <v>3022077</v>
      </c>
      <c r="C47" s="447">
        <v>302</v>
      </c>
      <c r="D47" s="444" t="s">
        <v>431</v>
      </c>
      <c r="E47" s="447">
        <v>2077</v>
      </c>
      <c r="F47" s="444" t="s">
        <v>293</v>
      </c>
      <c r="G47" s="444" t="s">
        <v>680</v>
      </c>
      <c r="H47" s="444" t="s">
        <v>681</v>
      </c>
      <c r="I47" s="448">
        <v>838.5</v>
      </c>
      <c r="J47" s="448">
        <v>838.5</v>
      </c>
      <c r="K47" s="448">
        <v>410</v>
      </c>
      <c r="L47" s="448">
        <v>48.9</v>
      </c>
      <c r="M47" s="449">
        <v>567850</v>
      </c>
      <c r="N47" s="448">
        <v>0</v>
      </c>
      <c r="O47" s="448">
        <v>0</v>
      </c>
      <c r="P47" s="448">
        <v>0</v>
      </c>
      <c r="Q47" s="449">
        <v>0</v>
      </c>
      <c r="R47" s="450">
        <v>410</v>
      </c>
      <c r="S47" s="461">
        <v>567850</v>
      </c>
    </row>
    <row r="48" spans="1:19">
      <c r="A48" s="447">
        <v>133364</v>
      </c>
      <c r="B48" s="447">
        <v>3022078</v>
      </c>
      <c r="C48" s="447">
        <v>302</v>
      </c>
      <c r="D48" s="444" t="s">
        <v>431</v>
      </c>
      <c r="E48" s="447">
        <v>2078</v>
      </c>
      <c r="F48" s="444" t="s">
        <v>282</v>
      </c>
      <c r="G48" s="444" t="s">
        <v>680</v>
      </c>
      <c r="H48" s="444" t="s">
        <v>682</v>
      </c>
      <c r="I48" s="448">
        <v>355</v>
      </c>
      <c r="J48" s="448">
        <v>355</v>
      </c>
      <c r="K48" s="448">
        <v>22</v>
      </c>
      <c r="L48" s="448">
        <v>6.2</v>
      </c>
      <c r="M48" s="449">
        <v>30470</v>
      </c>
      <c r="N48" s="448">
        <v>0</v>
      </c>
      <c r="O48" s="448">
        <v>0</v>
      </c>
      <c r="P48" s="448">
        <v>0</v>
      </c>
      <c r="Q48" s="449">
        <v>0</v>
      </c>
      <c r="R48" s="450">
        <v>22</v>
      </c>
      <c r="S48" s="461">
        <v>30470</v>
      </c>
    </row>
    <row r="49" spans="1:19">
      <c r="A49" s="447">
        <v>133365</v>
      </c>
      <c r="B49" s="447">
        <v>3022079</v>
      </c>
      <c r="C49" s="447">
        <v>302</v>
      </c>
      <c r="D49" s="444" t="s">
        <v>431</v>
      </c>
      <c r="E49" s="447">
        <v>2079</v>
      </c>
      <c r="F49" s="444" t="s">
        <v>259</v>
      </c>
      <c r="G49" s="444" t="s">
        <v>680</v>
      </c>
      <c r="H49" s="444" t="s">
        <v>685</v>
      </c>
      <c r="I49" s="448">
        <v>420</v>
      </c>
      <c r="J49" s="448">
        <v>420</v>
      </c>
      <c r="K49" s="448">
        <v>18</v>
      </c>
      <c r="L49" s="448">
        <v>4.29</v>
      </c>
      <c r="M49" s="449">
        <v>24930</v>
      </c>
      <c r="N49" s="448">
        <v>0</v>
      </c>
      <c r="O49" s="448">
        <v>0</v>
      </c>
      <c r="P49" s="448">
        <v>0</v>
      </c>
      <c r="Q49" s="449">
        <v>0</v>
      </c>
      <c r="R49" s="450">
        <v>18</v>
      </c>
      <c r="S49" s="461">
        <v>24930</v>
      </c>
    </row>
    <row r="50" spans="1:19">
      <c r="A50" s="447">
        <v>101315</v>
      </c>
      <c r="B50" s="447">
        <v>3023300</v>
      </c>
      <c r="C50" s="447">
        <v>302</v>
      </c>
      <c r="D50" s="444" t="s">
        <v>431</v>
      </c>
      <c r="E50" s="447">
        <v>3300</v>
      </c>
      <c r="F50" s="444" t="s">
        <v>424</v>
      </c>
      <c r="G50" s="444" t="s">
        <v>680</v>
      </c>
      <c r="H50" s="444" t="s">
        <v>682</v>
      </c>
      <c r="I50" s="448">
        <v>160</v>
      </c>
      <c r="J50" s="448">
        <v>160</v>
      </c>
      <c r="K50" s="448">
        <v>88</v>
      </c>
      <c r="L50" s="448">
        <v>55</v>
      </c>
      <c r="M50" s="449">
        <v>121880</v>
      </c>
      <c r="N50" s="448">
        <v>0</v>
      </c>
      <c r="O50" s="448">
        <v>0</v>
      </c>
      <c r="P50" s="448">
        <v>0</v>
      </c>
      <c r="Q50" s="449">
        <v>0</v>
      </c>
      <c r="R50" s="450">
        <v>88</v>
      </c>
      <c r="S50" s="461">
        <v>121880</v>
      </c>
    </row>
    <row r="51" spans="1:19">
      <c r="A51" s="447">
        <v>101316</v>
      </c>
      <c r="B51" s="447">
        <v>3023302</v>
      </c>
      <c r="C51" s="447">
        <v>302</v>
      </c>
      <c r="D51" s="444" t="s">
        <v>431</v>
      </c>
      <c r="E51" s="447">
        <v>3302</v>
      </c>
      <c r="F51" s="444" t="s">
        <v>264</v>
      </c>
      <c r="G51" s="444" t="s">
        <v>680</v>
      </c>
      <c r="H51" s="444" t="s">
        <v>683</v>
      </c>
      <c r="I51" s="448">
        <v>210</v>
      </c>
      <c r="J51" s="448">
        <v>210</v>
      </c>
      <c r="K51" s="448">
        <v>21</v>
      </c>
      <c r="L51" s="448">
        <v>10</v>
      </c>
      <c r="M51" s="449">
        <v>29085</v>
      </c>
      <c r="N51" s="448">
        <v>0</v>
      </c>
      <c r="O51" s="448">
        <v>0</v>
      </c>
      <c r="P51" s="448">
        <v>0</v>
      </c>
      <c r="Q51" s="449">
        <v>0</v>
      </c>
      <c r="R51" s="450">
        <v>21</v>
      </c>
      <c r="S51" s="461">
        <v>29085</v>
      </c>
    </row>
    <row r="52" spans="1:19">
      <c r="A52" s="447">
        <v>101317</v>
      </c>
      <c r="B52" s="447">
        <v>3023304</v>
      </c>
      <c r="C52" s="447">
        <v>302</v>
      </c>
      <c r="D52" s="444" t="s">
        <v>431</v>
      </c>
      <c r="E52" s="447">
        <v>3304</v>
      </c>
      <c r="F52" s="444" t="s">
        <v>274</v>
      </c>
      <c r="G52" s="444" t="s">
        <v>680</v>
      </c>
      <c r="H52" s="444" t="s">
        <v>682</v>
      </c>
      <c r="I52" s="448">
        <v>193</v>
      </c>
      <c r="J52" s="448">
        <v>193</v>
      </c>
      <c r="K52" s="448">
        <v>46</v>
      </c>
      <c r="L52" s="448">
        <v>23.83</v>
      </c>
      <c r="M52" s="449">
        <v>63710</v>
      </c>
      <c r="N52" s="448">
        <v>0</v>
      </c>
      <c r="O52" s="448">
        <v>0</v>
      </c>
      <c r="P52" s="448">
        <v>0</v>
      </c>
      <c r="Q52" s="449">
        <v>0</v>
      </c>
      <c r="R52" s="450">
        <v>46</v>
      </c>
      <c r="S52" s="461">
        <v>63710</v>
      </c>
    </row>
    <row r="53" spans="1:19">
      <c r="A53" s="447">
        <v>101318</v>
      </c>
      <c r="B53" s="447">
        <v>3023305</v>
      </c>
      <c r="C53" s="447">
        <v>302</v>
      </c>
      <c r="D53" s="444" t="s">
        <v>431</v>
      </c>
      <c r="E53" s="447">
        <v>3305</v>
      </c>
      <c r="F53" s="444" t="s">
        <v>278</v>
      </c>
      <c r="G53" s="444" t="s">
        <v>680</v>
      </c>
      <c r="H53" s="444" t="s">
        <v>683</v>
      </c>
      <c r="I53" s="448">
        <v>150</v>
      </c>
      <c r="J53" s="448">
        <v>150</v>
      </c>
      <c r="K53" s="448">
        <v>15</v>
      </c>
      <c r="L53" s="448">
        <v>10</v>
      </c>
      <c r="M53" s="449">
        <v>20775</v>
      </c>
      <c r="N53" s="448">
        <v>0</v>
      </c>
      <c r="O53" s="448">
        <v>0</v>
      </c>
      <c r="P53" s="448">
        <v>0</v>
      </c>
      <c r="Q53" s="449">
        <v>0</v>
      </c>
      <c r="R53" s="450">
        <v>15</v>
      </c>
      <c r="S53" s="461">
        <v>20775</v>
      </c>
    </row>
    <row r="54" spans="1:19">
      <c r="A54" s="447">
        <v>101319</v>
      </c>
      <c r="B54" s="447">
        <v>3023307</v>
      </c>
      <c r="C54" s="447">
        <v>302</v>
      </c>
      <c r="D54" s="444" t="s">
        <v>431</v>
      </c>
      <c r="E54" s="447">
        <v>3307</v>
      </c>
      <c r="F54" s="444" t="s">
        <v>425</v>
      </c>
      <c r="G54" s="444" t="s">
        <v>680</v>
      </c>
      <c r="H54" s="444" t="s">
        <v>683</v>
      </c>
      <c r="I54" s="448">
        <v>210</v>
      </c>
      <c r="J54" s="448">
        <v>210</v>
      </c>
      <c r="K54" s="448">
        <v>25</v>
      </c>
      <c r="L54" s="448">
        <v>11.9</v>
      </c>
      <c r="M54" s="449">
        <v>34625</v>
      </c>
      <c r="N54" s="448">
        <v>0</v>
      </c>
      <c r="O54" s="448">
        <v>0</v>
      </c>
      <c r="P54" s="448">
        <v>0</v>
      </c>
      <c r="Q54" s="449">
        <v>0</v>
      </c>
      <c r="R54" s="450">
        <v>25</v>
      </c>
      <c r="S54" s="461">
        <v>34625</v>
      </c>
    </row>
    <row r="55" spans="1:19">
      <c r="A55" s="447">
        <v>101321</v>
      </c>
      <c r="B55" s="447">
        <v>3023309</v>
      </c>
      <c r="C55" s="447">
        <v>302</v>
      </c>
      <c r="D55" s="444" t="s">
        <v>431</v>
      </c>
      <c r="E55" s="447">
        <v>3309</v>
      </c>
      <c r="F55" s="444" t="s">
        <v>634</v>
      </c>
      <c r="G55" s="444" t="s">
        <v>680</v>
      </c>
      <c r="H55" s="444" t="s">
        <v>683</v>
      </c>
      <c r="I55" s="448">
        <v>210</v>
      </c>
      <c r="J55" s="448">
        <v>210</v>
      </c>
      <c r="K55" s="448">
        <v>23</v>
      </c>
      <c r="L55" s="448">
        <v>10.95</v>
      </c>
      <c r="M55" s="449">
        <v>31855</v>
      </c>
      <c r="N55" s="448">
        <v>0</v>
      </c>
      <c r="O55" s="448">
        <v>0</v>
      </c>
      <c r="P55" s="448">
        <v>0</v>
      </c>
      <c r="Q55" s="449">
        <v>0</v>
      </c>
      <c r="R55" s="450">
        <v>23</v>
      </c>
      <c r="S55" s="461">
        <v>31855</v>
      </c>
    </row>
    <row r="56" spans="1:19">
      <c r="A56" s="447">
        <v>101323</v>
      </c>
      <c r="B56" s="447">
        <v>3023311</v>
      </c>
      <c r="C56" s="447">
        <v>302</v>
      </c>
      <c r="D56" s="444" t="s">
        <v>431</v>
      </c>
      <c r="E56" s="447">
        <v>3311</v>
      </c>
      <c r="F56" s="444" t="s">
        <v>427</v>
      </c>
      <c r="G56" s="444" t="s">
        <v>680</v>
      </c>
      <c r="H56" s="444" t="s">
        <v>682</v>
      </c>
      <c r="I56" s="448">
        <v>411</v>
      </c>
      <c r="J56" s="448">
        <v>411</v>
      </c>
      <c r="K56" s="448">
        <v>66</v>
      </c>
      <c r="L56" s="448">
        <v>16.059999999999999</v>
      </c>
      <c r="M56" s="449">
        <v>91410</v>
      </c>
      <c r="N56" s="448">
        <v>0</v>
      </c>
      <c r="O56" s="448">
        <v>0</v>
      </c>
      <c r="P56" s="448">
        <v>0</v>
      </c>
      <c r="Q56" s="449">
        <v>0</v>
      </c>
      <c r="R56" s="450">
        <v>66</v>
      </c>
      <c r="S56" s="461">
        <v>91410</v>
      </c>
    </row>
    <row r="57" spans="1:19">
      <c r="A57" s="447">
        <v>101324</v>
      </c>
      <c r="B57" s="447">
        <v>3023312</v>
      </c>
      <c r="C57" s="447">
        <v>302</v>
      </c>
      <c r="D57" s="444" t="s">
        <v>431</v>
      </c>
      <c r="E57" s="447">
        <v>3312</v>
      </c>
      <c r="F57" s="444" t="s">
        <v>288</v>
      </c>
      <c r="G57" s="444" t="s">
        <v>680</v>
      </c>
      <c r="H57" s="444" t="s">
        <v>683</v>
      </c>
      <c r="I57" s="448">
        <v>213</v>
      </c>
      <c r="J57" s="448">
        <v>213</v>
      </c>
      <c r="K57" s="448">
        <v>17</v>
      </c>
      <c r="L57" s="448">
        <v>7.98</v>
      </c>
      <c r="M57" s="449">
        <v>23545</v>
      </c>
      <c r="N57" s="448">
        <v>0</v>
      </c>
      <c r="O57" s="448">
        <v>0</v>
      </c>
      <c r="P57" s="448">
        <v>0</v>
      </c>
      <c r="Q57" s="449">
        <v>0</v>
      </c>
      <c r="R57" s="450">
        <v>17</v>
      </c>
      <c r="S57" s="461">
        <v>23545</v>
      </c>
    </row>
    <row r="58" spans="1:19">
      <c r="A58" s="447">
        <v>101325</v>
      </c>
      <c r="B58" s="447">
        <v>3023313</v>
      </c>
      <c r="C58" s="447">
        <v>302</v>
      </c>
      <c r="D58" s="444" t="s">
        <v>431</v>
      </c>
      <c r="E58" s="447">
        <v>3313</v>
      </c>
      <c r="F58" s="444" t="s">
        <v>289</v>
      </c>
      <c r="G58" s="444" t="s">
        <v>680</v>
      </c>
      <c r="H58" s="444" t="s">
        <v>683</v>
      </c>
      <c r="I58" s="448">
        <v>200</v>
      </c>
      <c r="J58" s="448">
        <v>200</v>
      </c>
      <c r="K58" s="448">
        <v>59</v>
      </c>
      <c r="L58" s="448">
        <v>29.5</v>
      </c>
      <c r="M58" s="449">
        <v>81715</v>
      </c>
      <c r="N58" s="448">
        <v>0</v>
      </c>
      <c r="O58" s="448">
        <v>0</v>
      </c>
      <c r="P58" s="448">
        <v>0</v>
      </c>
      <c r="Q58" s="449">
        <v>0</v>
      </c>
      <c r="R58" s="450">
        <v>59</v>
      </c>
      <c r="S58" s="461">
        <v>81715</v>
      </c>
    </row>
    <row r="59" spans="1:19">
      <c r="A59" s="447">
        <v>101326</v>
      </c>
      <c r="B59" s="447">
        <v>3023314</v>
      </c>
      <c r="C59" s="447">
        <v>302</v>
      </c>
      <c r="D59" s="444" t="s">
        <v>431</v>
      </c>
      <c r="E59" s="447">
        <v>3314</v>
      </c>
      <c r="F59" s="444" t="s">
        <v>338</v>
      </c>
      <c r="G59" s="444" t="s">
        <v>680</v>
      </c>
      <c r="H59" s="444" t="s">
        <v>681</v>
      </c>
      <c r="I59" s="448">
        <v>209</v>
      </c>
      <c r="J59" s="448">
        <v>209</v>
      </c>
      <c r="K59" s="448">
        <v>40</v>
      </c>
      <c r="L59" s="448">
        <v>19.14</v>
      </c>
      <c r="M59" s="449">
        <v>55400</v>
      </c>
      <c r="N59" s="448">
        <v>0</v>
      </c>
      <c r="O59" s="448">
        <v>0</v>
      </c>
      <c r="P59" s="448">
        <v>0</v>
      </c>
      <c r="Q59" s="449">
        <v>0</v>
      </c>
      <c r="R59" s="450">
        <v>40</v>
      </c>
      <c r="S59" s="461">
        <v>55400</v>
      </c>
    </row>
    <row r="60" spans="1:19">
      <c r="A60" s="447">
        <v>101327</v>
      </c>
      <c r="B60" s="447">
        <v>3023315</v>
      </c>
      <c r="C60" s="447">
        <v>302</v>
      </c>
      <c r="D60" s="444" t="s">
        <v>431</v>
      </c>
      <c r="E60" s="447">
        <v>3315</v>
      </c>
      <c r="F60" s="444" t="s">
        <v>428</v>
      </c>
      <c r="G60" s="444" t="s">
        <v>680</v>
      </c>
      <c r="H60" s="444" t="s">
        <v>683</v>
      </c>
      <c r="I60" s="448">
        <v>207</v>
      </c>
      <c r="J60" s="448">
        <v>207</v>
      </c>
      <c r="K60" s="448">
        <v>12</v>
      </c>
      <c r="L60" s="448">
        <v>5.8</v>
      </c>
      <c r="M60" s="449">
        <v>16620</v>
      </c>
      <c r="N60" s="448">
        <v>0</v>
      </c>
      <c r="O60" s="448">
        <v>0</v>
      </c>
      <c r="P60" s="448">
        <v>0</v>
      </c>
      <c r="Q60" s="449">
        <v>0</v>
      </c>
      <c r="R60" s="450">
        <v>12</v>
      </c>
      <c r="S60" s="461">
        <v>16620</v>
      </c>
    </row>
    <row r="61" spans="1:19">
      <c r="A61" s="447">
        <v>101328</v>
      </c>
      <c r="B61" s="447">
        <v>3023316</v>
      </c>
      <c r="C61" s="447">
        <v>302</v>
      </c>
      <c r="D61" s="444" t="s">
        <v>431</v>
      </c>
      <c r="E61" s="447">
        <v>3316</v>
      </c>
      <c r="F61" s="444" t="s">
        <v>294</v>
      </c>
      <c r="G61" s="444" t="s">
        <v>680</v>
      </c>
      <c r="H61" s="444" t="s">
        <v>683</v>
      </c>
      <c r="I61" s="448">
        <v>211</v>
      </c>
      <c r="J61" s="448">
        <v>211</v>
      </c>
      <c r="K61" s="448">
        <v>19</v>
      </c>
      <c r="L61" s="448">
        <v>9</v>
      </c>
      <c r="M61" s="449">
        <v>26315</v>
      </c>
      <c r="N61" s="448">
        <v>0</v>
      </c>
      <c r="O61" s="448">
        <v>0</v>
      </c>
      <c r="P61" s="448">
        <v>0</v>
      </c>
      <c r="Q61" s="449">
        <v>0</v>
      </c>
      <c r="R61" s="450">
        <v>19</v>
      </c>
      <c r="S61" s="461">
        <v>26315</v>
      </c>
    </row>
    <row r="62" spans="1:19">
      <c r="A62" s="447">
        <v>101329</v>
      </c>
      <c r="B62" s="447">
        <v>3023317</v>
      </c>
      <c r="C62" s="447">
        <v>302</v>
      </c>
      <c r="D62" s="444" t="s">
        <v>431</v>
      </c>
      <c r="E62" s="447">
        <v>3317</v>
      </c>
      <c r="F62" s="444" t="s">
        <v>257</v>
      </c>
      <c r="G62" s="444" t="s">
        <v>680</v>
      </c>
      <c r="H62" s="444" t="s">
        <v>683</v>
      </c>
      <c r="I62" s="448">
        <v>211</v>
      </c>
      <c r="J62" s="448">
        <v>211</v>
      </c>
      <c r="K62" s="448">
        <v>45</v>
      </c>
      <c r="L62" s="448">
        <v>21.33</v>
      </c>
      <c r="M62" s="449">
        <v>62325</v>
      </c>
      <c r="N62" s="448">
        <v>0</v>
      </c>
      <c r="O62" s="448">
        <v>0</v>
      </c>
      <c r="P62" s="448">
        <v>0</v>
      </c>
      <c r="Q62" s="449">
        <v>0</v>
      </c>
      <c r="R62" s="450">
        <v>45</v>
      </c>
      <c r="S62" s="461">
        <v>62325</v>
      </c>
    </row>
    <row r="63" spans="1:19">
      <c r="A63" s="447">
        <v>101330</v>
      </c>
      <c r="B63" s="447">
        <v>3023500</v>
      </c>
      <c r="C63" s="447">
        <v>302</v>
      </c>
      <c r="D63" s="444" t="s">
        <v>431</v>
      </c>
      <c r="E63" s="447">
        <v>3500</v>
      </c>
      <c r="F63" s="444" t="s">
        <v>382</v>
      </c>
      <c r="G63" s="444" t="s">
        <v>680</v>
      </c>
      <c r="H63" s="444" t="s">
        <v>681</v>
      </c>
      <c r="I63" s="448">
        <v>128</v>
      </c>
      <c r="J63" s="448">
        <v>128</v>
      </c>
      <c r="K63" s="448">
        <v>18</v>
      </c>
      <c r="L63" s="448">
        <v>14.06</v>
      </c>
      <c r="M63" s="449">
        <v>24930</v>
      </c>
      <c r="N63" s="448">
        <v>0</v>
      </c>
      <c r="O63" s="448">
        <v>0</v>
      </c>
      <c r="P63" s="448">
        <v>0</v>
      </c>
      <c r="Q63" s="449">
        <v>0</v>
      </c>
      <c r="R63" s="450">
        <v>18</v>
      </c>
      <c r="S63" s="461">
        <v>24930</v>
      </c>
    </row>
    <row r="64" spans="1:19">
      <c r="A64" s="447">
        <v>101331</v>
      </c>
      <c r="B64" s="447">
        <v>3023501</v>
      </c>
      <c r="C64" s="447">
        <v>302</v>
      </c>
      <c r="D64" s="444" t="s">
        <v>431</v>
      </c>
      <c r="E64" s="447">
        <v>3501</v>
      </c>
      <c r="F64" s="444" t="s">
        <v>85</v>
      </c>
      <c r="G64" s="444" t="s">
        <v>680</v>
      </c>
      <c r="H64" s="444" t="s">
        <v>682</v>
      </c>
      <c r="I64" s="448">
        <v>206</v>
      </c>
      <c r="J64" s="448">
        <v>206</v>
      </c>
      <c r="K64" s="448">
        <v>34</v>
      </c>
      <c r="L64" s="448">
        <v>16.5</v>
      </c>
      <c r="M64" s="449">
        <v>47090</v>
      </c>
      <c r="N64" s="448">
        <v>0</v>
      </c>
      <c r="O64" s="448">
        <v>0</v>
      </c>
      <c r="P64" s="448">
        <v>0</v>
      </c>
      <c r="Q64" s="449">
        <v>0</v>
      </c>
      <c r="R64" s="450">
        <v>34</v>
      </c>
      <c r="S64" s="461">
        <v>47090</v>
      </c>
    </row>
    <row r="65" spans="1:19">
      <c r="A65" s="447">
        <v>101332</v>
      </c>
      <c r="B65" s="447">
        <v>3023502</v>
      </c>
      <c r="C65" s="447">
        <v>302</v>
      </c>
      <c r="D65" s="444" t="s">
        <v>431</v>
      </c>
      <c r="E65" s="447">
        <v>3502</v>
      </c>
      <c r="F65" s="444" t="s">
        <v>633</v>
      </c>
      <c r="G65" s="444" t="s">
        <v>680</v>
      </c>
      <c r="H65" s="444" t="s">
        <v>682</v>
      </c>
      <c r="I65" s="448">
        <v>385</v>
      </c>
      <c r="J65" s="448">
        <v>385</v>
      </c>
      <c r="K65" s="448">
        <v>107</v>
      </c>
      <c r="L65" s="448">
        <v>27.79</v>
      </c>
      <c r="M65" s="449">
        <v>148195</v>
      </c>
      <c r="N65" s="448">
        <v>0</v>
      </c>
      <c r="O65" s="448">
        <v>0</v>
      </c>
      <c r="P65" s="448">
        <v>0</v>
      </c>
      <c r="Q65" s="449">
        <v>0</v>
      </c>
      <c r="R65" s="450">
        <v>107</v>
      </c>
      <c r="S65" s="461">
        <v>148195</v>
      </c>
    </row>
    <row r="66" spans="1:19">
      <c r="A66" s="447">
        <v>101333</v>
      </c>
      <c r="B66" s="447">
        <v>3023504</v>
      </c>
      <c r="C66" s="447">
        <v>302</v>
      </c>
      <c r="D66" s="444" t="s">
        <v>431</v>
      </c>
      <c r="E66" s="447">
        <v>3504</v>
      </c>
      <c r="F66" s="444" t="s">
        <v>287</v>
      </c>
      <c r="G66" s="444" t="s">
        <v>680</v>
      </c>
      <c r="H66" s="444" t="s">
        <v>683</v>
      </c>
      <c r="I66" s="448">
        <v>418</v>
      </c>
      <c r="J66" s="448">
        <v>418</v>
      </c>
      <c r="K66" s="448">
        <v>41</v>
      </c>
      <c r="L66" s="448">
        <v>9.81</v>
      </c>
      <c r="M66" s="449">
        <v>56785</v>
      </c>
      <c r="N66" s="448">
        <v>0</v>
      </c>
      <c r="O66" s="448">
        <v>0</v>
      </c>
      <c r="P66" s="448">
        <v>0</v>
      </c>
      <c r="Q66" s="449">
        <v>0</v>
      </c>
      <c r="R66" s="450">
        <v>41</v>
      </c>
      <c r="S66" s="461">
        <v>56785</v>
      </c>
    </row>
    <row r="67" spans="1:19">
      <c r="A67" s="447">
        <v>101334</v>
      </c>
      <c r="B67" s="447">
        <v>3023506</v>
      </c>
      <c r="C67" s="447">
        <v>302</v>
      </c>
      <c r="D67" s="444" t="s">
        <v>431</v>
      </c>
      <c r="E67" s="447">
        <v>3506</v>
      </c>
      <c r="F67" s="444" t="s">
        <v>386</v>
      </c>
      <c r="G67" s="444" t="s">
        <v>680</v>
      </c>
      <c r="H67" s="444" t="s">
        <v>681</v>
      </c>
      <c r="I67" s="448">
        <v>285.5</v>
      </c>
      <c r="J67" s="448">
        <v>285.5</v>
      </c>
      <c r="K67" s="448">
        <v>17</v>
      </c>
      <c r="L67" s="448">
        <v>5.95</v>
      </c>
      <c r="M67" s="449">
        <v>23545</v>
      </c>
      <c r="N67" s="448">
        <v>0</v>
      </c>
      <c r="O67" s="448">
        <v>0</v>
      </c>
      <c r="P67" s="448">
        <v>0</v>
      </c>
      <c r="Q67" s="449">
        <v>0</v>
      </c>
      <c r="R67" s="450">
        <v>17</v>
      </c>
      <c r="S67" s="461">
        <v>23545</v>
      </c>
    </row>
    <row r="68" spans="1:19">
      <c r="A68" s="447">
        <v>101335</v>
      </c>
      <c r="B68" s="447">
        <v>3023507</v>
      </c>
      <c r="C68" s="447">
        <v>302</v>
      </c>
      <c r="D68" s="444" t="s">
        <v>431</v>
      </c>
      <c r="E68" s="447">
        <v>3507</v>
      </c>
      <c r="F68" s="444" t="s">
        <v>429</v>
      </c>
      <c r="G68" s="444" t="s">
        <v>680</v>
      </c>
      <c r="H68" s="444" t="s">
        <v>682</v>
      </c>
      <c r="I68" s="448">
        <v>171</v>
      </c>
      <c r="J68" s="448">
        <v>171</v>
      </c>
      <c r="K68" s="448">
        <v>28</v>
      </c>
      <c r="L68" s="448">
        <v>16.37</v>
      </c>
      <c r="M68" s="449">
        <v>38780</v>
      </c>
      <c r="N68" s="448">
        <v>0</v>
      </c>
      <c r="O68" s="448">
        <v>0</v>
      </c>
      <c r="P68" s="448">
        <v>0</v>
      </c>
      <c r="Q68" s="449">
        <v>0</v>
      </c>
      <c r="R68" s="450">
        <v>28</v>
      </c>
      <c r="S68" s="461">
        <v>38780</v>
      </c>
    </row>
    <row r="69" spans="1:19">
      <c r="A69" s="447">
        <v>101337</v>
      </c>
      <c r="B69" s="447">
        <v>3023509</v>
      </c>
      <c r="C69" s="447">
        <v>302</v>
      </c>
      <c r="D69" s="444" t="s">
        <v>431</v>
      </c>
      <c r="E69" s="447">
        <v>3509</v>
      </c>
      <c r="F69" s="444" t="s">
        <v>414</v>
      </c>
      <c r="G69" s="444" t="s">
        <v>680</v>
      </c>
      <c r="H69" s="444" t="s">
        <v>681</v>
      </c>
      <c r="I69" s="448">
        <v>441</v>
      </c>
      <c r="J69" s="448">
        <v>441</v>
      </c>
      <c r="K69" s="448">
        <v>104</v>
      </c>
      <c r="L69" s="448">
        <v>23.58</v>
      </c>
      <c r="M69" s="449">
        <v>144040</v>
      </c>
      <c r="N69" s="448">
        <v>0</v>
      </c>
      <c r="O69" s="448">
        <v>0</v>
      </c>
      <c r="P69" s="448">
        <v>0</v>
      </c>
      <c r="Q69" s="449">
        <v>0</v>
      </c>
      <c r="R69" s="450">
        <v>104</v>
      </c>
      <c r="S69" s="461">
        <v>144040</v>
      </c>
    </row>
    <row r="70" spans="1:19">
      <c r="A70" s="447">
        <v>101338</v>
      </c>
      <c r="B70" s="447">
        <v>3023510</v>
      </c>
      <c r="C70" s="447">
        <v>302</v>
      </c>
      <c r="D70" s="444" t="s">
        <v>431</v>
      </c>
      <c r="E70" s="447">
        <v>3510</v>
      </c>
      <c r="F70" s="444" t="s">
        <v>285</v>
      </c>
      <c r="G70" s="444" t="s">
        <v>680</v>
      </c>
      <c r="H70" s="444" t="s">
        <v>683</v>
      </c>
      <c r="I70" s="448">
        <v>389</v>
      </c>
      <c r="J70" s="448">
        <v>389</v>
      </c>
      <c r="K70" s="448">
        <v>49</v>
      </c>
      <c r="L70" s="448">
        <v>12.6</v>
      </c>
      <c r="M70" s="449">
        <v>67865</v>
      </c>
      <c r="N70" s="448">
        <v>0</v>
      </c>
      <c r="O70" s="448">
        <v>0</v>
      </c>
      <c r="P70" s="448">
        <v>0</v>
      </c>
      <c r="Q70" s="449">
        <v>0</v>
      </c>
      <c r="R70" s="450">
        <v>49</v>
      </c>
      <c r="S70" s="461">
        <v>67865</v>
      </c>
    </row>
    <row r="71" spans="1:19">
      <c r="A71" s="447">
        <v>101339</v>
      </c>
      <c r="B71" s="447">
        <v>3023511</v>
      </c>
      <c r="C71" s="447">
        <v>302</v>
      </c>
      <c r="D71" s="444" t="s">
        <v>431</v>
      </c>
      <c r="E71" s="447">
        <v>3511</v>
      </c>
      <c r="F71" s="444" t="s">
        <v>439</v>
      </c>
      <c r="G71" s="444" t="s">
        <v>680</v>
      </c>
      <c r="H71" s="444" t="s">
        <v>681</v>
      </c>
      <c r="I71" s="448">
        <v>416</v>
      </c>
      <c r="J71" s="448">
        <v>416</v>
      </c>
      <c r="K71" s="448">
        <v>96</v>
      </c>
      <c r="L71" s="448">
        <v>23.08</v>
      </c>
      <c r="M71" s="449">
        <v>132960</v>
      </c>
      <c r="N71" s="448">
        <v>0</v>
      </c>
      <c r="O71" s="448">
        <v>0</v>
      </c>
      <c r="P71" s="448">
        <v>0</v>
      </c>
      <c r="Q71" s="449">
        <v>0</v>
      </c>
      <c r="R71" s="450">
        <v>96</v>
      </c>
      <c r="S71" s="461">
        <v>132960</v>
      </c>
    </row>
    <row r="72" spans="1:19">
      <c r="A72" s="447">
        <v>101340</v>
      </c>
      <c r="B72" s="447">
        <v>3023512</v>
      </c>
      <c r="C72" s="447">
        <v>302</v>
      </c>
      <c r="D72" s="444" t="s">
        <v>431</v>
      </c>
      <c r="E72" s="447">
        <v>3512</v>
      </c>
      <c r="F72" s="444" t="s">
        <v>284</v>
      </c>
      <c r="G72" s="444" t="s">
        <v>680</v>
      </c>
      <c r="H72" s="444" t="s">
        <v>681</v>
      </c>
      <c r="I72" s="448">
        <v>355</v>
      </c>
      <c r="J72" s="448">
        <v>355</v>
      </c>
      <c r="K72" s="448">
        <v>7</v>
      </c>
      <c r="L72" s="448">
        <v>1.97</v>
      </c>
      <c r="M72" s="449">
        <v>9695</v>
      </c>
      <c r="N72" s="448">
        <v>0</v>
      </c>
      <c r="O72" s="448">
        <v>0</v>
      </c>
      <c r="P72" s="448">
        <v>0</v>
      </c>
      <c r="Q72" s="449">
        <v>0</v>
      </c>
      <c r="R72" s="450">
        <v>7</v>
      </c>
      <c r="S72" s="461">
        <v>9695</v>
      </c>
    </row>
    <row r="73" spans="1:19">
      <c r="A73" s="447">
        <v>101341</v>
      </c>
      <c r="B73" s="447">
        <v>3023513</v>
      </c>
      <c r="C73" s="447">
        <v>302</v>
      </c>
      <c r="D73" s="444" t="s">
        <v>431</v>
      </c>
      <c r="E73" s="447">
        <v>3513</v>
      </c>
      <c r="F73" s="444" t="s">
        <v>77</v>
      </c>
      <c r="G73" s="444" t="s">
        <v>680</v>
      </c>
      <c r="H73" s="444" t="s">
        <v>682</v>
      </c>
      <c r="I73" s="448">
        <v>379</v>
      </c>
      <c r="J73" s="448">
        <v>379</v>
      </c>
      <c r="K73" s="448">
        <v>14</v>
      </c>
      <c r="L73" s="448">
        <v>3.69</v>
      </c>
      <c r="M73" s="449">
        <v>19390</v>
      </c>
      <c r="N73" s="448">
        <v>0</v>
      </c>
      <c r="O73" s="448">
        <v>0</v>
      </c>
      <c r="P73" s="448">
        <v>0</v>
      </c>
      <c r="Q73" s="449">
        <v>0</v>
      </c>
      <c r="R73" s="450">
        <v>14</v>
      </c>
      <c r="S73" s="461">
        <v>19390</v>
      </c>
    </row>
    <row r="74" spans="1:19">
      <c r="A74" s="447">
        <v>101342</v>
      </c>
      <c r="B74" s="447">
        <v>3023514</v>
      </c>
      <c r="C74" s="447">
        <v>302</v>
      </c>
      <c r="D74" s="444" t="s">
        <v>431</v>
      </c>
      <c r="E74" s="447">
        <v>3514</v>
      </c>
      <c r="F74" s="444" t="s">
        <v>291</v>
      </c>
      <c r="G74" s="444" t="s">
        <v>680</v>
      </c>
      <c r="H74" s="444" t="s">
        <v>681</v>
      </c>
      <c r="I74" s="448">
        <v>182</v>
      </c>
      <c r="J74" s="448">
        <v>182</v>
      </c>
      <c r="K74" s="448">
        <v>49</v>
      </c>
      <c r="L74" s="448">
        <v>26.92</v>
      </c>
      <c r="M74" s="449">
        <v>67865</v>
      </c>
      <c r="N74" s="448">
        <v>0</v>
      </c>
      <c r="O74" s="448">
        <v>0</v>
      </c>
      <c r="P74" s="448">
        <v>0</v>
      </c>
      <c r="Q74" s="449">
        <v>0</v>
      </c>
      <c r="R74" s="450">
        <v>49</v>
      </c>
      <c r="S74" s="461">
        <v>67865</v>
      </c>
    </row>
    <row r="75" spans="1:19">
      <c r="A75" s="447">
        <v>130998</v>
      </c>
      <c r="B75" s="447">
        <v>3023516</v>
      </c>
      <c r="C75" s="447">
        <v>302</v>
      </c>
      <c r="D75" s="444" t="s">
        <v>431</v>
      </c>
      <c r="E75" s="447">
        <v>3516</v>
      </c>
      <c r="F75" s="444" t="s">
        <v>68</v>
      </c>
      <c r="G75" s="444" t="s">
        <v>680</v>
      </c>
      <c r="H75" s="444" t="s">
        <v>681</v>
      </c>
      <c r="I75" s="448">
        <v>198</v>
      </c>
      <c r="J75" s="448">
        <v>198</v>
      </c>
      <c r="K75" s="448">
        <v>30</v>
      </c>
      <c r="L75" s="448">
        <v>15.15</v>
      </c>
      <c r="M75" s="449">
        <v>41550</v>
      </c>
      <c r="N75" s="448">
        <v>0</v>
      </c>
      <c r="O75" s="448">
        <v>0</v>
      </c>
      <c r="P75" s="448">
        <v>0</v>
      </c>
      <c r="Q75" s="449">
        <v>0</v>
      </c>
      <c r="R75" s="450">
        <v>30</v>
      </c>
      <c r="S75" s="461">
        <v>41550</v>
      </c>
    </row>
    <row r="76" spans="1:19">
      <c r="A76" s="447">
        <v>134677</v>
      </c>
      <c r="B76" s="447">
        <v>3023518</v>
      </c>
      <c r="C76" s="447">
        <v>302</v>
      </c>
      <c r="D76" s="444" t="s">
        <v>431</v>
      </c>
      <c r="E76" s="447">
        <v>3518</v>
      </c>
      <c r="F76" s="444" t="s">
        <v>112</v>
      </c>
      <c r="G76" s="444" t="s">
        <v>680</v>
      </c>
      <c r="H76" s="444" t="s">
        <v>681</v>
      </c>
      <c r="I76" s="448">
        <v>382</v>
      </c>
      <c r="J76" s="448">
        <v>382</v>
      </c>
      <c r="K76" s="448">
        <v>137</v>
      </c>
      <c r="L76" s="448">
        <v>35.86</v>
      </c>
      <c r="M76" s="449">
        <v>189745</v>
      </c>
      <c r="N76" s="448">
        <v>0</v>
      </c>
      <c r="O76" s="448">
        <v>0</v>
      </c>
      <c r="P76" s="448">
        <v>0</v>
      </c>
      <c r="Q76" s="449">
        <v>0</v>
      </c>
      <c r="R76" s="450">
        <v>137</v>
      </c>
      <c r="S76" s="461">
        <v>189745</v>
      </c>
    </row>
    <row r="77" spans="1:19">
      <c r="A77" s="447">
        <v>135086</v>
      </c>
      <c r="B77" s="447">
        <v>3023520</v>
      </c>
      <c r="C77" s="447">
        <v>302</v>
      </c>
      <c r="D77" s="444" t="s">
        <v>431</v>
      </c>
      <c r="E77" s="447">
        <v>3520</v>
      </c>
      <c r="F77" s="444" t="s">
        <v>256</v>
      </c>
      <c r="G77" s="444" t="s">
        <v>680</v>
      </c>
      <c r="H77" s="444" t="s">
        <v>682</v>
      </c>
      <c r="I77" s="448">
        <v>421</v>
      </c>
      <c r="J77" s="448">
        <v>421</v>
      </c>
      <c r="K77" s="448">
        <v>3</v>
      </c>
      <c r="L77" s="448">
        <v>0.71</v>
      </c>
      <c r="M77" s="449">
        <v>4155</v>
      </c>
      <c r="N77" s="448">
        <v>0</v>
      </c>
      <c r="O77" s="448">
        <v>0</v>
      </c>
      <c r="P77" s="448">
        <v>0</v>
      </c>
      <c r="Q77" s="449">
        <v>0</v>
      </c>
      <c r="R77" s="450">
        <v>3</v>
      </c>
      <c r="S77" s="461">
        <v>4155</v>
      </c>
    </row>
    <row r="78" spans="1:19">
      <c r="A78" s="447">
        <v>103119</v>
      </c>
      <c r="B78" s="447">
        <v>3023521</v>
      </c>
      <c r="C78" s="447">
        <v>302</v>
      </c>
      <c r="D78" s="444" t="s">
        <v>431</v>
      </c>
      <c r="E78" s="447">
        <v>3521</v>
      </c>
      <c r="F78" s="444" t="s">
        <v>440</v>
      </c>
      <c r="G78" s="444" t="s">
        <v>680</v>
      </c>
      <c r="H78" s="444" t="s">
        <v>681</v>
      </c>
      <c r="I78" s="448">
        <v>1454</v>
      </c>
      <c r="J78" s="448">
        <v>582</v>
      </c>
      <c r="K78" s="448">
        <v>159</v>
      </c>
      <c r="L78" s="448">
        <v>27.32</v>
      </c>
      <c r="M78" s="449">
        <v>220215</v>
      </c>
      <c r="N78" s="448">
        <v>872</v>
      </c>
      <c r="O78" s="448">
        <v>310</v>
      </c>
      <c r="P78" s="448">
        <v>35.549999999999997</v>
      </c>
      <c r="Q78" s="449">
        <v>305350</v>
      </c>
      <c r="R78" s="450">
        <v>469</v>
      </c>
      <c r="S78" s="461">
        <v>525565</v>
      </c>
    </row>
    <row r="79" spans="1:19">
      <c r="A79" s="447">
        <v>135226</v>
      </c>
      <c r="B79" s="447">
        <v>3023523</v>
      </c>
      <c r="C79" s="447">
        <v>302</v>
      </c>
      <c r="D79" s="444" t="s">
        <v>431</v>
      </c>
      <c r="E79" s="447">
        <v>3523</v>
      </c>
      <c r="F79" s="444" t="s">
        <v>276</v>
      </c>
      <c r="G79" s="444" t="s">
        <v>680</v>
      </c>
      <c r="H79" s="444" t="s">
        <v>682</v>
      </c>
      <c r="I79" s="448">
        <v>621</v>
      </c>
      <c r="J79" s="448">
        <v>621</v>
      </c>
      <c r="K79" s="448">
        <v>142</v>
      </c>
      <c r="L79" s="448">
        <v>22.87</v>
      </c>
      <c r="M79" s="449">
        <v>196670</v>
      </c>
      <c r="N79" s="448">
        <v>0</v>
      </c>
      <c r="O79" s="448">
        <v>0</v>
      </c>
      <c r="P79" s="448">
        <v>0</v>
      </c>
      <c r="Q79" s="449">
        <v>0</v>
      </c>
      <c r="R79" s="450">
        <v>142</v>
      </c>
      <c r="S79" s="461">
        <v>196670</v>
      </c>
    </row>
    <row r="80" spans="1:19">
      <c r="A80" s="447">
        <v>136402</v>
      </c>
      <c r="B80" s="447">
        <v>3023524</v>
      </c>
      <c r="C80" s="447">
        <v>302</v>
      </c>
      <c r="D80" s="444" t="s">
        <v>431</v>
      </c>
      <c r="E80" s="447">
        <v>3524</v>
      </c>
      <c r="F80" s="444" t="s">
        <v>393</v>
      </c>
      <c r="G80" s="444" t="s">
        <v>680</v>
      </c>
      <c r="H80" s="444" t="s">
        <v>681</v>
      </c>
      <c r="I80" s="448">
        <v>196</v>
      </c>
      <c r="J80" s="448">
        <v>196</v>
      </c>
      <c r="K80" s="448">
        <v>13</v>
      </c>
      <c r="L80" s="448">
        <v>6.63</v>
      </c>
      <c r="M80" s="449">
        <v>18005</v>
      </c>
      <c r="N80" s="448">
        <v>0</v>
      </c>
      <c r="O80" s="448">
        <v>0</v>
      </c>
      <c r="P80" s="448">
        <v>0</v>
      </c>
      <c r="Q80" s="449">
        <v>0</v>
      </c>
      <c r="R80" s="450">
        <v>13</v>
      </c>
      <c r="S80" s="461">
        <v>18005</v>
      </c>
    </row>
    <row r="81" spans="1:19">
      <c r="A81" s="447">
        <v>101345</v>
      </c>
      <c r="B81" s="447">
        <v>3024003</v>
      </c>
      <c r="C81" s="447">
        <v>302</v>
      </c>
      <c r="D81" s="444" t="s">
        <v>431</v>
      </c>
      <c r="E81" s="447">
        <v>4003</v>
      </c>
      <c r="F81" s="444" t="s">
        <v>116</v>
      </c>
      <c r="G81" s="444" t="s">
        <v>680</v>
      </c>
      <c r="H81" s="444" t="s">
        <v>683</v>
      </c>
      <c r="I81" s="448">
        <v>721</v>
      </c>
      <c r="J81" s="448">
        <v>0</v>
      </c>
      <c r="K81" s="448">
        <v>0</v>
      </c>
      <c r="L81" s="448">
        <v>0</v>
      </c>
      <c r="M81" s="449">
        <v>0</v>
      </c>
      <c r="N81" s="448">
        <v>721</v>
      </c>
      <c r="O81" s="448">
        <v>298</v>
      </c>
      <c r="P81" s="448">
        <v>41.33</v>
      </c>
      <c r="Q81" s="449">
        <v>293530</v>
      </c>
      <c r="R81" s="450">
        <v>298</v>
      </c>
      <c r="S81" s="461">
        <v>293530</v>
      </c>
    </row>
    <row r="82" spans="1:19">
      <c r="A82" s="447">
        <v>142627</v>
      </c>
      <c r="B82" s="447">
        <v>3024004</v>
      </c>
      <c r="C82" s="447">
        <v>302</v>
      </c>
      <c r="D82" s="444" t="s">
        <v>431</v>
      </c>
      <c r="E82" s="447">
        <v>4004</v>
      </c>
      <c r="F82" s="444" t="s">
        <v>432</v>
      </c>
      <c r="G82" s="444" t="s">
        <v>680</v>
      </c>
      <c r="H82" s="444" t="s">
        <v>686</v>
      </c>
      <c r="I82" s="448">
        <v>299</v>
      </c>
      <c r="J82" s="448">
        <v>0</v>
      </c>
      <c r="K82" s="448">
        <v>0</v>
      </c>
      <c r="L82" s="448">
        <v>0</v>
      </c>
      <c r="M82" s="449">
        <v>0</v>
      </c>
      <c r="N82" s="448">
        <v>299</v>
      </c>
      <c r="O82" s="448">
        <v>18</v>
      </c>
      <c r="P82" s="448">
        <v>6.02</v>
      </c>
      <c r="Q82" s="449">
        <v>17730</v>
      </c>
      <c r="R82" s="450">
        <v>18</v>
      </c>
      <c r="S82" s="461">
        <v>17730</v>
      </c>
    </row>
    <row r="83" spans="1:19">
      <c r="A83" s="447">
        <v>101356</v>
      </c>
      <c r="B83" s="447">
        <v>3025201</v>
      </c>
      <c r="C83" s="447">
        <v>302</v>
      </c>
      <c r="D83" s="444" t="s">
        <v>431</v>
      </c>
      <c r="E83" s="447">
        <v>5201</v>
      </c>
      <c r="F83" s="444" t="s">
        <v>281</v>
      </c>
      <c r="G83" s="444" t="s">
        <v>680</v>
      </c>
      <c r="H83" s="444" t="s">
        <v>683</v>
      </c>
      <c r="I83" s="448">
        <v>414</v>
      </c>
      <c r="J83" s="448">
        <v>414</v>
      </c>
      <c r="K83" s="448">
        <v>90</v>
      </c>
      <c r="L83" s="448">
        <v>21.74</v>
      </c>
      <c r="M83" s="449">
        <v>124650</v>
      </c>
      <c r="N83" s="448">
        <v>0</v>
      </c>
      <c r="O83" s="448">
        <v>0</v>
      </c>
      <c r="P83" s="448">
        <v>0</v>
      </c>
      <c r="Q83" s="449">
        <v>0</v>
      </c>
      <c r="R83" s="450">
        <v>90</v>
      </c>
      <c r="S83" s="461">
        <v>124650</v>
      </c>
    </row>
    <row r="84" spans="1:19">
      <c r="A84" s="447">
        <v>101361</v>
      </c>
      <c r="B84" s="447">
        <v>3025404</v>
      </c>
      <c r="C84" s="447">
        <v>302</v>
      </c>
      <c r="D84" s="444" t="s">
        <v>431</v>
      </c>
      <c r="E84" s="447">
        <v>5404</v>
      </c>
      <c r="F84" s="444" t="s">
        <v>301</v>
      </c>
      <c r="G84" s="444" t="s">
        <v>680</v>
      </c>
      <c r="H84" s="444" t="s">
        <v>682</v>
      </c>
      <c r="I84" s="448">
        <v>572</v>
      </c>
      <c r="J84" s="448">
        <v>0</v>
      </c>
      <c r="K84" s="448">
        <v>0</v>
      </c>
      <c r="L84" s="448">
        <v>0</v>
      </c>
      <c r="M84" s="449">
        <v>0</v>
      </c>
      <c r="N84" s="448">
        <v>572</v>
      </c>
      <c r="O84" s="448">
        <v>50</v>
      </c>
      <c r="P84" s="448">
        <v>8.74</v>
      </c>
      <c r="Q84" s="449">
        <v>49250</v>
      </c>
      <c r="R84" s="450">
        <v>50</v>
      </c>
      <c r="S84" s="461">
        <v>49250</v>
      </c>
    </row>
    <row r="85" spans="1:19">
      <c r="A85" s="447">
        <v>101362</v>
      </c>
      <c r="B85" s="447">
        <v>3025405</v>
      </c>
      <c r="C85" s="447">
        <v>302</v>
      </c>
      <c r="D85" s="444" t="s">
        <v>431</v>
      </c>
      <c r="E85" s="447">
        <v>5405</v>
      </c>
      <c r="F85" s="444" t="s">
        <v>115</v>
      </c>
      <c r="G85" s="444" t="s">
        <v>680</v>
      </c>
      <c r="H85" s="444" t="s">
        <v>683</v>
      </c>
      <c r="I85" s="448">
        <v>888.5</v>
      </c>
      <c r="J85" s="448">
        <v>0</v>
      </c>
      <c r="K85" s="448">
        <v>0</v>
      </c>
      <c r="L85" s="448">
        <v>0</v>
      </c>
      <c r="M85" s="449">
        <v>0</v>
      </c>
      <c r="N85" s="448">
        <v>888.5</v>
      </c>
      <c r="O85" s="448">
        <v>125.5</v>
      </c>
      <c r="P85" s="448">
        <v>14.12</v>
      </c>
      <c r="Q85" s="449">
        <v>123617.5</v>
      </c>
      <c r="R85" s="450">
        <v>125.5</v>
      </c>
      <c r="S85" s="461">
        <v>123617.5</v>
      </c>
    </row>
    <row r="86" spans="1:19">
      <c r="A86" s="447">
        <v>101364</v>
      </c>
      <c r="B86" s="447">
        <v>3025407</v>
      </c>
      <c r="C86" s="447">
        <v>302</v>
      </c>
      <c r="D86" s="444" t="s">
        <v>431</v>
      </c>
      <c r="E86" s="447">
        <v>5407</v>
      </c>
      <c r="F86" s="444" t="s">
        <v>120</v>
      </c>
      <c r="G86" s="444" t="s">
        <v>680</v>
      </c>
      <c r="H86" s="444" t="s">
        <v>681</v>
      </c>
      <c r="I86" s="448">
        <v>1072</v>
      </c>
      <c r="J86" s="448">
        <v>0</v>
      </c>
      <c r="K86" s="448">
        <v>0</v>
      </c>
      <c r="L86" s="448">
        <v>0</v>
      </c>
      <c r="M86" s="449">
        <v>0</v>
      </c>
      <c r="N86" s="448">
        <v>1072</v>
      </c>
      <c r="O86" s="448">
        <v>270</v>
      </c>
      <c r="P86" s="448">
        <v>25.19</v>
      </c>
      <c r="Q86" s="449">
        <v>265950</v>
      </c>
      <c r="R86" s="450">
        <v>270</v>
      </c>
      <c r="S86" s="461">
        <v>265950</v>
      </c>
    </row>
    <row r="87" spans="1:19">
      <c r="A87" s="447">
        <v>135747</v>
      </c>
      <c r="B87" s="447">
        <v>3025427</v>
      </c>
      <c r="C87" s="447">
        <v>302</v>
      </c>
      <c r="D87" s="444" t="s">
        <v>431</v>
      </c>
      <c r="E87" s="447">
        <v>5427</v>
      </c>
      <c r="F87" s="444" t="s">
        <v>315</v>
      </c>
      <c r="G87" s="444" t="s">
        <v>680</v>
      </c>
      <c r="H87" s="444" t="s">
        <v>683</v>
      </c>
      <c r="I87" s="448">
        <v>991</v>
      </c>
      <c r="J87" s="448">
        <v>0</v>
      </c>
      <c r="K87" s="448">
        <v>0</v>
      </c>
      <c r="L87" s="448">
        <v>0</v>
      </c>
      <c r="M87" s="449">
        <v>0</v>
      </c>
      <c r="N87" s="448">
        <v>991</v>
      </c>
      <c r="O87" s="448">
        <v>63</v>
      </c>
      <c r="P87" s="448">
        <v>6.36</v>
      </c>
      <c r="Q87" s="449">
        <v>62055</v>
      </c>
      <c r="R87" s="450">
        <v>63</v>
      </c>
      <c r="S87" s="461">
        <v>62055</v>
      </c>
    </row>
    <row r="88" spans="1:19">
      <c r="A88" s="447">
        <v>101376</v>
      </c>
      <c r="B88" s="447">
        <v>3025948</v>
      </c>
      <c r="C88" s="447">
        <v>302</v>
      </c>
      <c r="D88" s="444" t="s">
        <v>431</v>
      </c>
      <c r="E88" s="447">
        <v>5948</v>
      </c>
      <c r="F88" s="444" t="s">
        <v>277</v>
      </c>
      <c r="G88" s="444" t="s">
        <v>680</v>
      </c>
      <c r="H88" s="444" t="s">
        <v>681</v>
      </c>
      <c r="I88" s="448">
        <v>205</v>
      </c>
      <c r="J88" s="448">
        <v>205</v>
      </c>
      <c r="K88" s="448">
        <v>7</v>
      </c>
      <c r="L88" s="448">
        <v>3.41</v>
      </c>
      <c r="M88" s="449">
        <v>9695</v>
      </c>
      <c r="N88" s="448">
        <v>0</v>
      </c>
      <c r="O88" s="448">
        <v>0</v>
      </c>
      <c r="P88" s="448">
        <v>0</v>
      </c>
      <c r="Q88" s="449">
        <v>0</v>
      </c>
      <c r="R88" s="450">
        <v>7</v>
      </c>
      <c r="S88" s="461">
        <v>9695</v>
      </c>
    </row>
    <row r="89" spans="1:19">
      <c r="A89" s="447">
        <v>131359</v>
      </c>
      <c r="B89" s="447">
        <v>3025949</v>
      </c>
      <c r="C89" s="447">
        <v>302</v>
      </c>
      <c r="D89" s="444" t="s">
        <v>431</v>
      </c>
      <c r="E89" s="447">
        <v>5949</v>
      </c>
      <c r="F89" s="444" t="s">
        <v>76</v>
      </c>
      <c r="G89" s="444" t="s">
        <v>680</v>
      </c>
      <c r="H89" s="444" t="s">
        <v>681</v>
      </c>
      <c r="I89" s="448">
        <v>359</v>
      </c>
      <c r="J89" s="448">
        <v>359</v>
      </c>
      <c r="K89" s="448">
        <v>11</v>
      </c>
      <c r="L89" s="448">
        <v>3.06</v>
      </c>
      <c r="M89" s="449">
        <v>15235</v>
      </c>
      <c r="N89" s="448">
        <v>0</v>
      </c>
      <c r="O89" s="448">
        <v>0</v>
      </c>
      <c r="P89" s="448">
        <v>0</v>
      </c>
      <c r="Q89" s="449">
        <v>0</v>
      </c>
      <c r="R89" s="450">
        <v>11</v>
      </c>
      <c r="S89" s="461">
        <v>15235</v>
      </c>
    </row>
    <row r="90" spans="1:19">
      <c r="A90" s="447">
        <v>101395</v>
      </c>
      <c r="B90" s="447">
        <v>3027005</v>
      </c>
      <c r="C90" s="447">
        <v>302</v>
      </c>
      <c r="D90" s="444" t="s">
        <v>431</v>
      </c>
      <c r="E90" s="447">
        <v>7005</v>
      </c>
      <c r="F90" s="444" t="s">
        <v>125</v>
      </c>
      <c r="G90" s="444" t="s">
        <v>7</v>
      </c>
      <c r="H90" s="444" t="s">
        <v>681</v>
      </c>
      <c r="I90" s="448">
        <v>124</v>
      </c>
      <c r="J90" s="448">
        <v>124</v>
      </c>
      <c r="K90" s="448">
        <v>47</v>
      </c>
      <c r="L90" s="448">
        <v>37.9</v>
      </c>
      <c r="M90" s="449">
        <v>65095</v>
      </c>
      <c r="N90" s="448">
        <v>0</v>
      </c>
      <c r="O90" s="448">
        <v>0</v>
      </c>
      <c r="P90" s="448">
        <v>0</v>
      </c>
      <c r="Q90" s="449">
        <v>0</v>
      </c>
      <c r="R90" s="450">
        <v>47</v>
      </c>
      <c r="S90" s="461">
        <v>65095</v>
      </c>
    </row>
    <row r="91" spans="1:19">
      <c r="A91" s="447">
        <v>101396</v>
      </c>
      <c r="B91" s="447">
        <v>3027009</v>
      </c>
      <c r="C91" s="447">
        <v>302</v>
      </c>
      <c r="D91" s="444" t="s">
        <v>431</v>
      </c>
      <c r="E91" s="447">
        <v>7009</v>
      </c>
      <c r="F91" s="444" t="s">
        <v>430</v>
      </c>
      <c r="G91" s="444" t="s">
        <v>7</v>
      </c>
      <c r="H91" s="444" t="s">
        <v>683</v>
      </c>
      <c r="I91" s="448">
        <v>117</v>
      </c>
      <c r="J91" s="448">
        <v>117</v>
      </c>
      <c r="K91" s="448">
        <v>38</v>
      </c>
      <c r="L91" s="448">
        <v>32.479999999999997</v>
      </c>
      <c r="M91" s="449">
        <v>52630</v>
      </c>
      <c r="N91" s="448">
        <v>0</v>
      </c>
      <c r="O91" s="448">
        <v>0</v>
      </c>
      <c r="P91" s="448">
        <v>0</v>
      </c>
      <c r="Q91" s="449">
        <v>0</v>
      </c>
      <c r="R91" s="450">
        <v>38</v>
      </c>
      <c r="S91" s="461">
        <v>52630</v>
      </c>
    </row>
    <row r="92" spans="1:19">
      <c r="A92" s="447">
        <v>101397</v>
      </c>
      <c r="B92" s="447">
        <v>3027010</v>
      </c>
      <c r="C92" s="447">
        <v>302</v>
      </c>
      <c r="D92" s="444" t="s">
        <v>431</v>
      </c>
      <c r="E92" s="447">
        <v>7010</v>
      </c>
      <c r="F92" s="444" t="s">
        <v>124</v>
      </c>
      <c r="G92" s="444" t="s">
        <v>7</v>
      </c>
      <c r="H92" s="444" t="s">
        <v>682</v>
      </c>
      <c r="I92" s="448">
        <v>74</v>
      </c>
      <c r="J92" s="448">
        <v>0</v>
      </c>
      <c r="K92" s="448">
        <v>0</v>
      </c>
      <c r="L92" s="448">
        <v>0</v>
      </c>
      <c r="M92" s="449">
        <v>0</v>
      </c>
      <c r="N92" s="448">
        <v>74</v>
      </c>
      <c r="O92" s="448">
        <v>38</v>
      </c>
      <c r="P92" s="448">
        <v>51.35</v>
      </c>
      <c r="Q92" s="449">
        <v>37430</v>
      </c>
      <c r="R92" s="450">
        <v>38</v>
      </c>
      <c r="S92" s="461">
        <v>37430</v>
      </c>
    </row>
    <row r="93" spans="1:19">
      <c r="I93" s="459">
        <f>SUM(I7:I92)</f>
        <v>29872.5</v>
      </c>
      <c r="S93" s="457">
        <f>SUM(S7:S92)</f>
        <v>8505265</v>
      </c>
    </row>
  </sheetData>
  <mergeCells count="6">
    <mergeCell ref="A4:I4"/>
    <mergeCell ref="J4:Q4"/>
    <mergeCell ref="R4:S4"/>
    <mergeCell ref="A5:I5"/>
    <mergeCell ref="J5:M5"/>
    <mergeCell ref="N5:Q5"/>
  </mergeCells>
  <hyperlinks>
    <hyperlink ref="B1" r:id="rId1" display="https://view.officeapps.live.com/op/view.aspx?src=https%3A%2F%2Fassets.publishing.service.gov.uk%2Fgovernment%2Fuploads%2Fsystem%2Fuploads%2Fattachment_data%2Ffile%2F1145250%2FPupil_Premium_FY_2022_to_2023_final_allocations.ods&amp;wdOrigin=BROWSELINK" xr:uid="{41C25683-9445-4251-9D3E-D53D2583FDD9}"/>
  </hyperlinks>
  <pageMargins left="0.7" right="0.7" top="0.75" bottom="0.75" header="0.3" footer="0.3"/>
  <pageSetup paperSize="9" orientation="portrait"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8C5D-AA50-42A2-8411-D3CBF965131E}">
  <dimension ref="A1:CL91"/>
  <sheetViews>
    <sheetView showGridLines="0" workbookViewId="0">
      <pane xSplit="3" ySplit="3" topLeftCell="E4" activePane="bottomRight" state="frozen"/>
      <selection activeCell="D6" sqref="D6"/>
      <selection pane="topRight" activeCell="D6" sqref="D6"/>
      <selection pane="bottomLeft" activeCell="D6" sqref="D6"/>
      <selection pane="bottomRight" activeCell="D6" sqref="D6"/>
    </sheetView>
  </sheetViews>
  <sheetFormatPr defaultColWidth="9.109375" defaultRowHeight="14.4"/>
  <cols>
    <col min="1" max="3" width="13.6640625" style="104" customWidth="1"/>
    <col min="4" max="4" width="25.109375" style="104" customWidth="1"/>
    <col min="5" max="5" width="20.6640625" style="104" customWidth="1"/>
    <col min="6" max="27" width="13.6640625" style="104" customWidth="1"/>
    <col min="28" max="28" width="13.44140625" style="104" customWidth="1"/>
    <col min="29" max="36" width="13.6640625" style="104" customWidth="1"/>
    <col min="37" max="38" width="13.44140625" style="104" customWidth="1"/>
    <col min="39" max="39" width="13.5546875" style="104" customWidth="1"/>
    <col min="40" max="68" width="13.6640625" style="104" customWidth="1"/>
    <col min="69" max="69" width="13.44140625" style="104" customWidth="1"/>
    <col min="70" max="76" width="13.6640625" style="104" customWidth="1"/>
    <col min="77" max="77" width="17" style="104" customWidth="1"/>
    <col min="78" max="78" width="13.6640625" style="104" customWidth="1"/>
    <col min="79" max="80" width="6.88671875" style="104" customWidth="1"/>
    <col min="81" max="86" width="13.6640625" style="104" customWidth="1"/>
    <col min="87" max="87" width="13.5546875" style="104" customWidth="1"/>
    <col min="88" max="88" width="13.44140625" style="104" customWidth="1"/>
    <col min="89" max="89" width="10.109375" style="104" bestFit="1" customWidth="1"/>
    <col min="90" max="16384" width="9.109375" style="104"/>
  </cols>
  <sheetData>
    <row r="1" spans="1:90">
      <c r="B1" s="112">
        <v>1</v>
      </c>
      <c r="C1" s="112">
        <v>2</v>
      </c>
      <c r="D1" s="112">
        <v>3</v>
      </c>
      <c r="E1" s="112">
        <v>4</v>
      </c>
      <c r="F1" s="112">
        <v>5</v>
      </c>
      <c r="G1" s="112">
        <v>6</v>
      </c>
      <c r="H1" s="112">
        <v>7</v>
      </c>
      <c r="I1" s="112">
        <v>8</v>
      </c>
      <c r="J1" s="112">
        <v>9</v>
      </c>
      <c r="K1" s="112">
        <v>10</v>
      </c>
      <c r="L1" s="112">
        <v>11</v>
      </c>
      <c r="M1" s="112">
        <v>12</v>
      </c>
      <c r="N1" s="112">
        <v>13</v>
      </c>
      <c r="O1" s="112">
        <v>14</v>
      </c>
      <c r="P1" s="112">
        <v>15</v>
      </c>
      <c r="Q1" s="112">
        <v>16</v>
      </c>
      <c r="R1" s="112">
        <v>17</v>
      </c>
      <c r="S1" s="112">
        <v>18</v>
      </c>
      <c r="T1" s="112">
        <v>19</v>
      </c>
      <c r="U1" s="112">
        <v>20</v>
      </c>
      <c r="V1" s="112">
        <v>21</v>
      </c>
      <c r="W1" s="112">
        <v>22</v>
      </c>
      <c r="X1" s="112">
        <v>23</v>
      </c>
      <c r="Y1" s="112">
        <v>24</v>
      </c>
      <c r="Z1" s="112">
        <v>25</v>
      </c>
      <c r="AA1" s="112">
        <v>26</v>
      </c>
      <c r="AB1" s="112">
        <v>27</v>
      </c>
      <c r="AC1" s="112">
        <v>28</v>
      </c>
      <c r="AD1" s="112">
        <v>29</v>
      </c>
      <c r="AE1" s="112">
        <v>30</v>
      </c>
      <c r="AF1" s="112">
        <v>31</v>
      </c>
      <c r="AG1" s="112">
        <v>32</v>
      </c>
      <c r="AH1" s="112">
        <v>33</v>
      </c>
      <c r="AI1" s="112">
        <v>34</v>
      </c>
      <c r="AJ1" s="112">
        <v>35</v>
      </c>
      <c r="AK1" s="112">
        <v>36</v>
      </c>
      <c r="AL1" s="112">
        <v>37</v>
      </c>
      <c r="AM1" s="112">
        <v>38</v>
      </c>
      <c r="AN1" s="112">
        <v>39</v>
      </c>
      <c r="AO1" s="112">
        <v>40</v>
      </c>
      <c r="AP1" s="112">
        <v>41</v>
      </c>
      <c r="AQ1" s="112">
        <v>42</v>
      </c>
      <c r="AR1" s="112">
        <v>43</v>
      </c>
      <c r="AS1" s="112">
        <v>44</v>
      </c>
      <c r="AT1" s="112">
        <v>45</v>
      </c>
      <c r="AU1" s="112">
        <v>46</v>
      </c>
      <c r="AV1" s="112">
        <v>47</v>
      </c>
      <c r="AW1" s="112">
        <v>48</v>
      </c>
      <c r="AX1" s="112">
        <v>49</v>
      </c>
      <c r="AY1" s="112">
        <v>50</v>
      </c>
      <c r="AZ1" s="112">
        <v>51</v>
      </c>
      <c r="BA1" s="112">
        <v>52</v>
      </c>
      <c r="BB1" s="112">
        <v>53</v>
      </c>
      <c r="BC1" s="112">
        <v>54</v>
      </c>
      <c r="BD1" s="112">
        <v>55</v>
      </c>
      <c r="BE1" s="112">
        <v>56</v>
      </c>
      <c r="BF1" s="112">
        <v>57</v>
      </c>
      <c r="BG1" s="112">
        <v>58</v>
      </c>
      <c r="BH1" s="112">
        <v>59</v>
      </c>
      <c r="BI1" s="112">
        <v>60</v>
      </c>
      <c r="BJ1" s="112">
        <v>61</v>
      </c>
      <c r="BK1" s="112">
        <v>62</v>
      </c>
      <c r="BL1" s="112">
        <v>63</v>
      </c>
      <c r="BM1" s="112">
        <v>64</v>
      </c>
      <c r="BN1" s="112">
        <v>65</v>
      </c>
      <c r="BO1" s="112">
        <v>66</v>
      </c>
      <c r="BP1" s="112">
        <v>67</v>
      </c>
      <c r="BQ1" s="112">
        <v>68</v>
      </c>
      <c r="BR1" s="112">
        <v>69</v>
      </c>
      <c r="BS1" s="112">
        <v>70</v>
      </c>
      <c r="BT1" s="112">
        <v>71</v>
      </c>
      <c r="BU1" s="112">
        <v>72</v>
      </c>
      <c r="BV1" s="112">
        <v>73</v>
      </c>
      <c r="BW1" s="112">
        <v>74</v>
      </c>
      <c r="BX1" s="112">
        <v>75</v>
      </c>
      <c r="BY1" s="112">
        <v>76</v>
      </c>
      <c r="BZ1" s="112">
        <v>77</v>
      </c>
      <c r="CA1" s="112">
        <v>78</v>
      </c>
      <c r="CB1" s="112">
        <v>79</v>
      </c>
      <c r="CC1" s="112">
        <v>80</v>
      </c>
      <c r="CD1" s="112">
        <v>81</v>
      </c>
      <c r="CE1" s="112">
        <v>82</v>
      </c>
      <c r="CF1" s="112">
        <v>83</v>
      </c>
      <c r="CG1" s="112">
        <v>84</v>
      </c>
      <c r="CH1" s="112">
        <v>85</v>
      </c>
      <c r="CI1" s="112">
        <v>86</v>
      </c>
      <c r="CJ1" s="112">
        <v>87</v>
      </c>
      <c r="CK1" s="112">
        <v>88</v>
      </c>
      <c r="CL1" s="112">
        <v>89</v>
      </c>
    </row>
    <row r="2" spans="1:90" ht="25.95" customHeight="1">
      <c r="A2" s="660" t="s">
        <v>555</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49"/>
      <c r="BG2" s="649"/>
      <c r="BH2" s="649"/>
      <c r="BI2" s="649"/>
      <c r="BJ2" s="649"/>
      <c r="BK2" s="649"/>
      <c r="BL2" s="649"/>
      <c r="BM2" s="649"/>
      <c r="BN2" s="649"/>
      <c r="BO2" s="649"/>
      <c r="BP2" s="649"/>
      <c r="BQ2" s="649"/>
      <c r="BR2" s="649"/>
      <c r="BS2" s="649"/>
      <c r="BT2" s="649"/>
      <c r="BU2" s="649"/>
      <c r="BV2" s="649"/>
      <c r="BW2" s="649"/>
      <c r="BX2" s="649"/>
      <c r="BY2" s="649"/>
      <c r="BZ2" s="649"/>
      <c r="CA2" s="649"/>
    </row>
    <row r="3" spans="1:90" ht="43.2">
      <c r="A3" s="105" t="s">
        <v>556</v>
      </c>
      <c r="B3" s="105" t="s">
        <v>557</v>
      </c>
      <c r="C3" s="106" t="s">
        <v>128</v>
      </c>
      <c r="D3" s="106" t="s">
        <v>558</v>
      </c>
      <c r="E3" s="106" t="s">
        <v>559</v>
      </c>
      <c r="F3" s="106" t="s">
        <v>560</v>
      </c>
      <c r="G3" s="105" t="s">
        <v>561</v>
      </c>
      <c r="H3" s="105" t="s">
        <v>562</v>
      </c>
      <c r="I3" s="106" t="s">
        <v>563</v>
      </c>
      <c r="J3" s="106" t="s">
        <v>564</v>
      </c>
      <c r="K3" s="106" t="s">
        <v>565</v>
      </c>
      <c r="L3" s="106" t="s">
        <v>566</v>
      </c>
      <c r="M3" s="106" t="s">
        <v>567</v>
      </c>
      <c r="N3" s="106" t="s">
        <v>568</v>
      </c>
      <c r="O3" s="106" t="s">
        <v>569</v>
      </c>
      <c r="P3" s="106" t="s">
        <v>570</v>
      </c>
      <c r="Q3" s="105" t="s">
        <v>305</v>
      </c>
      <c r="R3" s="105" t="s">
        <v>306</v>
      </c>
      <c r="S3" s="105" t="s">
        <v>307</v>
      </c>
      <c r="T3" s="105" t="s">
        <v>200</v>
      </c>
      <c r="U3" s="105" t="s">
        <v>201</v>
      </c>
      <c r="V3" s="105" t="s">
        <v>202</v>
      </c>
      <c r="W3" s="105" t="s">
        <v>203</v>
      </c>
      <c r="X3" s="105" t="s">
        <v>204</v>
      </c>
      <c r="Y3" s="105" t="s">
        <v>205</v>
      </c>
      <c r="Z3" s="105" t="s">
        <v>206</v>
      </c>
      <c r="AA3" s="105" t="s">
        <v>571</v>
      </c>
      <c r="AB3" s="105" t="s">
        <v>572</v>
      </c>
      <c r="AC3" s="105" t="s">
        <v>208</v>
      </c>
      <c r="AD3" s="105" t="s">
        <v>209</v>
      </c>
      <c r="AE3" s="105" t="s">
        <v>210</v>
      </c>
      <c r="AF3" s="105" t="s">
        <v>211</v>
      </c>
      <c r="AG3" s="105" t="s">
        <v>212</v>
      </c>
      <c r="AH3" s="105" t="s">
        <v>213</v>
      </c>
      <c r="AI3" s="105" t="s">
        <v>214</v>
      </c>
      <c r="AJ3" s="105" t="s">
        <v>215</v>
      </c>
      <c r="AK3" s="105" t="s">
        <v>523</v>
      </c>
      <c r="AL3" s="105" t="s">
        <v>524</v>
      </c>
      <c r="AM3" s="105" t="s">
        <v>525</v>
      </c>
      <c r="AN3" s="105" t="s">
        <v>526</v>
      </c>
      <c r="AO3" s="105" t="s">
        <v>216</v>
      </c>
      <c r="AP3" s="105" t="s">
        <v>217</v>
      </c>
      <c r="AQ3" s="105" t="s">
        <v>218</v>
      </c>
      <c r="AR3" s="105" t="s">
        <v>219</v>
      </c>
      <c r="AS3" s="105" t="s">
        <v>220</v>
      </c>
      <c r="AT3" s="105" t="s">
        <v>221</v>
      </c>
      <c r="AU3" s="105" t="s">
        <v>222</v>
      </c>
      <c r="AV3" s="105" t="s">
        <v>223</v>
      </c>
      <c r="AW3" s="105" t="s">
        <v>224</v>
      </c>
      <c r="AX3" s="105" t="s">
        <v>225</v>
      </c>
      <c r="AY3" s="105" t="s">
        <v>226</v>
      </c>
      <c r="AZ3" s="105" t="s">
        <v>227</v>
      </c>
      <c r="BA3" s="105" t="s">
        <v>228</v>
      </c>
      <c r="BB3" s="105" t="s">
        <v>229</v>
      </c>
      <c r="BC3" s="105" t="s">
        <v>230</v>
      </c>
      <c r="BD3" s="105" t="s">
        <v>231</v>
      </c>
      <c r="BE3" s="105" t="s">
        <v>232</v>
      </c>
      <c r="BF3" s="105" t="s">
        <v>233</v>
      </c>
      <c r="BG3" s="105" t="s">
        <v>234</v>
      </c>
      <c r="BH3" s="105" t="s">
        <v>235</v>
      </c>
      <c r="BI3" s="105" t="s">
        <v>236</v>
      </c>
      <c r="BJ3" s="105" t="s">
        <v>237</v>
      </c>
      <c r="BK3" s="105" t="s">
        <v>238</v>
      </c>
      <c r="BL3" s="105" t="s">
        <v>239</v>
      </c>
      <c r="BM3" s="105" t="s">
        <v>240</v>
      </c>
      <c r="BN3" s="105" t="s">
        <v>241</v>
      </c>
      <c r="BO3" s="105" t="s">
        <v>242</v>
      </c>
      <c r="BP3" s="105" t="s">
        <v>573</v>
      </c>
      <c r="BQ3" s="105" t="s">
        <v>574</v>
      </c>
      <c r="BR3" s="105" t="s">
        <v>244</v>
      </c>
      <c r="BS3" s="105" t="s">
        <v>245</v>
      </c>
      <c r="BT3" s="105" t="s">
        <v>246</v>
      </c>
      <c r="BU3" s="105" t="s">
        <v>247</v>
      </c>
      <c r="BV3" s="105" t="s">
        <v>308</v>
      </c>
      <c r="BW3" s="105" t="s">
        <v>309</v>
      </c>
      <c r="BX3" s="105" t="s">
        <v>575</v>
      </c>
      <c r="BY3" s="105" t="s">
        <v>576</v>
      </c>
      <c r="BZ3" s="105" t="s">
        <v>311</v>
      </c>
      <c r="CA3" s="661" t="s">
        <v>312</v>
      </c>
      <c r="CB3" s="659"/>
      <c r="CC3" s="105" t="s">
        <v>313</v>
      </c>
      <c r="CD3" s="105" t="s">
        <v>314</v>
      </c>
      <c r="CE3" s="105" t="s">
        <v>577</v>
      </c>
      <c r="CF3" s="105" t="s">
        <v>578</v>
      </c>
      <c r="CG3" s="105" t="s">
        <v>579</v>
      </c>
      <c r="CH3" s="105" t="s">
        <v>580</v>
      </c>
      <c r="CI3" s="105" t="s">
        <v>581</v>
      </c>
      <c r="CJ3" s="107" t="s">
        <v>582</v>
      </c>
      <c r="CK3" s="108" t="s">
        <v>583</v>
      </c>
      <c r="CL3" s="108" t="s">
        <v>584</v>
      </c>
    </row>
    <row r="4" spans="1:90">
      <c r="A4" s="109">
        <v>302</v>
      </c>
      <c r="B4" s="109">
        <v>1000</v>
      </c>
      <c r="C4" s="109" t="s">
        <v>585</v>
      </c>
      <c r="D4" s="109" t="s">
        <v>586</v>
      </c>
      <c r="E4" s="109" t="s">
        <v>587</v>
      </c>
      <c r="F4" s="109" t="s">
        <v>588</v>
      </c>
      <c r="G4" s="109">
        <v>0</v>
      </c>
      <c r="H4" s="109">
        <v>2</v>
      </c>
      <c r="I4" s="109" t="s">
        <v>589</v>
      </c>
      <c r="J4" s="109" t="s">
        <v>590</v>
      </c>
      <c r="K4" s="109" t="s">
        <v>591</v>
      </c>
      <c r="L4" s="109" t="s">
        <v>592</v>
      </c>
      <c r="M4" s="109" t="s">
        <v>591</v>
      </c>
      <c r="N4" s="109" t="s">
        <v>593</v>
      </c>
      <c r="O4" s="109" t="s">
        <v>188</v>
      </c>
      <c r="P4" s="109" t="s">
        <v>188</v>
      </c>
      <c r="Q4" s="109">
        <v>-28166.18</v>
      </c>
      <c r="R4" s="109">
        <v>55694.99</v>
      </c>
      <c r="S4" s="109">
        <v>64091.23</v>
      </c>
      <c r="T4" s="109">
        <v>1123918.44</v>
      </c>
      <c r="U4" s="109">
        <v>0</v>
      </c>
      <c r="V4" s="109">
        <v>46448.01</v>
      </c>
      <c r="W4" s="109">
        <v>0</v>
      </c>
      <c r="X4" s="109">
        <v>0</v>
      </c>
      <c r="Y4" s="109">
        <v>136044</v>
      </c>
      <c r="Z4" s="109">
        <v>68467.56</v>
      </c>
      <c r="AA4" s="109">
        <v>21240</v>
      </c>
      <c r="AB4" s="109">
        <v>729752.52</v>
      </c>
      <c r="AC4" s="109">
        <v>12978.19</v>
      </c>
      <c r="AD4" s="109">
        <v>0</v>
      </c>
      <c r="AE4" s="109">
        <v>0</v>
      </c>
      <c r="AF4" s="109">
        <v>0</v>
      </c>
      <c r="AG4" s="109">
        <v>12839.14</v>
      </c>
      <c r="AH4" s="109">
        <v>0</v>
      </c>
      <c r="AI4" s="109">
        <v>149294.01</v>
      </c>
      <c r="AJ4" s="109">
        <v>1036.94</v>
      </c>
      <c r="AK4" s="109">
        <v>0</v>
      </c>
      <c r="AL4" s="109">
        <v>0</v>
      </c>
      <c r="AM4" s="109">
        <v>0</v>
      </c>
      <c r="AN4" s="109">
        <v>0</v>
      </c>
      <c r="AO4" s="109">
        <v>424669.11</v>
      </c>
      <c r="AP4" s="109">
        <v>0</v>
      </c>
      <c r="AQ4" s="109">
        <v>1314308.6200000001</v>
      </c>
      <c r="AR4" s="109">
        <v>50841.75</v>
      </c>
      <c r="AS4" s="109">
        <v>85635.37</v>
      </c>
      <c r="AT4" s="109">
        <v>0</v>
      </c>
      <c r="AU4" s="109">
        <v>71309.36</v>
      </c>
      <c r="AV4" s="109">
        <v>7601.75</v>
      </c>
      <c r="AW4" s="109">
        <v>906.93</v>
      </c>
      <c r="AX4" s="109">
        <v>0</v>
      </c>
      <c r="AY4" s="109">
        <v>0</v>
      </c>
      <c r="AZ4" s="109">
        <v>16351.86</v>
      </c>
      <c r="BA4" s="109">
        <v>5236.04</v>
      </c>
      <c r="BB4" s="109">
        <v>6432.69</v>
      </c>
      <c r="BC4" s="109">
        <v>2573.94</v>
      </c>
      <c r="BD4" s="109">
        <v>19635.7</v>
      </c>
      <c r="BE4" s="109">
        <v>6603.93</v>
      </c>
      <c r="BF4" s="109">
        <v>15445.24</v>
      </c>
      <c r="BG4" s="109">
        <v>38536.230000000003</v>
      </c>
      <c r="BH4" s="109">
        <v>16953.439999999999</v>
      </c>
      <c r="BI4" s="109">
        <v>0</v>
      </c>
      <c r="BJ4" s="109">
        <v>28034.13</v>
      </c>
      <c r="BK4" s="109">
        <v>7429</v>
      </c>
      <c r="BL4" s="109">
        <v>1682.11</v>
      </c>
      <c r="BM4" s="109">
        <v>12612.5</v>
      </c>
      <c r="BN4" s="109">
        <v>0</v>
      </c>
      <c r="BO4" s="109">
        <v>16903</v>
      </c>
      <c r="BP4" s="109">
        <v>43779</v>
      </c>
      <c r="BQ4" s="109">
        <v>0</v>
      </c>
      <c r="BR4" s="109">
        <v>0</v>
      </c>
      <c r="BS4" s="109">
        <v>0</v>
      </c>
      <c r="BT4" s="109">
        <v>173176.22</v>
      </c>
      <c r="BU4" s="109">
        <v>29212.51</v>
      </c>
      <c r="BV4" s="109">
        <v>15261</v>
      </c>
      <c r="BW4" s="109">
        <v>0</v>
      </c>
      <c r="BX4" s="109">
        <v>0</v>
      </c>
      <c r="BY4" s="109">
        <v>1</v>
      </c>
      <c r="BZ4" s="109">
        <v>0</v>
      </c>
      <c r="CA4" s="658">
        <v>19882.43</v>
      </c>
      <c r="CB4" s="659"/>
      <c r="CC4" s="109">
        <v>0</v>
      </c>
      <c r="CD4" s="109">
        <v>0</v>
      </c>
      <c r="CE4" s="109">
        <v>0</v>
      </c>
      <c r="CF4" s="109">
        <v>-69960</v>
      </c>
      <c r="CG4" s="109">
        <v>30426</v>
      </c>
      <c r="CH4" s="109">
        <v>29044</v>
      </c>
      <c r="CI4" s="109">
        <v>3637</v>
      </c>
      <c r="CJ4" s="110">
        <v>0</v>
      </c>
      <c r="CK4" s="111">
        <f>CE4+CF4+CI4</f>
        <v>-66323</v>
      </c>
      <c r="CL4" s="111">
        <f>CG4+CH4</f>
        <v>59470</v>
      </c>
    </row>
    <row r="5" spans="1:90" ht="26.4">
      <c r="A5" s="109">
        <v>302</v>
      </c>
      <c r="B5" s="109">
        <v>1002</v>
      </c>
      <c r="C5" s="109" t="s">
        <v>29</v>
      </c>
      <c r="D5" s="109" t="s">
        <v>594</v>
      </c>
      <c r="E5" s="109"/>
      <c r="F5" s="109" t="s">
        <v>588</v>
      </c>
      <c r="G5" s="109">
        <v>0</v>
      </c>
      <c r="H5" s="109">
        <v>2</v>
      </c>
      <c r="I5" s="109" t="s">
        <v>589</v>
      </c>
      <c r="J5" s="109" t="s">
        <v>590</v>
      </c>
      <c r="K5" s="109" t="s">
        <v>591</v>
      </c>
      <c r="L5" s="109" t="s">
        <v>592</v>
      </c>
      <c r="M5" s="109" t="s">
        <v>591</v>
      </c>
      <c r="N5" s="109" t="s">
        <v>593</v>
      </c>
      <c r="O5" s="109" t="s">
        <v>188</v>
      </c>
      <c r="P5" s="109" t="s">
        <v>188</v>
      </c>
      <c r="Q5" s="109">
        <v>-20659.71</v>
      </c>
      <c r="R5" s="109">
        <v>0</v>
      </c>
      <c r="S5" s="109">
        <v>21843</v>
      </c>
      <c r="T5" s="109">
        <v>439322.45</v>
      </c>
      <c r="U5" s="109">
        <v>0</v>
      </c>
      <c r="V5" s="109">
        <v>32357.71</v>
      </c>
      <c r="W5" s="109">
        <v>0</v>
      </c>
      <c r="X5" s="109">
        <v>0</v>
      </c>
      <c r="Y5" s="109">
        <v>0</v>
      </c>
      <c r="Z5" s="109">
        <v>27617.58</v>
      </c>
      <c r="AA5" s="109">
        <v>0</v>
      </c>
      <c r="AB5" s="109">
        <v>163090.85</v>
      </c>
      <c r="AC5" s="109">
        <v>12929.16</v>
      </c>
      <c r="AD5" s="109">
        <v>0</v>
      </c>
      <c r="AE5" s="109">
        <v>0</v>
      </c>
      <c r="AF5" s="109">
        <v>627.20000000000005</v>
      </c>
      <c r="AG5" s="109">
        <v>17448.16</v>
      </c>
      <c r="AH5" s="109">
        <v>0</v>
      </c>
      <c r="AI5" s="109">
        <v>0</v>
      </c>
      <c r="AJ5" s="109">
        <v>0</v>
      </c>
      <c r="AK5" s="109">
        <v>899.34</v>
      </c>
      <c r="AL5" s="109">
        <v>0</v>
      </c>
      <c r="AM5" s="109">
        <v>0</v>
      </c>
      <c r="AN5" s="109">
        <v>0</v>
      </c>
      <c r="AO5" s="109">
        <v>234537.87</v>
      </c>
      <c r="AP5" s="109">
        <v>0</v>
      </c>
      <c r="AQ5" s="109">
        <v>253042.26</v>
      </c>
      <c r="AR5" s="109">
        <v>35010.9</v>
      </c>
      <c r="AS5" s="109">
        <v>69581.84</v>
      </c>
      <c r="AT5" s="109">
        <v>0</v>
      </c>
      <c r="AU5" s="109">
        <v>50457.43</v>
      </c>
      <c r="AV5" s="109">
        <v>14966.26</v>
      </c>
      <c r="AW5" s="109">
        <v>6146.06</v>
      </c>
      <c r="AX5" s="109">
        <v>0</v>
      </c>
      <c r="AY5" s="109">
        <v>0</v>
      </c>
      <c r="AZ5" s="109">
        <v>1833.48</v>
      </c>
      <c r="BA5" s="109">
        <v>888.25</v>
      </c>
      <c r="BB5" s="109">
        <v>2503.02</v>
      </c>
      <c r="BC5" s="109">
        <v>1383.62</v>
      </c>
      <c r="BD5" s="109">
        <v>6891.15</v>
      </c>
      <c r="BE5" s="109">
        <v>1846.74</v>
      </c>
      <c r="BF5" s="109">
        <v>4312.99</v>
      </c>
      <c r="BG5" s="109">
        <v>8023.86</v>
      </c>
      <c r="BH5" s="109">
        <v>3624.72</v>
      </c>
      <c r="BI5" s="109">
        <v>0</v>
      </c>
      <c r="BJ5" s="109">
        <v>7167.38</v>
      </c>
      <c r="BK5" s="109">
        <v>1710</v>
      </c>
      <c r="BL5" s="109">
        <v>2010.33</v>
      </c>
      <c r="BM5" s="109">
        <v>12929.16</v>
      </c>
      <c r="BN5" s="109">
        <v>22858.83</v>
      </c>
      <c r="BO5" s="109">
        <v>38047.82</v>
      </c>
      <c r="BP5" s="109">
        <v>8059.5</v>
      </c>
      <c r="BQ5" s="109">
        <v>0</v>
      </c>
      <c r="BR5" s="109">
        <v>0</v>
      </c>
      <c r="BS5" s="109">
        <v>0</v>
      </c>
      <c r="BT5" s="109">
        <v>0</v>
      </c>
      <c r="BU5" s="109">
        <v>0</v>
      </c>
      <c r="BV5" s="109">
        <v>4945</v>
      </c>
      <c r="BW5" s="109">
        <v>0</v>
      </c>
      <c r="BX5" s="109">
        <v>0</v>
      </c>
      <c r="BY5" s="109">
        <v>1</v>
      </c>
      <c r="BZ5" s="109">
        <v>0</v>
      </c>
      <c r="CA5" s="658">
        <v>15526.93</v>
      </c>
      <c r="CB5" s="659"/>
      <c r="CC5" s="109">
        <v>0</v>
      </c>
      <c r="CD5" s="109">
        <v>0</v>
      </c>
      <c r="CE5" s="109">
        <v>0</v>
      </c>
      <c r="CF5" s="109">
        <v>-114200</v>
      </c>
      <c r="CG5" s="109">
        <v>11261</v>
      </c>
      <c r="CH5" s="109">
        <v>0</v>
      </c>
      <c r="CI5" s="109">
        <v>0</v>
      </c>
      <c r="CJ5" s="110">
        <v>0</v>
      </c>
      <c r="CK5" s="111">
        <f t="shared" ref="CK5:CK68" si="0">CE5+CF5+CI5</f>
        <v>-114200</v>
      </c>
      <c r="CL5" s="111">
        <f t="shared" ref="CL5:CL68" si="1">CG5+CH5</f>
        <v>11261</v>
      </c>
    </row>
    <row r="6" spans="1:90" ht="26.4">
      <c r="A6" s="109">
        <v>302</v>
      </c>
      <c r="B6" s="109">
        <v>1100</v>
      </c>
      <c r="C6" s="109" t="s">
        <v>595</v>
      </c>
      <c r="D6" s="109" t="s">
        <v>594</v>
      </c>
      <c r="E6" s="109"/>
      <c r="F6" s="109" t="s">
        <v>588</v>
      </c>
      <c r="G6" s="109">
        <v>0</v>
      </c>
      <c r="H6" s="109">
        <v>0</v>
      </c>
      <c r="I6" s="109" t="s">
        <v>589</v>
      </c>
      <c r="J6" s="109" t="s">
        <v>590</v>
      </c>
      <c r="K6" s="109" t="s">
        <v>591</v>
      </c>
      <c r="L6" s="109" t="s">
        <v>592</v>
      </c>
      <c r="M6" s="109" t="s">
        <v>591</v>
      </c>
      <c r="N6" s="109" t="s">
        <v>593</v>
      </c>
      <c r="O6" s="109" t="s">
        <v>188</v>
      </c>
      <c r="P6" s="109" t="s">
        <v>188</v>
      </c>
      <c r="Q6" s="109">
        <v>291425.51</v>
      </c>
      <c r="R6" s="109">
        <v>0</v>
      </c>
      <c r="S6" s="109">
        <v>39211.75</v>
      </c>
      <c r="T6" s="109">
        <v>1700136.64</v>
      </c>
      <c r="U6" s="109">
        <v>0</v>
      </c>
      <c r="V6" s="109">
        <v>1080223.2</v>
      </c>
      <c r="W6" s="109">
        <v>0</v>
      </c>
      <c r="X6" s="109">
        <v>30057.39</v>
      </c>
      <c r="Y6" s="109">
        <v>0</v>
      </c>
      <c r="Z6" s="109">
        <v>57172.53</v>
      </c>
      <c r="AA6" s="109">
        <v>0</v>
      </c>
      <c r="AB6" s="109">
        <v>168086.79</v>
      </c>
      <c r="AC6" s="109">
        <v>0</v>
      </c>
      <c r="AD6" s="109">
        <v>22373.919999999998</v>
      </c>
      <c r="AE6" s="109">
        <v>0</v>
      </c>
      <c r="AF6" s="109">
        <v>0</v>
      </c>
      <c r="AG6" s="109">
        <v>0</v>
      </c>
      <c r="AH6" s="109">
        <v>0</v>
      </c>
      <c r="AI6" s="109">
        <v>0</v>
      </c>
      <c r="AJ6" s="109">
        <v>0</v>
      </c>
      <c r="AK6" s="109">
        <v>0</v>
      </c>
      <c r="AL6" s="109">
        <v>0</v>
      </c>
      <c r="AM6" s="109">
        <v>0</v>
      </c>
      <c r="AN6" s="109">
        <v>63642.09</v>
      </c>
      <c r="AO6" s="109">
        <v>1593532.5</v>
      </c>
      <c r="AP6" s="109">
        <v>202269.9</v>
      </c>
      <c r="AQ6" s="109">
        <v>311728.51</v>
      </c>
      <c r="AR6" s="109">
        <v>32179.279999999999</v>
      </c>
      <c r="AS6" s="109">
        <v>62335.32</v>
      </c>
      <c r="AT6" s="109">
        <v>0</v>
      </c>
      <c r="AU6" s="109">
        <v>0</v>
      </c>
      <c r="AV6" s="109">
        <v>12673.88</v>
      </c>
      <c r="AW6" s="109">
        <v>12280.03</v>
      </c>
      <c r="AX6" s="109">
        <v>27209.03</v>
      </c>
      <c r="AY6" s="109">
        <v>1482</v>
      </c>
      <c r="AZ6" s="109">
        <v>3589.66</v>
      </c>
      <c r="BA6" s="109">
        <v>3928.08</v>
      </c>
      <c r="BB6" s="109">
        <v>23196.86</v>
      </c>
      <c r="BC6" s="109">
        <v>1089.33</v>
      </c>
      <c r="BD6" s="109">
        <v>17953.689999999999</v>
      </c>
      <c r="BE6" s="109">
        <v>2697.06</v>
      </c>
      <c r="BF6" s="109">
        <v>10932.41</v>
      </c>
      <c r="BG6" s="109">
        <v>43869.07</v>
      </c>
      <c r="BH6" s="109">
        <v>27039.9</v>
      </c>
      <c r="BI6" s="109">
        <v>5604.2</v>
      </c>
      <c r="BJ6" s="109">
        <v>16426.63</v>
      </c>
      <c r="BK6" s="109">
        <v>3782</v>
      </c>
      <c r="BL6" s="109">
        <v>34412.769999999997</v>
      </c>
      <c r="BM6" s="109">
        <v>33068.39</v>
      </c>
      <c r="BN6" s="109">
        <v>146696.25</v>
      </c>
      <c r="BO6" s="109">
        <v>182090.05</v>
      </c>
      <c r="BP6" s="109">
        <v>48383.45</v>
      </c>
      <c r="BQ6" s="109">
        <v>0</v>
      </c>
      <c r="BR6" s="109">
        <v>0</v>
      </c>
      <c r="BS6" s="109">
        <v>0</v>
      </c>
      <c r="BT6" s="109">
        <v>0</v>
      </c>
      <c r="BU6" s="109">
        <v>0</v>
      </c>
      <c r="BV6" s="109">
        <v>8506</v>
      </c>
      <c r="BW6" s="109">
        <v>0</v>
      </c>
      <c r="BX6" s="109">
        <v>0</v>
      </c>
      <c r="BY6" s="109">
        <v>1</v>
      </c>
      <c r="BZ6" s="109">
        <v>0</v>
      </c>
      <c r="CA6" s="658">
        <v>0</v>
      </c>
      <c r="CB6" s="659"/>
      <c r="CC6" s="109">
        <v>0</v>
      </c>
      <c r="CD6" s="109">
        <v>0</v>
      </c>
      <c r="CE6" s="109">
        <v>50000</v>
      </c>
      <c r="CF6" s="109">
        <v>502668</v>
      </c>
      <c r="CG6" s="109">
        <v>47718</v>
      </c>
      <c r="CH6" s="109">
        <v>0</v>
      </c>
      <c r="CI6" s="109">
        <v>0</v>
      </c>
      <c r="CJ6" s="110">
        <v>0</v>
      </c>
      <c r="CK6" s="111">
        <f t="shared" si="0"/>
        <v>552668</v>
      </c>
      <c r="CL6" s="111">
        <f t="shared" si="1"/>
        <v>47718</v>
      </c>
    </row>
    <row r="7" spans="1:90">
      <c r="A7" s="109">
        <v>302</v>
      </c>
      <c r="B7" s="109">
        <v>1102</v>
      </c>
      <c r="C7" s="109" t="s">
        <v>596</v>
      </c>
      <c r="D7" s="109" t="s">
        <v>594</v>
      </c>
      <c r="E7" s="109"/>
      <c r="F7" s="109" t="s">
        <v>588</v>
      </c>
      <c r="G7" s="109">
        <v>0</v>
      </c>
      <c r="H7" s="109">
        <v>0</v>
      </c>
      <c r="I7" s="109" t="s">
        <v>589</v>
      </c>
      <c r="J7" s="109" t="s">
        <v>590</v>
      </c>
      <c r="K7" s="109" t="s">
        <v>591</v>
      </c>
      <c r="L7" s="109" t="s">
        <v>592</v>
      </c>
      <c r="M7" s="109" t="s">
        <v>591</v>
      </c>
      <c r="N7" s="109" t="s">
        <v>593</v>
      </c>
      <c r="O7" s="109" t="s">
        <v>188</v>
      </c>
      <c r="P7" s="109" t="s">
        <v>188</v>
      </c>
      <c r="Q7" s="109">
        <v>178749.21</v>
      </c>
      <c r="R7" s="109">
        <v>0</v>
      </c>
      <c r="S7" s="109">
        <v>1178.42</v>
      </c>
      <c r="T7" s="109">
        <v>486423.46</v>
      </c>
      <c r="U7" s="109">
        <v>0</v>
      </c>
      <c r="V7" s="109">
        <v>0</v>
      </c>
      <c r="W7" s="109">
        <v>0</v>
      </c>
      <c r="X7" s="109">
        <v>6620.31</v>
      </c>
      <c r="Y7" s="109">
        <v>0</v>
      </c>
      <c r="Z7" s="109">
        <v>3897.64</v>
      </c>
      <c r="AA7" s="109">
        <v>0</v>
      </c>
      <c r="AB7" s="109">
        <v>97771.33</v>
      </c>
      <c r="AC7" s="109">
        <v>0</v>
      </c>
      <c r="AD7" s="109">
        <v>0</v>
      </c>
      <c r="AE7" s="109">
        <v>1326</v>
      </c>
      <c r="AF7" s="109">
        <v>0</v>
      </c>
      <c r="AG7" s="109">
        <v>0</v>
      </c>
      <c r="AH7" s="109">
        <v>0</v>
      </c>
      <c r="AI7" s="109">
        <v>0</v>
      </c>
      <c r="AJ7" s="109">
        <v>0</v>
      </c>
      <c r="AK7" s="109">
        <v>0</v>
      </c>
      <c r="AL7" s="109">
        <v>31207.75</v>
      </c>
      <c r="AM7" s="109">
        <v>6451.88</v>
      </c>
      <c r="AN7" s="109">
        <v>0</v>
      </c>
      <c r="AO7" s="109">
        <v>446778.13</v>
      </c>
      <c r="AP7" s="109">
        <v>0</v>
      </c>
      <c r="AQ7" s="109">
        <v>24920.54</v>
      </c>
      <c r="AR7" s="109">
        <v>0</v>
      </c>
      <c r="AS7" s="109">
        <v>36519.93</v>
      </c>
      <c r="AT7" s="109">
        <v>0</v>
      </c>
      <c r="AU7" s="109">
        <v>656.22</v>
      </c>
      <c r="AV7" s="109">
        <v>5032.92</v>
      </c>
      <c r="AW7" s="109">
        <v>3331.37</v>
      </c>
      <c r="AX7" s="109">
        <v>4834.32</v>
      </c>
      <c r="AY7" s="109">
        <v>0</v>
      </c>
      <c r="AZ7" s="109">
        <v>8717.6200000000008</v>
      </c>
      <c r="BA7" s="109">
        <v>0</v>
      </c>
      <c r="BB7" s="109">
        <v>107.47</v>
      </c>
      <c r="BC7" s="109">
        <v>0</v>
      </c>
      <c r="BD7" s="109">
        <v>0</v>
      </c>
      <c r="BE7" s="109">
        <v>0</v>
      </c>
      <c r="BF7" s="109">
        <v>1129.7</v>
      </c>
      <c r="BG7" s="109">
        <v>13370.36</v>
      </c>
      <c r="BH7" s="109">
        <v>6469.7</v>
      </c>
      <c r="BI7" s="109">
        <v>5173.93</v>
      </c>
      <c r="BJ7" s="109">
        <v>13719.66</v>
      </c>
      <c r="BK7" s="109">
        <v>380</v>
      </c>
      <c r="BL7" s="109">
        <v>0</v>
      </c>
      <c r="BM7" s="109">
        <v>1740.66</v>
      </c>
      <c r="BN7" s="109">
        <v>4236</v>
      </c>
      <c r="BO7" s="109">
        <v>36780.36</v>
      </c>
      <c r="BP7" s="109">
        <v>31740.7</v>
      </c>
      <c r="BQ7" s="109">
        <v>0</v>
      </c>
      <c r="BR7" s="109">
        <v>0</v>
      </c>
      <c r="BS7" s="109">
        <v>527</v>
      </c>
      <c r="BT7" s="109">
        <v>0</v>
      </c>
      <c r="BU7" s="109">
        <v>0</v>
      </c>
      <c r="BV7" s="109">
        <v>4835</v>
      </c>
      <c r="BW7" s="109">
        <v>0</v>
      </c>
      <c r="BX7" s="109">
        <v>527</v>
      </c>
      <c r="BY7" s="109">
        <v>1</v>
      </c>
      <c r="BZ7" s="109">
        <v>0</v>
      </c>
      <c r="CA7" s="658">
        <v>0</v>
      </c>
      <c r="CB7" s="659"/>
      <c r="CC7" s="109">
        <v>0</v>
      </c>
      <c r="CD7" s="109">
        <v>6540.55</v>
      </c>
      <c r="CE7" s="109">
        <v>8757</v>
      </c>
      <c r="CF7" s="109">
        <v>157525</v>
      </c>
      <c r="CG7" s="109">
        <v>0</v>
      </c>
      <c r="CH7" s="109">
        <v>0</v>
      </c>
      <c r="CI7" s="109">
        <v>0</v>
      </c>
      <c r="CJ7" s="110">
        <v>0</v>
      </c>
      <c r="CK7" s="111">
        <f t="shared" si="0"/>
        <v>166282</v>
      </c>
      <c r="CL7" s="111">
        <f t="shared" si="1"/>
        <v>0</v>
      </c>
    </row>
    <row r="8" spans="1:90" ht="26.4">
      <c r="A8" s="109">
        <v>302</v>
      </c>
      <c r="B8" s="109">
        <v>2002</v>
      </c>
      <c r="C8" s="109" t="s">
        <v>36</v>
      </c>
      <c r="D8" s="109" t="s">
        <v>594</v>
      </c>
      <c r="E8" s="109"/>
      <c r="F8" s="109" t="s">
        <v>588</v>
      </c>
      <c r="G8" s="109">
        <v>0</v>
      </c>
      <c r="H8" s="109">
        <v>0</v>
      </c>
      <c r="I8" s="109" t="s">
        <v>589</v>
      </c>
      <c r="J8" s="109" t="s">
        <v>590</v>
      </c>
      <c r="K8" s="109" t="s">
        <v>591</v>
      </c>
      <c r="L8" s="109" t="s">
        <v>592</v>
      </c>
      <c r="M8" s="109" t="s">
        <v>591</v>
      </c>
      <c r="N8" s="109" t="s">
        <v>593</v>
      </c>
      <c r="O8" s="109" t="s">
        <v>188</v>
      </c>
      <c r="P8" s="109" t="s">
        <v>188</v>
      </c>
      <c r="Q8" s="109">
        <v>236234</v>
      </c>
      <c r="R8" s="109">
        <v>0</v>
      </c>
      <c r="S8" s="109">
        <v>0</v>
      </c>
      <c r="T8" s="109">
        <v>2329203.09</v>
      </c>
      <c r="U8" s="109">
        <v>0</v>
      </c>
      <c r="V8" s="109">
        <v>85020.36</v>
      </c>
      <c r="W8" s="109">
        <v>0</v>
      </c>
      <c r="X8" s="109">
        <v>162725.03</v>
      </c>
      <c r="Y8" s="109">
        <v>1845</v>
      </c>
      <c r="Z8" s="109">
        <v>0</v>
      </c>
      <c r="AA8" s="109">
        <v>7953.5</v>
      </c>
      <c r="AB8" s="109">
        <v>15541.26</v>
      </c>
      <c r="AC8" s="109">
        <v>25000.45</v>
      </c>
      <c r="AD8" s="109">
        <v>22588.5</v>
      </c>
      <c r="AE8" s="109">
        <v>1000</v>
      </c>
      <c r="AF8" s="109">
        <v>7795.54</v>
      </c>
      <c r="AG8" s="109">
        <v>977.06</v>
      </c>
      <c r="AH8" s="109">
        <v>0</v>
      </c>
      <c r="AI8" s="109">
        <v>0</v>
      </c>
      <c r="AJ8" s="109">
        <v>0</v>
      </c>
      <c r="AK8" s="109">
        <v>0</v>
      </c>
      <c r="AL8" s="109">
        <v>0</v>
      </c>
      <c r="AM8" s="109">
        <v>20700.38</v>
      </c>
      <c r="AN8" s="109">
        <v>84772.04</v>
      </c>
      <c r="AO8" s="109">
        <v>1236138.18</v>
      </c>
      <c r="AP8" s="109">
        <v>0</v>
      </c>
      <c r="AQ8" s="109">
        <v>640141.16</v>
      </c>
      <c r="AR8" s="109">
        <v>56135.88</v>
      </c>
      <c r="AS8" s="109">
        <v>112581.17</v>
      </c>
      <c r="AT8" s="109">
        <v>0</v>
      </c>
      <c r="AU8" s="109">
        <v>62879.17</v>
      </c>
      <c r="AV8" s="109">
        <v>86435.01</v>
      </c>
      <c r="AW8" s="109">
        <v>7308.82</v>
      </c>
      <c r="AX8" s="109">
        <v>15765.83</v>
      </c>
      <c r="AY8" s="109">
        <v>0</v>
      </c>
      <c r="AZ8" s="109">
        <v>28607.37</v>
      </c>
      <c r="BA8" s="109">
        <v>0</v>
      </c>
      <c r="BB8" s="109">
        <v>51425.52</v>
      </c>
      <c r="BC8" s="109">
        <v>10339.120000000001</v>
      </c>
      <c r="BD8" s="109">
        <v>46917.88</v>
      </c>
      <c r="BE8" s="109">
        <v>30976</v>
      </c>
      <c r="BF8" s="109">
        <v>11018</v>
      </c>
      <c r="BG8" s="109">
        <v>47949.36</v>
      </c>
      <c r="BH8" s="109">
        <v>10060.969999999999</v>
      </c>
      <c r="BI8" s="109">
        <v>0</v>
      </c>
      <c r="BJ8" s="109">
        <v>20269</v>
      </c>
      <c r="BK8" s="109">
        <v>11984.05</v>
      </c>
      <c r="BL8" s="109">
        <v>13956.43</v>
      </c>
      <c r="BM8" s="109">
        <v>94365.32</v>
      </c>
      <c r="BN8" s="109">
        <v>63494.5</v>
      </c>
      <c r="BO8" s="109">
        <v>163903.51999999999</v>
      </c>
      <c r="BP8" s="109">
        <v>31492.2</v>
      </c>
      <c r="BQ8" s="109">
        <v>0</v>
      </c>
      <c r="BR8" s="109">
        <v>0</v>
      </c>
      <c r="BS8" s="109">
        <v>18757</v>
      </c>
      <c r="BT8" s="109">
        <v>0</v>
      </c>
      <c r="BU8" s="109">
        <v>0</v>
      </c>
      <c r="BV8" s="109">
        <v>9067</v>
      </c>
      <c r="BW8" s="109">
        <v>0</v>
      </c>
      <c r="BX8" s="109">
        <v>18757</v>
      </c>
      <c r="BY8" s="109">
        <v>1</v>
      </c>
      <c r="BZ8" s="109">
        <v>0</v>
      </c>
      <c r="CA8" s="658">
        <v>27824</v>
      </c>
      <c r="CB8" s="659"/>
      <c r="CC8" s="109">
        <v>0</v>
      </c>
      <c r="CD8" s="109">
        <v>0</v>
      </c>
      <c r="CE8" s="109">
        <v>23749</v>
      </c>
      <c r="CF8" s="109">
        <v>104706</v>
      </c>
      <c r="CG8" s="109">
        <v>0</v>
      </c>
      <c r="CH8" s="109">
        <v>0</v>
      </c>
      <c r="CI8" s="109">
        <v>0</v>
      </c>
      <c r="CJ8" s="110">
        <v>0</v>
      </c>
      <c r="CK8" s="111">
        <f t="shared" si="0"/>
        <v>128455</v>
      </c>
      <c r="CL8" s="111">
        <f t="shared" si="1"/>
        <v>0</v>
      </c>
    </row>
    <row r="9" spans="1:90" ht="26.4">
      <c r="A9" s="109">
        <v>302</v>
      </c>
      <c r="B9" s="109">
        <v>2003</v>
      </c>
      <c r="C9" s="109" t="s">
        <v>38</v>
      </c>
      <c r="D9" s="109" t="s">
        <v>594</v>
      </c>
      <c r="E9" s="109"/>
      <c r="F9" s="109" t="s">
        <v>588</v>
      </c>
      <c r="G9" s="109">
        <v>0</v>
      </c>
      <c r="H9" s="109">
        <v>1</v>
      </c>
      <c r="I9" s="109" t="s">
        <v>589</v>
      </c>
      <c r="J9" s="109" t="s">
        <v>590</v>
      </c>
      <c r="K9" s="109" t="s">
        <v>591</v>
      </c>
      <c r="L9" s="109" t="s">
        <v>592</v>
      </c>
      <c r="M9" s="109" t="s">
        <v>591</v>
      </c>
      <c r="N9" s="109" t="s">
        <v>593</v>
      </c>
      <c r="O9" s="109" t="s">
        <v>188</v>
      </c>
      <c r="P9" s="109" t="s">
        <v>188</v>
      </c>
      <c r="Q9" s="109">
        <v>-157555.82999999999</v>
      </c>
      <c r="R9" s="109">
        <v>81322.710000000006</v>
      </c>
      <c r="S9" s="109">
        <v>0</v>
      </c>
      <c r="T9" s="109">
        <v>1994058.6</v>
      </c>
      <c r="U9" s="109">
        <v>0</v>
      </c>
      <c r="V9" s="109">
        <v>120515.24</v>
      </c>
      <c r="W9" s="109">
        <v>0</v>
      </c>
      <c r="X9" s="109">
        <v>188545.96</v>
      </c>
      <c r="Y9" s="109">
        <v>46885.91</v>
      </c>
      <c r="Z9" s="109">
        <v>0</v>
      </c>
      <c r="AA9" s="109">
        <v>14572</v>
      </c>
      <c r="AB9" s="109">
        <v>33760.730000000003</v>
      </c>
      <c r="AC9" s="109">
        <v>19766</v>
      </c>
      <c r="AD9" s="109">
        <v>0</v>
      </c>
      <c r="AE9" s="109">
        <v>0</v>
      </c>
      <c r="AF9" s="109">
        <v>15431.5</v>
      </c>
      <c r="AG9" s="109">
        <v>753.86</v>
      </c>
      <c r="AH9" s="109">
        <v>0</v>
      </c>
      <c r="AI9" s="109">
        <v>164301</v>
      </c>
      <c r="AJ9" s="109">
        <v>0</v>
      </c>
      <c r="AK9" s="109">
        <v>0</v>
      </c>
      <c r="AL9" s="109">
        <v>9398.36</v>
      </c>
      <c r="AM9" s="109">
        <v>39490.93</v>
      </c>
      <c r="AN9" s="109">
        <v>51899</v>
      </c>
      <c r="AO9" s="109">
        <v>848747.31</v>
      </c>
      <c r="AP9" s="109">
        <v>0</v>
      </c>
      <c r="AQ9" s="109">
        <v>487757.04</v>
      </c>
      <c r="AR9" s="109">
        <v>104446.3</v>
      </c>
      <c r="AS9" s="109">
        <v>104412.7</v>
      </c>
      <c r="AT9" s="109">
        <v>0</v>
      </c>
      <c r="AU9" s="109">
        <v>67872.89</v>
      </c>
      <c r="AV9" s="109">
        <v>16945.54</v>
      </c>
      <c r="AW9" s="109">
        <v>16319.23</v>
      </c>
      <c r="AX9" s="109">
        <v>578.91999999999996</v>
      </c>
      <c r="AY9" s="109">
        <v>1446</v>
      </c>
      <c r="AZ9" s="109">
        <v>35930.57</v>
      </c>
      <c r="BA9" s="109">
        <v>1633.25</v>
      </c>
      <c r="BB9" s="109">
        <v>4641.37</v>
      </c>
      <c r="BC9" s="109">
        <v>11242.14</v>
      </c>
      <c r="BD9" s="109">
        <v>26831.51</v>
      </c>
      <c r="BE9" s="109">
        <v>19535.849999999999</v>
      </c>
      <c r="BF9" s="109">
        <v>5668.1</v>
      </c>
      <c r="BG9" s="109">
        <v>76684.070000000007</v>
      </c>
      <c r="BH9" s="109">
        <v>22392</v>
      </c>
      <c r="BI9" s="109">
        <v>0</v>
      </c>
      <c r="BJ9" s="109">
        <v>26095.88</v>
      </c>
      <c r="BK9" s="109">
        <v>9093.01</v>
      </c>
      <c r="BL9" s="109">
        <v>11249.68</v>
      </c>
      <c r="BM9" s="109">
        <v>102768</v>
      </c>
      <c r="BN9" s="109">
        <v>206888.7</v>
      </c>
      <c r="BO9" s="109">
        <v>142961</v>
      </c>
      <c r="BP9" s="109">
        <v>89911.72</v>
      </c>
      <c r="BQ9" s="109">
        <v>0</v>
      </c>
      <c r="BR9" s="109">
        <v>0</v>
      </c>
      <c r="BS9" s="109">
        <v>0</v>
      </c>
      <c r="BT9" s="109">
        <v>108556.31</v>
      </c>
      <c r="BU9" s="109">
        <v>19324.310000000001</v>
      </c>
      <c r="BV9" s="109">
        <v>8581</v>
      </c>
      <c r="BW9" s="109">
        <v>0</v>
      </c>
      <c r="BX9" s="109">
        <v>0</v>
      </c>
      <c r="BY9" s="109">
        <v>1</v>
      </c>
      <c r="BZ9" s="109">
        <v>0</v>
      </c>
      <c r="CA9" s="658">
        <v>0</v>
      </c>
      <c r="CB9" s="659"/>
      <c r="CC9" s="109">
        <v>0</v>
      </c>
      <c r="CD9" s="109">
        <v>0</v>
      </c>
      <c r="CE9" s="109">
        <v>0</v>
      </c>
      <c r="CF9" s="109">
        <v>-64531</v>
      </c>
      <c r="CG9" s="109">
        <v>8581</v>
      </c>
      <c r="CH9" s="109">
        <v>0</v>
      </c>
      <c r="CI9" s="109">
        <v>117743</v>
      </c>
      <c r="CJ9" s="110">
        <v>0</v>
      </c>
      <c r="CK9" s="111">
        <f t="shared" si="0"/>
        <v>53212</v>
      </c>
      <c r="CL9" s="111">
        <f t="shared" si="1"/>
        <v>8581</v>
      </c>
    </row>
    <row r="10" spans="1:90" ht="26.4">
      <c r="A10" s="109">
        <v>302</v>
      </c>
      <c r="B10" s="109">
        <v>2007</v>
      </c>
      <c r="C10" s="109" t="s">
        <v>42</v>
      </c>
      <c r="D10" s="109" t="s">
        <v>594</v>
      </c>
      <c r="E10" s="109"/>
      <c r="F10" s="109" t="s">
        <v>588</v>
      </c>
      <c r="G10" s="109">
        <v>0</v>
      </c>
      <c r="H10" s="109">
        <v>0</v>
      </c>
      <c r="I10" s="109" t="s">
        <v>589</v>
      </c>
      <c r="J10" s="109" t="s">
        <v>590</v>
      </c>
      <c r="K10" s="109" t="s">
        <v>591</v>
      </c>
      <c r="L10" s="109" t="s">
        <v>592</v>
      </c>
      <c r="M10" s="109" t="s">
        <v>591</v>
      </c>
      <c r="N10" s="109" t="s">
        <v>593</v>
      </c>
      <c r="O10" s="109" t="s">
        <v>188</v>
      </c>
      <c r="P10" s="109" t="s">
        <v>188</v>
      </c>
      <c r="Q10" s="109">
        <v>74015.42</v>
      </c>
      <c r="R10" s="109">
        <v>0</v>
      </c>
      <c r="S10" s="109">
        <v>-0.8</v>
      </c>
      <c r="T10" s="109">
        <v>1569294.74</v>
      </c>
      <c r="U10" s="109">
        <v>0</v>
      </c>
      <c r="V10" s="109">
        <v>127170.07</v>
      </c>
      <c r="W10" s="109">
        <v>0</v>
      </c>
      <c r="X10" s="109">
        <v>98679.99</v>
      </c>
      <c r="Y10" s="109">
        <v>15303</v>
      </c>
      <c r="Z10" s="109">
        <v>0</v>
      </c>
      <c r="AA10" s="109">
        <v>42840.19</v>
      </c>
      <c r="AB10" s="109">
        <v>14591.07</v>
      </c>
      <c r="AC10" s="109">
        <v>68813.350000000006</v>
      </c>
      <c r="AD10" s="109">
        <v>8400</v>
      </c>
      <c r="AE10" s="109">
        <v>835</v>
      </c>
      <c r="AF10" s="109">
        <v>54173.89</v>
      </c>
      <c r="AG10" s="109">
        <v>22675.68</v>
      </c>
      <c r="AH10" s="109">
        <v>0</v>
      </c>
      <c r="AI10" s="109">
        <v>0</v>
      </c>
      <c r="AJ10" s="109">
        <v>0</v>
      </c>
      <c r="AK10" s="109">
        <v>0</v>
      </c>
      <c r="AL10" s="109">
        <v>770</v>
      </c>
      <c r="AM10" s="109">
        <v>22920</v>
      </c>
      <c r="AN10" s="109">
        <v>22842.17</v>
      </c>
      <c r="AO10" s="109">
        <v>1008115.18</v>
      </c>
      <c r="AP10" s="109">
        <v>0</v>
      </c>
      <c r="AQ10" s="109">
        <v>299353.53000000003</v>
      </c>
      <c r="AR10" s="109">
        <v>48753.85</v>
      </c>
      <c r="AS10" s="109">
        <v>92809.71</v>
      </c>
      <c r="AT10" s="109">
        <v>0</v>
      </c>
      <c r="AU10" s="109">
        <v>34600.92</v>
      </c>
      <c r="AV10" s="109">
        <v>8823.0499999999993</v>
      </c>
      <c r="AW10" s="109">
        <v>4753.55</v>
      </c>
      <c r="AX10" s="109">
        <v>12512.27</v>
      </c>
      <c r="AY10" s="109">
        <v>0</v>
      </c>
      <c r="AZ10" s="109">
        <v>16682.03</v>
      </c>
      <c r="BA10" s="109">
        <v>3923.18</v>
      </c>
      <c r="BB10" s="109">
        <v>26912.35</v>
      </c>
      <c r="BC10" s="109">
        <v>7744.54</v>
      </c>
      <c r="BD10" s="109">
        <v>29024.7</v>
      </c>
      <c r="BE10" s="109">
        <v>20083</v>
      </c>
      <c r="BF10" s="109">
        <v>8790.07</v>
      </c>
      <c r="BG10" s="109">
        <v>67270.12</v>
      </c>
      <c r="BH10" s="109">
        <v>12067.13</v>
      </c>
      <c r="BI10" s="109">
        <v>0</v>
      </c>
      <c r="BJ10" s="109">
        <v>17578.939999999999</v>
      </c>
      <c r="BK10" s="109">
        <v>9996.4599999999991</v>
      </c>
      <c r="BL10" s="109">
        <v>6689.65</v>
      </c>
      <c r="BM10" s="109">
        <v>78082.429999999993</v>
      </c>
      <c r="BN10" s="109">
        <v>35200.86</v>
      </c>
      <c r="BO10" s="109">
        <v>192736.33</v>
      </c>
      <c r="BP10" s="109">
        <v>26077.31</v>
      </c>
      <c r="BQ10" s="109">
        <v>0</v>
      </c>
      <c r="BR10" s="109">
        <v>0</v>
      </c>
      <c r="BS10" s="109">
        <v>2110</v>
      </c>
      <c r="BT10" s="109">
        <v>0</v>
      </c>
      <c r="BU10" s="109">
        <v>0</v>
      </c>
      <c r="BV10" s="109">
        <v>8016.25</v>
      </c>
      <c r="BW10" s="109">
        <v>0</v>
      </c>
      <c r="BX10" s="109">
        <v>2110</v>
      </c>
      <c r="BY10" s="109">
        <v>1</v>
      </c>
      <c r="BZ10" s="109">
        <v>0</v>
      </c>
      <c r="CA10" s="658">
        <v>10126</v>
      </c>
      <c r="CB10" s="659"/>
      <c r="CC10" s="109">
        <v>0</v>
      </c>
      <c r="CD10" s="109">
        <v>0</v>
      </c>
      <c r="CE10" s="109">
        <v>1942</v>
      </c>
      <c r="CF10" s="109">
        <v>70691</v>
      </c>
      <c r="CG10" s="109">
        <v>0</v>
      </c>
      <c r="CH10" s="109">
        <v>0</v>
      </c>
      <c r="CI10" s="109">
        <v>0</v>
      </c>
      <c r="CJ10" s="110">
        <v>0</v>
      </c>
      <c r="CK10" s="111">
        <f t="shared" si="0"/>
        <v>72633</v>
      </c>
      <c r="CL10" s="111">
        <f t="shared" si="1"/>
        <v>0</v>
      </c>
    </row>
    <row r="11" spans="1:90" ht="26.4">
      <c r="A11" s="109">
        <v>302</v>
      </c>
      <c r="B11" s="109">
        <v>2008</v>
      </c>
      <c r="C11" s="109" t="s">
        <v>41</v>
      </c>
      <c r="D11" s="109" t="s">
        <v>594</v>
      </c>
      <c r="E11" s="109"/>
      <c r="F11" s="109" t="s">
        <v>588</v>
      </c>
      <c r="G11" s="109">
        <v>0</v>
      </c>
      <c r="H11" s="109">
        <v>0</v>
      </c>
      <c r="I11" s="109" t="s">
        <v>589</v>
      </c>
      <c r="J11" s="109" t="s">
        <v>590</v>
      </c>
      <c r="K11" s="109" t="s">
        <v>591</v>
      </c>
      <c r="L11" s="109" t="s">
        <v>592</v>
      </c>
      <c r="M11" s="109" t="s">
        <v>591</v>
      </c>
      <c r="N11" s="109" t="s">
        <v>593</v>
      </c>
      <c r="O11" s="109" t="s">
        <v>188</v>
      </c>
      <c r="P11" s="109" t="s">
        <v>188</v>
      </c>
      <c r="Q11" s="109">
        <v>91871.51</v>
      </c>
      <c r="R11" s="109">
        <v>0</v>
      </c>
      <c r="S11" s="109">
        <v>7471.75</v>
      </c>
      <c r="T11" s="109">
        <v>1485006.17</v>
      </c>
      <c r="U11" s="109">
        <v>0</v>
      </c>
      <c r="V11" s="109">
        <v>102804.79</v>
      </c>
      <c r="W11" s="109">
        <v>0</v>
      </c>
      <c r="X11" s="109">
        <v>62524.98</v>
      </c>
      <c r="Y11" s="109">
        <v>13991.5</v>
      </c>
      <c r="Z11" s="109">
        <v>0</v>
      </c>
      <c r="AA11" s="109">
        <v>32607.38</v>
      </c>
      <c r="AB11" s="109">
        <v>78247.75</v>
      </c>
      <c r="AC11" s="109">
        <v>8605.09</v>
      </c>
      <c r="AD11" s="109">
        <v>19296</v>
      </c>
      <c r="AE11" s="109">
        <v>0</v>
      </c>
      <c r="AF11" s="109">
        <v>13500</v>
      </c>
      <c r="AG11" s="109">
        <v>19319.11</v>
      </c>
      <c r="AH11" s="109">
        <v>0</v>
      </c>
      <c r="AI11" s="109">
        <v>0</v>
      </c>
      <c r="AJ11" s="109">
        <v>0</v>
      </c>
      <c r="AK11" s="109">
        <v>0</v>
      </c>
      <c r="AL11" s="109">
        <v>11975</v>
      </c>
      <c r="AM11" s="109">
        <v>14466.88</v>
      </c>
      <c r="AN11" s="109">
        <v>119584.33</v>
      </c>
      <c r="AO11" s="109">
        <v>895727.73</v>
      </c>
      <c r="AP11" s="109">
        <v>0</v>
      </c>
      <c r="AQ11" s="109">
        <v>494600</v>
      </c>
      <c r="AR11" s="109">
        <v>44553.71</v>
      </c>
      <c r="AS11" s="109">
        <v>74426.39</v>
      </c>
      <c r="AT11" s="109">
        <v>0</v>
      </c>
      <c r="AU11" s="109">
        <v>26891.55</v>
      </c>
      <c r="AV11" s="109">
        <v>8522.2800000000007</v>
      </c>
      <c r="AW11" s="109">
        <v>4012.5</v>
      </c>
      <c r="AX11" s="109">
        <v>20255.080000000002</v>
      </c>
      <c r="AY11" s="109">
        <v>0</v>
      </c>
      <c r="AZ11" s="109">
        <v>11496.48</v>
      </c>
      <c r="BA11" s="109">
        <v>4400.17</v>
      </c>
      <c r="BB11" s="109">
        <v>19074.88</v>
      </c>
      <c r="BC11" s="109">
        <v>5521.74</v>
      </c>
      <c r="BD11" s="109">
        <v>17145.740000000002</v>
      </c>
      <c r="BE11" s="109">
        <v>20083</v>
      </c>
      <c r="BF11" s="109">
        <v>8525.2199999999993</v>
      </c>
      <c r="BG11" s="109">
        <v>43107.96</v>
      </c>
      <c r="BH11" s="109">
        <v>12681.03</v>
      </c>
      <c r="BI11" s="109">
        <v>0</v>
      </c>
      <c r="BJ11" s="109">
        <v>10196.209999999999</v>
      </c>
      <c r="BK11" s="109">
        <v>8314.0300000000007</v>
      </c>
      <c r="BL11" s="109">
        <v>10415.31</v>
      </c>
      <c r="BM11" s="109">
        <v>87102.080000000002</v>
      </c>
      <c r="BN11" s="109">
        <v>26069.5</v>
      </c>
      <c r="BO11" s="109">
        <v>95074.45</v>
      </c>
      <c r="BP11" s="109">
        <v>27541.41</v>
      </c>
      <c r="BQ11" s="109">
        <v>200</v>
      </c>
      <c r="BR11" s="109">
        <v>0</v>
      </c>
      <c r="BS11" s="109">
        <v>7858</v>
      </c>
      <c r="BT11" s="109">
        <v>0</v>
      </c>
      <c r="BU11" s="109">
        <v>0</v>
      </c>
      <c r="BV11" s="109">
        <v>7422</v>
      </c>
      <c r="BW11" s="109">
        <v>0</v>
      </c>
      <c r="BX11" s="109">
        <v>7858</v>
      </c>
      <c r="BY11" s="109">
        <v>1</v>
      </c>
      <c r="BZ11" s="109">
        <v>0</v>
      </c>
      <c r="CA11" s="658">
        <v>0</v>
      </c>
      <c r="CB11" s="659"/>
      <c r="CC11" s="109">
        <v>0</v>
      </c>
      <c r="CD11" s="109">
        <v>22752</v>
      </c>
      <c r="CE11" s="109">
        <v>0</v>
      </c>
      <c r="CF11" s="109">
        <v>90004</v>
      </c>
      <c r="CG11" s="109">
        <v>0</v>
      </c>
      <c r="CH11" s="109">
        <v>0</v>
      </c>
      <c r="CI11" s="109">
        <v>0</v>
      </c>
      <c r="CJ11" s="110">
        <v>0</v>
      </c>
      <c r="CK11" s="111">
        <f t="shared" si="0"/>
        <v>90004</v>
      </c>
      <c r="CL11" s="111">
        <f t="shared" si="1"/>
        <v>0</v>
      </c>
    </row>
    <row r="12" spans="1:90" ht="26.4">
      <c r="A12" s="109">
        <v>302</v>
      </c>
      <c r="B12" s="109">
        <v>2009</v>
      </c>
      <c r="C12" s="109" t="s">
        <v>43</v>
      </c>
      <c r="D12" s="109" t="s">
        <v>594</v>
      </c>
      <c r="E12" s="109"/>
      <c r="F12" s="109" t="s">
        <v>588</v>
      </c>
      <c r="G12" s="109">
        <v>0</v>
      </c>
      <c r="H12" s="109">
        <v>0</v>
      </c>
      <c r="I12" s="109" t="s">
        <v>589</v>
      </c>
      <c r="J12" s="109" t="s">
        <v>590</v>
      </c>
      <c r="K12" s="109" t="s">
        <v>591</v>
      </c>
      <c r="L12" s="109" t="s">
        <v>592</v>
      </c>
      <c r="M12" s="109" t="s">
        <v>591</v>
      </c>
      <c r="N12" s="109" t="s">
        <v>593</v>
      </c>
      <c r="O12" s="109" t="s">
        <v>188</v>
      </c>
      <c r="P12" s="109" t="s">
        <v>188</v>
      </c>
      <c r="Q12" s="109">
        <v>86705.17</v>
      </c>
      <c r="R12" s="109">
        <v>0</v>
      </c>
      <c r="S12" s="109">
        <v>39116.379999999997</v>
      </c>
      <c r="T12" s="109">
        <v>2228919.67</v>
      </c>
      <c r="U12" s="109">
        <v>0</v>
      </c>
      <c r="V12" s="109">
        <v>113343.72</v>
      </c>
      <c r="W12" s="109">
        <v>0</v>
      </c>
      <c r="X12" s="109">
        <v>114979.95</v>
      </c>
      <c r="Y12" s="109">
        <v>15799.8</v>
      </c>
      <c r="Z12" s="109">
        <v>0</v>
      </c>
      <c r="AA12" s="109">
        <v>6634.67</v>
      </c>
      <c r="AB12" s="109">
        <v>149367.53</v>
      </c>
      <c r="AC12" s="109">
        <v>27059.66</v>
      </c>
      <c r="AD12" s="109">
        <v>0</v>
      </c>
      <c r="AE12" s="109">
        <v>0</v>
      </c>
      <c r="AF12" s="109">
        <v>10920.64</v>
      </c>
      <c r="AG12" s="109">
        <v>8869.35</v>
      </c>
      <c r="AH12" s="109">
        <v>0</v>
      </c>
      <c r="AI12" s="109">
        <v>0</v>
      </c>
      <c r="AJ12" s="109">
        <v>0</v>
      </c>
      <c r="AK12" s="109">
        <v>0</v>
      </c>
      <c r="AL12" s="109">
        <v>5963.65</v>
      </c>
      <c r="AM12" s="109">
        <v>20040</v>
      </c>
      <c r="AN12" s="109">
        <v>70380</v>
      </c>
      <c r="AO12" s="109">
        <v>1348183.9</v>
      </c>
      <c r="AP12" s="109">
        <v>0</v>
      </c>
      <c r="AQ12" s="109">
        <v>561104</v>
      </c>
      <c r="AR12" s="109">
        <v>38641.01</v>
      </c>
      <c r="AS12" s="109">
        <v>81835.27</v>
      </c>
      <c r="AT12" s="109">
        <v>0</v>
      </c>
      <c r="AU12" s="109">
        <v>100213.72</v>
      </c>
      <c r="AV12" s="109">
        <v>10224.959999999999</v>
      </c>
      <c r="AW12" s="109">
        <v>16359.48</v>
      </c>
      <c r="AX12" s="109">
        <v>687.16</v>
      </c>
      <c r="AY12" s="109">
        <v>0</v>
      </c>
      <c r="AZ12" s="109">
        <v>18052.91</v>
      </c>
      <c r="BA12" s="109">
        <v>6002.55</v>
      </c>
      <c r="BB12" s="109">
        <v>41584.49</v>
      </c>
      <c r="BC12" s="109">
        <v>6441.19</v>
      </c>
      <c r="BD12" s="109">
        <v>32657.27</v>
      </c>
      <c r="BE12" s="109">
        <v>39900</v>
      </c>
      <c r="BF12" s="109">
        <v>13965.86</v>
      </c>
      <c r="BG12" s="109">
        <v>65305.21</v>
      </c>
      <c r="BH12" s="109">
        <v>7079.64</v>
      </c>
      <c r="BI12" s="109">
        <v>0</v>
      </c>
      <c r="BJ12" s="109">
        <v>19219.990000000002</v>
      </c>
      <c r="BK12" s="109">
        <v>14718.53</v>
      </c>
      <c r="BL12" s="109">
        <v>40268.74</v>
      </c>
      <c r="BM12" s="109">
        <v>96663.58</v>
      </c>
      <c r="BN12" s="109">
        <v>29892.5</v>
      </c>
      <c r="BO12" s="109">
        <v>83416.11</v>
      </c>
      <c r="BP12" s="109">
        <v>32789.97</v>
      </c>
      <c r="BQ12" s="109">
        <v>0</v>
      </c>
      <c r="BR12" s="109">
        <v>0</v>
      </c>
      <c r="BS12" s="109">
        <v>0</v>
      </c>
      <c r="BT12" s="109">
        <v>0</v>
      </c>
      <c r="BU12" s="109">
        <v>0</v>
      </c>
      <c r="BV12" s="109">
        <v>9077</v>
      </c>
      <c r="BW12" s="109">
        <v>0</v>
      </c>
      <c r="BX12" s="109">
        <v>0</v>
      </c>
      <c r="BY12" s="109">
        <v>1</v>
      </c>
      <c r="BZ12" s="109">
        <v>0</v>
      </c>
      <c r="CA12" s="658">
        <v>32716.639999999999</v>
      </c>
      <c r="CB12" s="659"/>
      <c r="CC12" s="109">
        <v>11444</v>
      </c>
      <c r="CD12" s="109">
        <v>133</v>
      </c>
      <c r="CE12" s="109">
        <v>0</v>
      </c>
      <c r="CF12" s="109">
        <v>153776</v>
      </c>
      <c r="CG12" s="109">
        <v>0</v>
      </c>
      <c r="CH12" s="109">
        <v>3900</v>
      </c>
      <c r="CI12" s="109">
        <v>0</v>
      </c>
      <c r="CJ12" s="110">
        <v>0</v>
      </c>
      <c r="CK12" s="111">
        <f t="shared" si="0"/>
        <v>153776</v>
      </c>
      <c r="CL12" s="111">
        <f t="shared" si="1"/>
        <v>3900</v>
      </c>
    </row>
    <row r="13" spans="1:90" ht="26.4">
      <c r="A13" s="109">
        <v>302</v>
      </c>
      <c r="B13" s="109">
        <v>2011</v>
      </c>
      <c r="C13" s="109" t="s">
        <v>47</v>
      </c>
      <c r="D13" s="109" t="s">
        <v>594</v>
      </c>
      <c r="E13" s="109"/>
      <c r="F13" s="109" t="s">
        <v>588</v>
      </c>
      <c r="G13" s="109">
        <v>0</v>
      </c>
      <c r="H13" s="109">
        <v>2</v>
      </c>
      <c r="I13" s="109" t="s">
        <v>589</v>
      </c>
      <c r="J13" s="109" t="s">
        <v>590</v>
      </c>
      <c r="K13" s="109" t="s">
        <v>591</v>
      </c>
      <c r="L13" s="109" t="s">
        <v>592</v>
      </c>
      <c r="M13" s="109" t="s">
        <v>591</v>
      </c>
      <c r="N13" s="109" t="s">
        <v>593</v>
      </c>
      <c r="O13" s="109" t="s">
        <v>188</v>
      </c>
      <c r="P13" s="109" t="s">
        <v>188</v>
      </c>
      <c r="Q13" s="109">
        <v>-130596.25</v>
      </c>
      <c r="R13" s="109">
        <v>0</v>
      </c>
      <c r="S13" s="109">
        <v>6989</v>
      </c>
      <c r="T13" s="109">
        <v>1004452.16</v>
      </c>
      <c r="U13" s="109">
        <v>0</v>
      </c>
      <c r="V13" s="109">
        <v>13904.91</v>
      </c>
      <c r="W13" s="109">
        <v>0</v>
      </c>
      <c r="X13" s="109">
        <v>49074.96</v>
      </c>
      <c r="Y13" s="109">
        <v>0</v>
      </c>
      <c r="Z13" s="109">
        <v>0</v>
      </c>
      <c r="AA13" s="109">
        <v>10417.299999999999</v>
      </c>
      <c r="AB13" s="109">
        <v>69465.5</v>
      </c>
      <c r="AC13" s="109">
        <v>23629.06</v>
      </c>
      <c r="AD13" s="109">
        <v>0</v>
      </c>
      <c r="AE13" s="109">
        <v>0</v>
      </c>
      <c r="AF13" s="109">
        <v>7161.82</v>
      </c>
      <c r="AG13" s="109">
        <v>3604.82</v>
      </c>
      <c r="AH13" s="109">
        <v>0</v>
      </c>
      <c r="AI13" s="109">
        <v>0</v>
      </c>
      <c r="AJ13" s="109">
        <v>0</v>
      </c>
      <c r="AK13" s="109">
        <v>0</v>
      </c>
      <c r="AL13" s="109">
        <v>0</v>
      </c>
      <c r="AM13" s="109">
        <v>11978.12</v>
      </c>
      <c r="AN13" s="109">
        <v>48771.83</v>
      </c>
      <c r="AO13" s="109">
        <v>599439.62</v>
      </c>
      <c r="AP13" s="109">
        <v>0</v>
      </c>
      <c r="AQ13" s="109">
        <v>235290.27</v>
      </c>
      <c r="AR13" s="109">
        <v>39811.74</v>
      </c>
      <c r="AS13" s="109">
        <v>54890.87</v>
      </c>
      <c r="AT13" s="109">
        <v>0</v>
      </c>
      <c r="AU13" s="109">
        <v>52179.78</v>
      </c>
      <c r="AV13" s="109">
        <v>6959.63</v>
      </c>
      <c r="AW13" s="109">
        <v>1809.84</v>
      </c>
      <c r="AX13" s="109">
        <v>342.76</v>
      </c>
      <c r="AY13" s="109">
        <v>0</v>
      </c>
      <c r="AZ13" s="109">
        <v>10316.15</v>
      </c>
      <c r="BA13" s="109">
        <v>4666.25</v>
      </c>
      <c r="BB13" s="109">
        <v>16851.75</v>
      </c>
      <c r="BC13" s="109">
        <v>1242.1500000000001</v>
      </c>
      <c r="BD13" s="109">
        <v>25253.119999999999</v>
      </c>
      <c r="BE13" s="109">
        <v>20958</v>
      </c>
      <c r="BF13" s="109">
        <v>7014.35</v>
      </c>
      <c r="BG13" s="109">
        <v>38933.15</v>
      </c>
      <c r="BH13" s="109">
        <v>6529.94</v>
      </c>
      <c r="BI13" s="109">
        <v>0</v>
      </c>
      <c r="BJ13" s="109">
        <v>8132.63</v>
      </c>
      <c r="BK13" s="109">
        <v>8620.83</v>
      </c>
      <c r="BL13" s="109">
        <v>7177.58</v>
      </c>
      <c r="BM13" s="109">
        <v>64173.1</v>
      </c>
      <c r="BN13" s="109">
        <v>357.5</v>
      </c>
      <c r="BO13" s="109">
        <v>43065.19</v>
      </c>
      <c r="BP13" s="109">
        <v>21845.63</v>
      </c>
      <c r="BQ13" s="109">
        <v>11798.5</v>
      </c>
      <c r="BR13" s="109">
        <v>0</v>
      </c>
      <c r="BS13" s="109">
        <v>0</v>
      </c>
      <c r="BT13" s="109">
        <v>0</v>
      </c>
      <c r="BU13" s="109">
        <v>0</v>
      </c>
      <c r="BV13" s="109">
        <v>6373.75</v>
      </c>
      <c r="BW13" s="109">
        <v>0</v>
      </c>
      <c r="BX13" s="109">
        <v>0</v>
      </c>
      <c r="BY13" s="109">
        <v>1</v>
      </c>
      <c r="BZ13" s="109">
        <v>0</v>
      </c>
      <c r="CA13" s="658">
        <v>5762.5</v>
      </c>
      <c r="CB13" s="659"/>
      <c r="CC13" s="109">
        <v>0</v>
      </c>
      <c r="CD13" s="109">
        <v>-7011.19</v>
      </c>
      <c r="CE13" s="109">
        <v>0</v>
      </c>
      <c r="CF13" s="109">
        <v>-175796</v>
      </c>
      <c r="CG13" s="109">
        <v>0</v>
      </c>
      <c r="CH13" s="109">
        <v>14611</v>
      </c>
      <c r="CI13" s="109">
        <v>0</v>
      </c>
      <c r="CJ13" s="110">
        <v>0</v>
      </c>
      <c r="CK13" s="111">
        <f t="shared" si="0"/>
        <v>-175796</v>
      </c>
      <c r="CL13" s="111">
        <f t="shared" si="1"/>
        <v>14611</v>
      </c>
    </row>
    <row r="14" spans="1:90" ht="26.4">
      <c r="A14" s="109">
        <v>302</v>
      </c>
      <c r="B14" s="109">
        <v>2014</v>
      </c>
      <c r="C14" s="109" t="s">
        <v>49</v>
      </c>
      <c r="D14" s="109" t="s">
        <v>594</v>
      </c>
      <c r="E14" s="109"/>
      <c r="F14" s="109" t="s">
        <v>588</v>
      </c>
      <c r="G14" s="109">
        <v>0</v>
      </c>
      <c r="H14" s="109">
        <v>0</v>
      </c>
      <c r="I14" s="109" t="s">
        <v>589</v>
      </c>
      <c r="J14" s="109" t="s">
        <v>590</v>
      </c>
      <c r="K14" s="109" t="s">
        <v>591</v>
      </c>
      <c r="L14" s="109" t="s">
        <v>592</v>
      </c>
      <c r="M14" s="109" t="s">
        <v>591</v>
      </c>
      <c r="N14" s="109" t="s">
        <v>593</v>
      </c>
      <c r="O14" s="109" t="s">
        <v>188</v>
      </c>
      <c r="P14" s="109" t="s">
        <v>188</v>
      </c>
      <c r="Q14" s="109">
        <v>398585.3</v>
      </c>
      <c r="R14" s="109">
        <v>0</v>
      </c>
      <c r="S14" s="109">
        <v>0</v>
      </c>
      <c r="T14" s="109">
        <v>3398279.37</v>
      </c>
      <c r="U14" s="109">
        <v>0</v>
      </c>
      <c r="V14" s="109">
        <v>252547.7</v>
      </c>
      <c r="W14" s="109">
        <v>0</v>
      </c>
      <c r="X14" s="109">
        <v>280760.07</v>
      </c>
      <c r="Y14" s="109">
        <v>0</v>
      </c>
      <c r="Z14" s="109">
        <v>10735.15</v>
      </c>
      <c r="AA14" s="109">
        <v>56660.32</v>
      </c>
      <c r="AB14" s="109">
        <v>120929.02</v>
      </c>
      <c r="AC14" s="109">
        <v>38523.32</v>
      </c>
      <c r="AD14" s="109">
        <v>0</v>
      </c>
      <c r="AE14" s="109">
        <v>0</v>
      </c>
      <c r="AF14" s="109">
        <v>22197.91</v>
      </c>
      <c r="AG14" s="109">
        <v>2721.34</v>
      </c>
      <c r="AH14" s="109">
        <v>0</v>
      </c>
      <c r="AI14" s="109">
        <v>0</v>
      </c>
      <c r="AJ14" s="109">
        <v>0</v>
      </c>
      <c r="AK14" s="109">
        <v>0</v>
      </c>
      <c r="AL14" s="109">
        <v>1200</v>
      </c>
      <c r="AM14" s="109">
        <v>50791</v>
      </c>
      <c r="AN14" s="109">
        <v>98350.17</v>
      </c>
      <c r="AO14" s="109">
        <v>1926783.73</v>
      </c>
      <c r="AP14" s="109">
        <v>0</v>
      </c>
      <c r="AQ14" s="109">
        <v>949007.34</v>
      </c>
      <c r="AR14" s="109">
        <v>125121.41</v>
      </c>
      <c r="AS14" s="109">
        <v>158500.31</v>
      </c>
      <c r="AT14" s="109">
        <v>0</v>
      </c>
      <c r="AU14" s="109">
        <v>75347.09</v>
      </c>
      <c r="AV14" s="109">
        <v>22155.759999999998</v>
      </c>
      <c r="AW14" s="109">
        <v>10858.02</v>
      </c>
      <c r="AX14" s="109">
        <v>1029.92</v>
      </c>
      <c r="AY14" s="109">
        <v>1913</v>
      </c>
      <c r="AZ14" s="109">
        <v>115184.1</v>
      </c>
      <c r="BA14" s="109">
        <v>1512.8</v>
      </c>
      <c r="BB14" s="109">
        <v>35871.410000000003</v>
      </c>
      <c r="BC14" s="109">
        <v>11894.77</v>
      </c>
      <c r="BD14" s="109">
        <v>58950.67</v>
      </c>
      <c r="BE14" s="109">
        <v>110124</v>
      </c>
      <c r="BF14" s="109">
        <v>20015.89</v>
      </c>
      <c r="BG14" s="109">
        <v>90884.89</v>
      </c>
      <c r="BH14" s="109">
        <v>30332.74</v>
      </c>
      <c r="BI14" s="109">
        <v>0</v>
      </c>
      <c r="BJ14" s="109">
        <v>56439.47</v>
      </c>
      <c r="BK14" s="109">
        <v>18314.16</v>
      </c>
      <c r="BL14" s="109">
        <v>14024.19</v>
      </c>
      <c r="BM14" s="109">
        <v>164113.45000000001</v>
      </c>
      <c r="BN14" s="109">
        <v>61831</v>
      </c>
      <c r="BO14" s="109">
        <v>236133.4</v>
      </c>
      <c r="BP14" s="109">
        <v>76981.929999999993</v>
      </c>
      <c r="BQ14" s="109">
        <v>0</v>
      </c>
      <c r="BR14" s="109">
        <v>0</v>
      </c>
      <c r="BS14" s="109">
        <v>12947</v>
      </c>
      <c r="BT14" s="109">
        <v>0</v>
      </c>
      <c r="BU14" s="109">
        <v>0</v>
      </c>
      <c r="BV14" s="109">
        <v>34938</v>
      </c>
      <c r="BW14" s="109">
        <v>2742</v>
      </c>
      <c r="BX14" s="109">
        <v>12947</v>
      </c>
      <c r="BY14" s="109">
        <v>1</v>
      </c>
      <c r="BZ14" s="109">
        <v>0</v>
      </c>
      <c r="CA14" s="658">
        <v>16253.55</v>
      </c>
      <c r="CB14" s="659"/>
      <c r="CC14" s="109">
        <v>0</v>
      </c>
      <c r="CD14" s="109">
        <v>0</v>
      </c>
      <c r="CE14" s="109">
        <v>0</v>
      </c>
      <c r="CF14" s="109">
        <v>346008</v>
      </c>
      <c r="CG14" s="109">
        <v>34373</v>
      </c>
      <c r="CH14" s="109">
        <v>0</v>
      </c>
      <c r="CI14" s="109">
        <v>0</v>
      </c>
      <c r="CJ14" s="110">
        <v>0</v>
      </c>
      <c r="CK14" s="111">
        <f t="shared" si="0"/>
        <v>346008</v>
      </c>
      <c r="CL14" s="111">
        <f t="shared" si="1"/>
        <v>34373</v>
      </c>
    </row>
    <row r="15" spans="1:90" ht="26.4">
      <c r="A15" s="109">
        <v>302</v>
      </c>
      <c r="B15" s="109">
        <v>2015</v>
      </c>
      <c r="C15" s="109" t="s">
        <v>50</v>
      </c>
      <c r="D15" s="109" t="s">
        <v>594</v>
      </c>
      <c r="E15" s="109"/>
      <c r="F15" s="109" t="s">
        <v>588</v>
      </c>
      <c r="G15" s="109">
        <v>0</v>
      </c>
      <c r="H15" s="109">
        <v>1</v>
      </c>
      <c r="I15" s="109" t="s">
        <v>589</v>
      </c>
      <c r="J15" s="109" t="s">
        <v>590</v>
      </c>
      <c r="K15" s="109" t="s">
        <v>591</v>
      </c>
      <c r="L15" s="109" t="s">
        <v>592</v>
      </c>
      <c r="M15" s="109" t="s">
        <v>591</v>
      </c>
      <c r="N15" s="109" t="s">
        <v>593</v>
      </c>
      <c r="O15" s="109" t="s">
        <v>188</v>
      </c>
      <c r="P15" s="109" t="s">
        <v>188</v>
      </c>
      <c r="Q15" s="109">
        <v>387369.8</v>
      </c>
      <c r="R15" s="109">
        <v>126692.68</v>
      </c>
      <c r="S15" s="109">
        <v>11221</v>
      </c>
      <c r="T15" s="109">
        <v>1405782.64</v>
      </c>
      <c r="U15" s="109">
        <v>0</v>
      </c>
      <c r="V15" s="109">
        <v>312905.7</v>
      </c>
      <c r="W15" s="109">
        <v>0</v>
      </c>
      <c r="X15" s="109">
        <v>100530.06</v>
      </c>
      <c r="Y15" s="109">
        <v>0</v>
      </c>
      <c r="Z15" s="109">
        <v>974</v>
      </c>
      <c r="AA15" s="109">
        <v>24590.880000000001</v>
      </c>
      <c r="AB15" s="109">
        <v>7536.4</v>
      </c>
      <c r="AC15" s="109">
        <v>16942.07</v>
      </c>
      <c r="AD15" s="109">
        <v>3872</v>
      </c>
      <c r="AE15" s="109">
        <v>6072</v>
      </c>
      <c r="AF15" s="109">
        <v>17300.98</v>
      </c>
      <c r="AG15" s="109">
        <v>6811.3</v>
      </c>
      <c r="AH15" s="109">
        <v>0</v>
      </c>
      <c r="AI15" s="109">
        <v>197079</v>
      </c>
      <c r="AJ15" s="109">
        <v>-12805.47</v>
      </c>
      <c r="AK15" s="109">
        <v>0</v>
      </c>
      <c r="AL15" s="109">
        <v>0</v>
      </c>
      <c r="AM15" s="109">
        <v>0</v>
      </c>
      <c r="AN15" s="109">
        <v>61873.95</v>
      </c>
      <c r="AO15" s="109">
        <v>792840.78</v>
      </c>
      <c r="AP15" s="109">
        <v>0</v>
      </c>
      <c r="AQ15" s="109">
        <v>494228.47999999998</v>
      </c>
      <c r="AR15" s="109">
        <v>35673.120000000003</v>
      </c>
      <c r="AS15" s="109">
        <v>99349.71</v>
      </c>
      <c r="AT15" s="109">
        <v>36270.53</v>
      </c>
      <c r="AU15" s="109">
        <v>8915.1299999999992</v>
      </c>
      <c r="AV15" s="109">
        <v>35812.35</v>
      </c>
      <c r="AW15" s="109">
        <v>10159.459999999999</v>
      </c>
      <c r="AX15" s="109">
        <v>10768.25</v>
      </c>
      <c r="AY15" s="109">
        <v>0</v>
      </c>
      <c r="AZ15" s="109">
        <v>34697.5</v>
      </c>
      <c r="BA15" s="109">
        <v>7105.08</v>
      </c>
      <c r="BB15" s="109">
        <v>27541.759999999998</v>
      </c>
      <c r="BC15" s="109">
        <v>4687.7</v>
      </c>
      <c r="BD15" s="109">
        <v>18315.400000000001</v>
      </c>
      <c r="BE15" s="109">
        <v>38570</v>
      </c>
      <c r="BF15" s="109">
        <v>8817.2800000000007</v>
      </c>
      <c r="BG15" s="109">
        <v>94758.46</v>
      </c>
      <c r="BH15" s="109">
        <v>27453</v>
      </c>
      <c r="BI15" s="109">
        <v>0</v>
      </c>
      <c r="BJ15" s="109">
        <v>19548.7</v>
      </c>
      <c r="BK15" s="109">
        <v>6593.7</v>
      </c>
      <c r="BL15" s="109">
        <v>754.49</v>
      </c>
      <c r="BM15" s="109">
        <v>50972.76</v>
      </c>
      <c r="BN15" s="109">
        <v>103084.5</v>
      </c>
      <c r="BO15" s="109">
        <v>114045.43</v>
      </c>
      <c r="BP15" s="109">
        <v>31213.67</v>
      </c>
      <c r="BQ15" s="109">
        <v>8438</v>
      </c>
      <c r="BR15" s="109">
        <v>0</v>
      </c>
      <c r="BS15" s="109">
        <v>0</v>
      </c>
      <c r="BT15" s="109">
        <v>104757.58</v>
      </c>
      <c r="BU15" s="109">
        <v>50013.55</v>
      </c>
      <c r="BV15" s="109">
        <v>6740.5</v>
      </c>
      <c r="BW15" s="109">
        <v>0</v>
      </c>
      <c r="BX15" s="109">
        <v>0</v>
      </c>
      <c r="BY15" s="109">
        <v>1</v>
      </c>
      <c r="BZ15" s="109">
        <v>0</v>
      </c>
      <c r="CA15" s="658">
        <v>0</v>
      </c>
      <c r="CB15" s="659"/>
      <c r="CC15" s="109">
        <v>0</v>
      </c>
      <c r="CD15" s="109">
        <v>0</v>
      </c>
      <c r="CE15" s="109">
        <v>13094</v>
      </c>
      <c r="CF15" s="109">
        <v>218853</v>
      </c>
      <c r="CG15" s="109">
        <v>17962</v>
      </c>
      <c r="CH15" s="109">
        <v>0</v>
      </c>
      <c r="CI15" s="109">
        <v>156195</v>
      </c>
      <c r="CJ15" s="110">
        <v>0</v>
      </c>
      <c r="CK15" s="111">
        <f t="shared" si="0"/>
        <v>388142</v>
      </c>
      <c r="CL15" s="111">
        <f t="shared" si="1"/>
        <v>17962</v>
      </c>
    </row>
    <row r="16" spans="1:90" ht="26.4">
      <c r="A16" s="109">
        <v>302</v>
      </c>
      <c r="B16" s="109">
        <v>2016</v>
      </c>
      <c r="C16" s="109" t="s">
        <v>52</v>
      </c>
      <c r="D16" s="109" t="s">
        <v>594</v>
      </c>
      <c r="E16" s="109"/>
      <c r="F16" s="109" t="s">
        <v>588</v>
      </c>
      <c r="G16" s="109">
        <v>0</v>
      </c>
      <c r="H16" s="109">
        <v>0</v>
      </c>
      <c r="I16" s="109" t="s">
        <v>589</v>
      </c>
      <c r="J16" s="109" t="s">
        <v>590</v>
      </c>
      <c r="K16" s="109" t="s">
        <v>591</v>
      </c>
      <c r="L16" s="109" t="s">
        <v>592</v>
      </c>
      <c r="M16" s="109" t="s">
        <v>591</v>
      </c>
      <c r="N16" s="109" t="s">
        <v>593</v>
      </c>
      <c r="O16" s="109" t="s">
        <v>188</v>
      </c>
      <c r="P16" s="109" t="s">
        <v>188</v>
      </c>
      <c r="Q16" s="109">
        <v>112398.44</v>
      </c>
      <c r="R16" s="109">
        <v>0</v>
      </c>
      <c r="S16" s="109">
        <v>10343.34</v>
      </c>
      <c r="T16" s="109">
        <v>1003027</v>
      </c>
      <c r="U16" s="109">
        <v>0</v>
      </c>
      <c r="V16" s="109">
        <v>54181</v>
      </c>
      <c r="W16" s="109">
        <v>0</v>
      </c>
      <c r="X16" s="109">
        <v>33869</v>
      </c>
      <c r="Y16" s="109">
        <v>7500</v>
      </c>
      <c r="Z16" s="109">
        <v>223</v>
      </c>
      <c r="AA16" s="109">
        <v>1090</v>
      </c>
      <c r="AB16" s="109">
        <v>1696.3</v>
      </c>
      <c r="AC16" s="109">
        <v>10481.4</v>
      </c>
      <c r="AD16" s="109">
        <v>0</v>
      </c>
      <c r="AE16" s="109">
        <v>0</v>
      </c>
      <c r="AF16" s="109">
        <v>20852.05</v>
      </c>
      <c r="AG16" s="109">
        <v>13500.73</v>
      </c>
      <c r="AH16" s="109">
        <v>0</v>
      </c>
      <c r="AI16" s="109">
        <v>0</v>
      </c>
      <c r="AJ16" s="109">
        <v>0</v>
      </c>
      <c r="AK16" s="109">
        <v>0</v>
      </c>
      <c r="AL16" s="109">
        <v>0</v>
      </c>
      <c r="AM16" s="109">
        <v>19178.52</v>
      </c>
      <c r="AN16" s="109">
        <v>42813</v>
      </c>
      <c r="AO16" s="109">
        <v>559684.68999999994</v>
      </c>
      <c r="AP16" s="109">
        <v>6989</v>
      </c>
      <c r="AQ16" s="109">
        <v>210894.1</v>
      </c>
      <c r="AR16" s="109">
        <v>34025.79</v>
      </c>
      <c r="AS16" s="109">
        <v>62212.07</v>
      </c>
      <c r="AT16" s="109">
        <v>0</v>
      </c>
      <c r="AU16" s="109">
        <v>16994.68</v>
      </c>
      <c r="AV16" s="109">
        <v>5737.18</v>
      </c>
      <c r="AW16" s="109">
        <v>950</v>
      </c>
      <c r="AX16" s="109">
        <v>344.4</v>
      </c>
      <c r="AY16" s="109">
        <v>0</v>
      </c>
      <c r="AZ16" s="109">
        <v>16095.56</v>
      </c>
      <c r="BA16" s="109">
        <v>5811.75</v>
      </c>
      <c r="BB16" s="109">
        <v>19779.2</v>
      </c>
      <c r="BC16" s="109">
        <v>1895.39</v>
      </c>
      <c r="BD16" s="109">
        <v>12566</v>
      </c>
      <c r="BE16" s="109">
        <v>21565</v>
      </c>
      <c r="BF16" s="109">
        <v>6137.17</v>
      </c>
      <c r="BG16" s="109">
        <v>50828.22</v>
      </c>
      <c r="BH16" s="109">
        <v>7158.62</v>
      </c>
      <c r="BI16" s="109">
        <v>0</v>
      </c>
      <c r="BJ16" s="109">
        <v>8990.11</v>
      </c>
      <c r="BK16" s="109">
        <v>5833.7</v>
      </c>
      <c r="BL16" s="109">
        <v>1200</v>
      </c>
      <c r="BM16" s="109">
        <v>47318.91</v>
      </c>
      <c r="BN16" s="109">
        <v>5794.88</v>
      </c>
      <c r="BO16" s="109">
        <v>84507.78</v>
      </c>
      <c r="BP16" s="109">
        <v>19747.82</v>
      </c>
      <c r="BQ16" s="109">
        <v>0</v>
      </c>
      <c r="BR16" s="109">
        <v>0</v>
      </c>
      <c r="BS16" s="109">
        <v>0</v>
      </c>
      <c r="BT16" s="109">
        <v>0</v>
      </c>
      <c r="BU16" s="109">
        <v>0</v>
      </c>
      <c r="BV16" s="109">
        <v>6374</v>
      </c>
      <c r="BW16" s="109">
        <v>0</v>
      </c>
      <c r="BX16" s="109">
        <v>0</v>
      </c>
      <c r="BY16" s="109">
        <v>1</v>
      </c>
      <c r="BZ16" s="109">
        <v>0</v>
      </c>
      <c r="CA16" s="658">
        <v>0</v>
      </c>
      <c r="CB16" s="659"/>
      <c r="CC16" s="109">
        <v>0</v>
      </c>
      <c r="CD16" s="109">
        <v>13349</v>
      </c>
      <c r="CE16" s="109">
        <v>25576</v>
      </c>
      <c r="CF16" s="109">
        <v>82172</v>
      </c>
      <c r="CG16" s="109">
        <v>3368</v>
      </c>
      <c r="CH16" s="109">
        <v>0</v>
      </c>
      <c r="CI16" s="109">
        <v>0</v>
      </c>
      <c r="CJ16" s="110">
        <v>0</v>
      </c>
      <c r="CK16" s="111">
        <f t="shared" si="0"/>
        <v>107748</v>
      </c>
      <c r="CL16" s="111">
        <f t="shared" si="1"/>
        <v>3368</v>
      </c>
    </row>
    <row r="17" spans="1:90" ht="26.4">
      <c r="A17" s="109">
        <v>302</v>
      </c>
      <c r="B17" s="109">
        <v>2017</v>
      </c>
      <c r="C17" s="109" t="s">
        <v>53</v>
      </c>
      <c r="D17" s="109" t="s">
        <v>594</v>
      </c>
      <c r="E17" s="109"/>
      <c r="F17" s="109" t="s">
        <v>588</v>
      </c>
      <c r="G17" s="109">
        <v>0</v>
      </c>
      <c r="H17" s="109">
        <v>1</v>
      </c>
      <c r="I17" s="109" t="s">
        <v>589</v>
      </c>
      <c r="J17" s="109" t="s">
        <v>590</v>
      </c>
      <c r="K17" s="109" t="s">
        <v>591</v>
      </c>
      <c r="L17" s="109" t="s">
        <v>592</v>
      </c>
      <c r="M17" s="109" t="s">
        <v>591</v>
      </c>
      <c r="N17" s="109" t="s">
        <v>593</v>
      </c>
      <c r="O17" s="109" t="s">
        <v>188</v>
      </c>
      <c r="P17" s="109" t="s">
        <v>188</v>
      </c>
      <c r="Q17" s="109">
        <v>117145.37</v>
      </c>
      <c r="R17" s="109">
        <v>0</v>
      </c>
      <c r="S17" s="109">
        <v>107559.5</v>
      </c>
      <c r="T17" s="109">
        <v>1892962</v>
      </c>
      <c r="U17" s="109">
        <v>0</v>
      </c>
      <c r="V17" s="109">
        <v>72307</v>
      </c>
      <c r="W17" s="109">
        <v>0</v>
      </c>
      <c r="X17" s="109">
        <v>134447</v>
      </c>
      <c r="Y17" s="109">
        <v>2000</v>
      </c>
      <c r="Z17" s="109">
        <v>56</v>
      </c>
      <c r="AA17" s="109">
        <v>14515</v>
      </c>
      <c r="AB17" s="109">
        <v>38892</v>
      </c>
      <c r="AC17" s="109">
        <v>24018</v>
      </c>
      <c r="AD17" s="109">
        <v>4720</v>
      </c>
      <c r="AE17" s="109">
        <v>917</v>
      </c>
      <c r="AF17" s="109">
        <v>8314</v>
      </c>
      <c r="AG17" s="109">
        <v>22840</v>
      </c>
      <c r="AH17" s="109">
        <v>0</v>
      </c>
      <c r="AI17" s="109">
        <v>0</v>
      </c>
      <c r="AJ17" s="109">
        <v>0</v>
      </c>
      <c r="AK17" s="109">
        <v>-6615</v>
      </c>
      <c r="AL17" s="109">
        <v>0</v>
      </c>
      <c r="AM17" s="109">
        <v>0</v>
      </c>
      <c r="AN17" s="109">
        <v>105045</v>
      </c>
      <c r="AO17" s="109">
        <v>1160485</v>
      </c>
      <c r="AP17" s="109">
        <v>0</v>
      </c>
      <c r="AQ17" s="109">
        <v>463885</v>
      </c>
      <c r="AR17" s="109">
        <v>35456</v>
      </c>
      <c r="AS17" s="109">
        <v>77678</v>
      </c>
      <c r="AT17" s="109">
        <v>0</v>
      </c>
      <c r="AU17" s="109">
        <v>70219</v>
      </c>
      <c r="AV17" s="109">
        <v>10769</v>
      </c>
      <c r="AW17" s="109">
        <v>4350</v>
      </c>
      <c r="AX17" s="109">
        <v>12781</v>
      </c>
      <c r="AY17" s="109">
        <v>0</v>
      </c>
      <c r="AZ17" s="109">
        <v>12210</v>
      </c>
      <c r="BA17" s="109">
        <v>4599</v>
      </c>
      <c r="BB17" s="109">
        <v>33202</v>
      </c>
      <c r="BC17" s="109">
        <v>7538</v>
      </c>
      <c r="BD17" s="109">
        <v>34969</v>
      </c>
      <c r="BE17" s="109">
        <v>38836</v>
      </c>
      <c r="BF17" s="109">
        <v>11301</v>
      </c>
      <c r="BG17" s="109">
        <v>29485</v>
      </c>
      <c r="BH17" s="109">
        <v>17116</v>
      </c>
      <c r="BI17" s="109">
        <v>0</v>
      </c>
      <c r="BJ17" s="109">
        <v>16902</v>
      </c>
      <c r="BK17" s="109">
        <v>12544</v>
      </c>
      <c r="BL17" s="109">
        <v>3352</v>
      </c>
      <c r="BM17" s="109">
        <v>86619</v>
      </c>
      <c r="BN17" s="109">
        <v>41569</v>
      </c>
      <c r="BO17" s="109">
        <v>60200</v>
      </c>
      <c r="BP17" s="109">
        <v>50595</v>
      </c>
      <c r="BQ17" s="109">
        <v>0</v>
      </c>
      <c r="BR17" s="109">
        <v>0</v>
      </c>
      <c r="BS17" s="109">
        <v>0</v>
      </c>
      <c r="BT17" s="109">
        <v>0</v>
      </c>
      <c r="BU17" s="109">
        <v>0</v>
      </c>
      <c r="BV17" s="109">
        <v>8781</v>
      </c>
      <c r="BW17" s="109">
        <v>0</v>
      </c>
      <c r="BX17" s="109">
        <v>0</v>
      </c>
      <c r="BY17" s="109">
        <v>1</v>
      </c>
      <c r="BZ17" s="109">
        <v>0</v>
      </c>
      <c r="CA17" s="658">
        <v>3000</v>
      </c>
      <c r="CB17" s="659"/>
      <c r="CC17" s="109">
        <v>0</v>
      </c>
      <c r="CD17" s="109">
        <v>1650</v>
      </c>
      <c r="CE17" s="109">
        <v>14378</v>
      </c>
      <c r="CF17" s="109">
        <v>120525</v>
      </c>
      <c r="CG17" s="109">
        <v>14690</v>
      </c>
      <c r="CH17" s="109">
        <v>97001</v>
      </c>
      <c r="CI17" s="109">
        <v>0</v>
      </c>
      <c r="CJ17" s="110">
        <v>0</v>
      </c>
      <c r="CK17" s="111">
        <f t="shared" si="0"/>
        <v>134903</v>
      </c>
      <c r="CL17" s="111">
        <f t="shared" si="1"/>
        <v>111691</v>
      </c>
    </row>
    <row r="18" spans="1:90" ht="26.4">
      <c r="A18" s="109">
        <v>302</v>
      </c>
      <c r="B18" s="109">
        <v>2019</v>
      </c>
      <c r="C18" s="109" t="s">
        <v>55</v>
      </c>
      <c r="D18" s="109" t="s">
        <v>594</v>
      </c>
      <c r="E18" s="109"/>
      <c r="F18" s="109" t="s">
        <v>588</v>
      </c>
      <c r="G18" s="109">
        <v>0</v>
      </c>
      <c r="H18" s="109">
        <v>1</v>
      </c>
      <c r="I18" s="109" t="s">
        <v>589</v>
      </c>
      <c r="J18" s="109" t="s">
        <v>590</v>
      </c>
      <c r="K18" s="109" t="s">
        <v>591</v>
      </c>
      <c r="L18" s="109" t="s">
        <v>592</v>
      </c>
      <c r="M18" s="109" t="s">
        <v>591</v>
      </c>
      <c r="N18" s="109" t="s">
        <v>593</v>
      </c>
      <c r="O18" s="109" t="s">
        <v>188</v>
      </c>
      <c r="P18" s="109" t="s">
        <v>188</v>
      </c>
      <c r="Q18" s="109">
        <v>182562.04</v>
      </c>
      <c r="R18" s="109">
        <v>0</v>
      </c>
      <c r="S18" s="109">
        <v>6636.12</v>
      </c>
      <c r="T18" s="109">
        <v>1291683.52</v>
      </c>
      <c r="U18" s="109">
        <v>0</v>
      </c>
      <c r="V18" s="109">
        <v>102952.22</v>
      </c>
      <c r="W18" s="109">
        <v>0</v>
      </c>
      <c r="X18" s="109">
        <v>52455.03</v>
      </c>
      <c r="Y18" s="109">
        <v>9359.7800000000007</v>
      </c>
      <c r="Z18" s="109">
        <v>0</v>
      </c>
      <c r="AA18" s="109">
        <v>50</v>
      </c>
      <c r="AB18" s="109">
        <v>39018.769999999997</v>
      </c>
      <c r="AC18" s="109">
        <v>32.46</v>
      </c>
      <c r="AD18" s="109">
        <v>0</v>
      </c>
      <c r="AE18" s="109">
        <v>0</v>
      </c>
      <c r="AF18" s="109">
        <v>3613.5</v>
      </c>
      <c r="AG18" s="109">
        <v>4856.6099999999997</v>
      </c>
      <c r="AH18" s="109">
        <v>0</v>
      </c>
      <c r="AI18" s="109">
        <v>0</v>
      </c>
      <c r="AJ18" s="109">
        <v>0</v>
      </c>
      <c r="AK18" s="109">
        <v>0</v>
      </c>
      <c r="AL18" s="109">
        <v>7100</v>
      </c>
      <c r="AM18" s="109">
        <v>4835.62</v>
      </c>
      <c r="AN18" s="109">
        <v>85030.5</v>
      </c>
      <c r="AO18" s="109">
        <v>770481.99</v>
      </c>
      <c r="AP18" s="109">
        <v>13473.96</v>
      </c>
      <c r="AQ18" s="109">
        <v>466358.15</v>
      </c>
      <c r="AR18" s="109">
        <v>42952.83</v>
      </c>
      <c r="AS18" s="109">
        <v>83295.42</v>
      </c>
      <c r="AT18" s="109">
        <v>0</v>
      </c>
      <c r="AU18" s="109">
        <v>54775.18</v>
      </c>
      <c r="AV18" s="109">
        <v>7175.91</v>
      </c>
      <c r="AW18" s="109">
        <v>1286.25</v>
      </c>
      <c r="AX18" s="109">
        <v>349.32</v>
      </c>
      <c r="AY18" s="109">
        <v>0</v>
      </c>
      <c r="AZ18" s="109">
        <v>12941.46</v>
      </c>
      <c r="BA18" s="109">
        <v>8578.0400000000009</v>
      </c>
      <c r="BB18" s="109">
        <v>1598.49</v>
      </c>
      <c r="BC18" s="109">
        <v>10096.42</v>
      </c>
      <c r="BD18" s="109">
        <v>23646.7</v>
      </c>
      <c r="BE18" s="109">
        <v>17589.75</v>
      </c>
      <c r="BF18" s="109">
        <v>6562.99</v>
      </c>
      <c r="BG18" s="109">
        <v>12454.15</v>
      </c>
      <c r="BH18" s="109">
        <v>13599.69</v>
      </c>
      <c r="BI18" s="109">
        <v>0</v>
      </c>
      <c r="BJ18" s="109">
        <v>11810.62</v>
      </c>
      <c r="BK18" s="109">
        <v>6791.31</v>
      </c>
      <c r="BL18" s="109">
        <v>1773.48</v>
      </c>
      <c r="BM18" s="109">
        <v>74852.78</v>
      </c>
      <c r="BN18" s="109">
        <v>64836.85</v>
      </c>
      <c r="BO18" s="109">
        <v>92726.55</v>
      </c>
      <c r="BP18" s="109">
        <v>29713.759999999998</v>
      </c>
      <c r="BQ18" s="109">
        <v>0</v>
      </c>
      <c r="BR18" s="109">
        <v>0</v>
      </c>
      <c r="BS18" s="109">
        <v>0</v>
      </c>
      <c r="BT18" s="109">
        <v>0</v>
      </c>
      <c r="BU18" s="109">
        <v>0</v>
      </c>
      <c r="BV18" s="109">
        <v>7019.5</v>
      </c>
      <c r="BW18" s="109">
        <v>0</v>
      </c>
      <c r="BX18" s="109">
        <v>0</v>
      </c>
      <c r="BY18" s="109">
        <v>1</v>
      </c>
      <c r="BZ18" s="109">
        <v>0</v>
      </c>
      <c r="CA18" s="658">
        <v>0</v>
      </c>
      <c r="CB18" s="659"/>
      <c r="CC18" s="109">
        <v>0</v>
      </c>
      <c r="CD18" s="109">
        <v>8497.35</v>
      </c>
      <c r="CE18" s="109">
        <v>0</v>
      </c>
      <c r="CF18" s="109">
        <v>-46172</v>
      </c>
      <c r="CG18" s="109">
        <v>5158</v>
      </c>
      <c r="CH18" s="109">
        <v>0</v>
      </c>
      <c r="CI18" s="109">
        <v>0</v>
      </c>
      <c r="CJ18" s="110">
        <v>0</v>
      </c>
      <c r="CK18" s="111">
        <f t="shared" si="0"/>
        <v>-46172</v>
      </c>
      <c r="CL18" s="111">
        <f t="shared" si="1"/>
        <v>5158</v>
      </c>
    </row>
    <row r="19" spans="1:90" ht="26.4">
      <c r="A19" s="109">
        <v>302</v>
      </c>
      <c r="B19" s="109">
        <v>2021</v>
      </c>
      <c r="C19" s="109" t="s">
        <v>474</v>
      </c>
      <c r="D19" s="109" t="s">
        <v>594</v>
      </c>
      <c r="E19" s="109"/>
      <c r="F19" s="109" t="s">
        <v>588</v>
      </c>
      <c r="G19" s="109">
        <v>0</v>
      </c>
      <c r="H19" s="109">
        <v>0</v>
      </c>
      <c r="I19" s="109" t="s">
        <v>589</v>
      </c>
      <c r="J19" s="109" t="s">
        <v>590</v>
      </c>
      <c r="K19" s="109" t="s">
        <v>591</v>
      </c>
      <c r="L19" s="109" t="s">
        <v>592</v>
      </c>
      <c r="M19" s="109" t="s">
        <v>591</v>
      </c>
      <c r="N19" s="109" t="s">
        <v>593</v>
      </c>
      <c r="O19" s="109" t="s">
        <v>188</v>
      </c>
      <c r="P19" s="109" t="s">
        <v>188</v>
      </c>
      <c r="Q19" s="109">
        <v>160077.66</v>
      </c>
      <c r="R19" s="109">
        <v>0</v>
      </c>
      <c r="S19" s="109">
        <v>6512</v>
      </c>
      <c r="T19" s="109">
        <v>2555819.4500000002</v>
      </c>
      <c r="U19" s="109">
        <v>0</v>
      </c>
      <c r="V19" s="109">
        <v>81779.58</v>
      </c>
      <c r="W19" s="109">
        <v>0</v>
      </c>
      <c r="X19" s="109">
        <v>193900.03</v>
      </c>
      <c r="Y19" s="109">
        <v>4400</v>
      </c>
      <c r="Z19" s="109">
        <v>165470.82</v>
      </c>
      <c r="AA19" s="109">
        <v>51716</v>
      </c>
      <c r="AB19" s="109">
        <v>52253.24</v>
      </c>
      <c r="AC19" s="109">
        <v>32236.89</v>
      </c>
      <c r="AD19" s="109">
        <v>0</v>
      </c>
      <c r="AE19" s="109">
        <v>0</v>
      </c>
      <c r="AF19" s="109">
        <v>0</v>
      </c>
      <c r="AG19" s="109">
        <v>7783.17</v>
      </c>
      <c r="AH19" s="109">
        <v>0</v>
      </c>
      <c r="AI19" s="109">
        <v>0</v>
      </c>
      <c r="AJ19" s="109">
        <v>0</v>
      </c>
      <c r="AK19" s="109">
        <v>0</v>
      </c>
      <c r="AL19" s="109">
        <v>0</v>
      </c>
      <c r="AM19" s="109">
        <v>34177.5</v>
      </c>
      <c r="AN19" s="109">
        <v>63282.33</v>
      </c>
      <c r="AO19" s="109">
        <v>1214248.45</v>
      </c>
      <c r="AP19" s="109">
        <v>0</v>
      </c>
      <c r="AQ19" s="109">
        <v>689859.28</v>
      </c>
      <c r="AR19" s="109">
        <v>79010.16</v>
      </c>
      <c r="AS19" s="109">
        <v>187584.27</v>
      </c>
      <c r="AT19" s="109">
        <v>0</v>
      </c>
      <c r="AU19" s="109">
        <v>33210.26</v>
      </c>
      <c r="AV19" s="109">
        <v>56518</v>
      </c>
      <c r="AW19" s="109">
        <v>9141.01</v>
      </c>
      <c r="AX19" s="109">
        <v>726.52</v>
      </c>
      <c r="AY19" s="109">
        <v>2146.96</v>
      </c>
      <c r="AZ19" s="109">
        <v>43748.43</v>
      </c>
      <c r="BA19" s="109">
        <v>11693.47</v>
      </c>
      <c r="BB19" s="109">
        <v>51459.09</v>
      </c>
      <c r="BC19" s="109">
        <v>9311.58</v>
      </c>
      <c r="BD19" s="109">
        <v>67875.740000000005</v>
      </c>
      <c r="BE19" s="109">
        <v>58112</v>
      </c>
      <c r="BF19" s="109">
        <v>32145.71</v>
      </c>
      <c r="BG19" s="109">
        <v>93675.25</v>
      </c>
      <c r="BH19" s="109">
        <v>20851.509999999998</v>
      </c>
      <c r="BI19" s="109">
        <v>0</v>
      </c>
      <c r="BJ19" s="109">
        <v>30196.57</v>
      </c>
      <c r="BK19" s="109">
        <v>13753.45</v>
      </c>
      <c r="BL19" s="109">
        <v>1313.25</v>
      </c>
      <c r="BM19" s="109">
        <v>120819.26</v>
      </c>
      <c r="BN19" s="109">
        <v>133203.68</v>
      </c>
      <c r="BO19" s="109">
        <v>145755.70000000001</v>
      </c>
      <c r="BP19" s="109">
        <v>39189.31</v>
      </c>
      <c r="BQ19" s="109">
        <v>0</v>
      </c>
      <c r="BR19" s="109">
        <v>0</v>
      </c>
      <c r="BS19" s="109">
        <v>0</v>
      </c>
      <c r="BT19" s="109">
        <v>0</v>
      </c>
      <c r="BU19" s="109">
        <v>0</v>
      </c>
      <c r="BV19" s="109">
        <v>10077</v>
      </c>
      <c r="BW19" s="109">
        <v>30000</v>
      </c>
      <c r="BX19" s="109">
        <v>0</v>
      </c>
      <c r="BY19" s="109">
        <v>1</v>
      </c>
      <c r="BZ19" s="109">
        <v>0</v>
      </c>
      <c r="CA19" s="658">
        <v>0</v>
      </c>
      <c r="CB19" s="659"/>
      <c r="CC19" s="109">
        <v>0</v>
      </c>
      <c r="CD19" s="109">
        <v>6010</v>
      </c>
      <c r="CE19" s="109">
        <v>50253</v>
      </c>
      <c r="CF19" s="109">
        <v>207095</v>
      </c>
      <c r="CG19" s="109">
        <v>10579</v>
      </c>
      <c r="CH19" s="109">
        <v>30000</v>
      </c>
      <c r="CI19" s="109">
        <v>0</v>
      </c>
      <c r="CJ19" s="110">
        <v>0</v>
      </c>
      <c r="CK19" s="111">
        <f t="shared" si="0"/>
        <v>257348</v>
      </c>
      <c r="CL19" s="111">
        <f t="shared" si="1"/>
        <v>40579</v>
      </c>
    </row>
    <row r="20" spans="1:90" ht="26.4">
      <c r="A20" s="109">
        <v>302</v>
      </c>
      <c r="B20" s="109">
        <v>2023</v>
      </c>
      <c r="C20" s="109" t="s">
        <v>597</v>
      </c>
      <c r="D20" s="109" t="s">
        <v>594</v>
      </c>
      <c r="E20" s="109"/>
      <c r="F20" s="109" t="s">
        <v>588</v>
      </c>
      <c r="G20" s="109">
        <v>0</v>
      </c>
      <c r="H20" s="109">
        <v>0</v>
      </c>
      <c r="I20" s="109" t="s">
        <v>589</v>
      </c>
      <c r="J20" s="109" t="s">
        <v>590</v>
      </c>
      <c r="K20" s="109" t="s">
        <v>591</v>
      </c>
      <c r="L20" s="109" t="s">
        <v>592</v>
      </c>
      <c r="M20" s="109" t="s">
        <v>591</v>
      </c>
      <c r="N20" s="109" t="s">
        <v>593</v>
      </c>
      <c r="O20" s="109" t="s">
        <v>188</v>
      </c>
      <c r="P20" s="109" t="s">
        <v>188</v>
      </c>
      <c r="Q20" s="109">
        <v>-46979.040000000001</v>
      </c>
      <c r="R20" s="109">
        <v>0</v>
      </c>
      <c r="S20" s="109">
        <v>0</v>
      </c>
      <c r="T20" s="109">
        <v>2613600.92</v>
      </c>
      <c r="U20" s="109">
        <v>0</v>
      </c>
      <c r="V20" s="109">
        <v>137386.9</v>
      </c>
      <c r="W20" s="109">
        <v>0</v>
      </c>
      <c r="X20" s="109">
        <v>266292.53999999998</v>
      </c>
      <c r="Y20" s="109">
        <v>48998.46</v>
      </c>
      <c r="Z20" s="109">
        <v>57311.59</v>
      </c>
      <c r="AA20" s="109">
        <v>180.81</v>
      </c>
      <c r="AB20" s="109">
        <v>6031.42</v>
      </c>
      <c r="AC20" s="109">
        <v>24709.32</v>
      </c>
      <c r="AD20" s="109">
        <v>0</v>
      </c>
      <c r="AE20" s="109">
        <v>0</v>
      </c>
      <c r="AF20" s="109">
        <v>12655.2</v>
      </c>
      <c r="AG20" s="109">
        <v>1378.15</v>
      </c>
      <c r="AH20" s="109">
        <v>0</v>
      </c>
      <c r="AI20" s="109">
        <v>0</v>
      </c>
      <c r="AJ20" s="109">
        <v>0</v>
      </c>
      <c r="AK20" s="109">
        <v>0</v>
      </c>
      <c r="AL20" s="109">
        <v>7123.25</v>
      </c>
      <c r="AM20" s="109">
        <v>30330.13</v>
      </c>
      <c r="AN20" s="109">
        <v>64265.71</v>
      </c>
      <c r="AO20" s="109">
        <v>1305618.43</v>
      </c>
      <c r="AP20" s="109">
        <v>0</v>
      </c>
      <c r="AQ20" s="109">
        <v>765701.9</v>
      </c>
      <c r="AR20" s="109">
        <v>30734.94</v>
      </c>
      <c r="AS20" s="109">
        <v>211816.88</v>
      </c>
      <c r="AT20" s="109">
        <v>0</v>
      </c>
      <c r="AU20" s="109">
        <v>43763.81</v>
      </c>
      <c r="AV20" s="109">
        <v>59496.82</v>
      </c>
      <c r="AW20" s="109">
        <v>13700.41</v>
      </c>
      <c r="AX20" s="109">
        <v>823.28</v>
      </c>
      <c r="AY20" s="109">
        <v>0</v>
      </c>
      <c r="AZ20" s="109">
        <v>55486.27</v>
      </c>
      <c r="BA20" s="109">
        <v>8410</v>
      </c>
      <c r="BB20" s="109">
        <v>59593.33</v>
      </c>
      <c r="BC20" s="109">
        <v>11379.76</v>
      </c>
      <c r="BD20" s="109">
        <v>34208.959999999999</v>
      </c>
      <c r="BE20" s="109">
        <v>23952</v>
      </c>
      <c r="BF20" s="109">
        <v>6584.04</v>
      </c>
      <c r="BG20" s="109">
        <v>84658.61</v>
      </c>
      <c r="BH20" s="109">
        <v>24285.11</v>
      </c>
      <c r="BI20" s="109">
        <v>0</v>
      </c>
      <c r="BJ20" s="109">
        <v>16043.29</v>
      </c>
      <c r="BK20" s="109">
        <v>14010.74</v>
      </c>
      <c r="BL20" s="109">
        <v>7368.25</v>
      </c>
      <c r="BM20" s="109">
        <v>133758.88</v>
      </c>
      <c r="BN20" s="109">
        <v>148717.69</v>
      </c>
      <c r="BO20" s="109">
        <v>34940.800000000003</v>
      </c>
      <c r="BP20" s="109">
        <v>41461.660000000003</v>
      </c>
      <c r="BQ20" s="109">
        <v>0</v>
      </c>
      <c r="BR20" s="109">
        <v>0</v>
      </c>
      <c r="BS20" s="109">
        <v>0</v>
      </c>
      <c r="BT20" s="109">
        <v>0</v>
      </c>
      <c r="BU20" s="109">
        <v>0</v>
      </c>
      <c r="BV20" s="109">
        <v>10414.75</v>
      </c>
      <c r="BW20" s="109">
        <v>0</v>
      </c>
      <c r="BX20" s="109">
        <v>0</v>
      </c>
      <c r="BY20" s="109">
        <v>1</v>
      </c>
      <c r="BZ20" s="109">
        <v>0</v>
      </c>
      <c r="CA20" s="658">
        <v>0</v>
      </c>
      <c r="CB20" s="659"/>
      <c r="CC20" s="109">
        <v>0</v>
      </c>
      <c r="CD20" s="109">
        <v>8573.49</v>
      </c>
      <c r="CE20" s="109">
        <v>530</v>
      </c>
      <c r="CF20" s="109">
        <v>86240</v>
      </c>
      <c r="CG20" s="109">
        <v>1841</v>
      </c>
      <c r="CH20" s="109">
        <v>0</v>
      </c>
      <c r="CI20" s="109">
        <v>0</v>
      </c>
      <c r="CJ20" s="110">
        <v>0</v>
      </c>
      <c r="CK20" s="111">
        <f t="shared" si="0"/>
        <v>86770</v>
      </c>
      <c r="CL20" s="111">
        <f t="shared" si="1"/>
        <v>1841</v>
      </c>
    </row>
    <row r="21" spans="1:90">
      <c r="A21" s="109">
        <v>302</v>
      </c>
      <c r="B21" s="109">
        <v>2024</v>
      </c>
      <c r="C21" s="109" t="s">
        <v>61</v>
      </c>
      <c r="D21" s="109" t="s">
        <v>594</v>
      </c>
      <c r="E21" s="109"/>
      <c r="F21" s="109" t="s">
        <v>588</v>
      </c>
      <c r="G21" s="109">
        <v>0</v>
      </c>
      <c r="H21" s="109">
        <v>2</v>
      </c>
      <c r="I21" s="109" t="s">
        <v>589</v>
      </c>
      <c r="J21" s="109" t="s">
        <v>590</v>
      </c>
      <c r="K21" s="109" t="s">
        <v>591</v>
      </c>
      <c r="L21" s="109" t="s">
        <v>592</v>
      </c>
      <c r="M21" s="109" t="s">
        <v>591</v>
      </c>
      <c r="N21" s="109" t="s">
        <v>593</v>
      </c>
      <c r="O21" s="109" t="s">
        <v>188</v>
      </c>
      <c r="P21" s="109" t="s">
        <v>188</v>
      </c>
      <c r="Q21" s="109">
        <v>53993.01</v>
      </c>
      <c r="R21" s="109">
        <v>307.13</v>
      </c>
      <c r="S21" s="109">
        <v>2587.66</v>
      </c>
      <c r="T21" s="109">
        <v>1301691.42</v>
      </c>
      <c r="U21" s="109">
        <v>0</v>
      </c>
      <c r="V21" s="109">
        <v>62796.87</v>
      </c>
      <c r="W21" s="109">
        <v>0</v>
      </c>
      <c r="X21" s="109">
        <v>91787.24</v>
      </c>
      <c r="Y21" s="109">
        <v>46635</v>
      </c>
      <c r="Z21" s="109">
        <v>12487.5</v>
      </c>
      <c r="AA21" s="109">
        <v>10855.97</v>
      </c>
      <c r="AB21" s="109">
        <v>89458.85</v>
      </c>
      <c r="AC21" s="109">
        <v>12362.57</v>
      </c>
      <c r="AD21" s="109">
        <v>0</v>
      </c>
      <c r="AE21" s="109">
        <v>0</v>
      </c>
      <c r="AF21" s="109">
        <v>10646.6</v>
      </c>
      <c r="AG21" s="109">
        <v>6599.79</v>
      </c>
      <c r="AH21" s="109">
        <v>0</v>
      </c>
      <c r="AI21" s="109">
        <v>180008</v>
      </c>
      <c r="AJ21" s="109">
        <v>1895</v>
      </c>
      <c r="AK21" s="109">
        <v>0</v>
      </c>
      <c r="AL21" s="109">
        <v>0</v>
      </c>
      <c r="AM21" s="109">
        <v>12840</v>
      </c>
      <c r="AN21" s="109">
        <v>39136</v>
      </c>
      <c r="AO21" s="109">
        <v>703686.9</v>
      </c>
      <c r="AP21" s="109">
        <v>0</v>
      </c>
      <c r="AQ21" s="109">
        <v>307544.18</v>
      </c>
      <c r="AR21" s="109">
        <v>19667.21</v>
      </c>
      <c r="AS21" s="109">
        <v>73125.009999999995</v>
      </c>
      <c r="AT21" s="109">
        <v>0</v>
      </c>
      <c r="AU21" s="109">
        <v>273542.37</v>
      </c>
      <c r="AV21" s="109">
        <v>11722.65</v>
      </c>
      <c r="AW21" s="109">
        <v>4201.93</v>
      </c>
      <c r="AX21" s="109">
        <v>323.08</v>
      </c>
      <c r="AY21" s="109">
        <v>0</v>
      </c>
      <c r="AZ21" s="109">
        <v>34830.800000000003</v>
      </c>
      <c r="BA21" s="109">
        <v>2984.02</v>
      </c>
      <c r="BB21" s="109">
        <v>36028.410000000003</v>
      </c>
      <c r="BC21" s="109">
        <v>-1725.86</v>
      </c>
      <c r="BD21" s="109">
        <v>26711.82</v>
      </c>
      <c r="BE21" s="109">
        <v>48944</v>
      </c>
      <c r="BF21" s="109">
        <v>7245.96</v>
      </c>
      <c r="BG21" s="109">
        <v>31513.01</v>
      </c>
      <c r="BH21" s="109">
        <v>22148.16</v>
      </c>
      <c r="BI21" s="109">
        <v>0</v>
      </c>
      <c r="BJ21" s="109">
        <v>10849.87</v>
      </c>
      <c r="BK21" s="109">
        <v>6624.39</v>
      </c>
      <c r="BL21" s="109">
        <v>5546.88</v>
      </c>
      <c r="BM21" s="109">
        <v>59360.14</v>
      </c>
      <c r="BN21" s="109">
        <v>23052.6</v>
      </c>
      <c r="BO21" s="109">
        <v>74201.39</v>
      </c>
      <c r="BP21" s="109">
        <v>41393.4</v>
      </c>
      <c r="BQ21" s="109">
        <v>0</v>
      </c>
      <c r="BR21" s="109">
        <v>0</v>
      </c>
      <c r="BS21" s="109">
        <v>0</v>
      </c>
      <c r="BT21" s="109">
        <v>157622.79</v>
      </c>
      <c r="BU21" s="109">
        <v>24280.21</v>
      </c>
      <c r="BV21" s="109">
        <v>6992</v>
      </c>
      <c r="BW21" s="109">
        <v>0</v>
      </c>
      <c r="BX21" s="109">
        <v>0</v>
      </c>
      <c r="BY21" s="109">
        <v>1</v>
      </c>
      <c r="BZ21" s="109">
        <v>0</v>
      </c>
      <c r="CA21" s="658">
        <v>0</v>
      </c>
      <c r="CB21" s="659"/>
      <c r="CC21" s="109">
        <v>6715</v>
      </c>
      <c r="CD21" s="109">
        <v>0</v>
      </c>
      <c r="CE21" s="109">
        <v>9100</v>
      </c>
      <c r="CF21" s="109">
        <v>-81331</v>
      </c>
      <c r="CG21" s="109">
        <v>2865</v>
      </c>
      <c r="CH21" s="109">
        <v>0</v>
      </c>
      <c r="CI21" s="109">
        <v>307</v>
      </c>
      <c r="CJ21" s="110">
        <v>0</v>
      </c>
      <c r="CK21" s="111">
        <f t="shared" si="0"/>
        <v>-71924</v>
      </c>
      <c r="CL21" s="111">
        <f t="shared" si="1"/>
        <v>2865</v>
      </c>
    </row>
    <row r="22" spans="1:90">
      <c r="A22" s="109">
        <v>302</v>
      </c>
      <c r="B22" s="109">
        <v>2025</v>
      </c>
      <c r="C22" s="109" t="s">
        <v>62</v>
      </c>
      <c r="D22" s="109" t="s">
        <v>594</v>
      </c>
      <c r="E22" s="109"/>
      <c r="F22" s="109" t="s">
        <v>588</v>
      </c>
      <c r="G22" s="109">
        <v>0</v>
      </c>
      <c r="H22" s="109">
        <v>0</v>
      </c>
      <c r="I22" s="109" t="s">
        <v>589</v>
      </c>
      <c r="J22" s="109" t="s">
        <v>590</v>
      </c>
      <c r="K22" s="109" t="s">
        <v>591</v>
      </c>
      <c r="L22" s="109" t="s">
        <v>592</v>
      </c>
      <c r="M22" s="109" t="s">
        <v>591</v>
      </c>
      <c r="N22" s="109" t="s">
        <v>593</v>
      </c>
      <c r="O22" s="109" t="s">
        <v>188</v>
      </c>
      <c r="P22" s="109" t="s">
        <v>188</v>
      </c>
      <c r="Q22" s="109">
        <v>127159.67</v>
      </c>
      <c r="R22" s="109">
        <v>0</v>
      </c>
      <c r="S22" s="109">
        <v>5832.93</v>
      </c>
      <c r="T22" s="109">
        <v>1366340.29</v>
      </c>
      <c r="U22" s="109">
        <v>0</v>
      </c>
      <c r="V22" s="109">
        <v>65925.179999999993</v>
      </c>
      <c r="W22" s="109">
        <v>0</v>
      </c>
      <c r="X22" s="109">
        <v>22394.97</v>
      </c>
      <c r="Y22" s="109">
        <v>2457</v>
      </c>
      <c r="Z22" s="109">
        <v>645</v>
      </c>
      <c r="AA22" s="109">
        <v>36511.050000000003</v>
      </c>
      <c r="AB22" s="109">
        <v>22787.95</v>
      </c>
      <c r="AC22" s="109">
        <v>27765.71</v>
      </c>
      <c r="AD22" s="109">
        <v>0</v>
      </c>
      <c r="AE22" s="109">
        <v>0</v>
      </c>
      <c r="AF22" s="109">
        <v>66255.899999999994</v>
      </c>
      <c r="AG22" s="109">
        <v>15300.86</v>
      </c>
      <c r="AH22" s="109">
        <v>0</v>
      </c>
      <c r="AI22" s="109">
        <v>0</v>
      </c>
      <c r="AJ22" s="109">
        <v>0</v>
      </c>
      <c r="AK22" s="109">
        <v>0</v>
      </c>
      <c r="AL22" s="109">
        <v>0</v>
      </c>
      <c r="AM22" s="109">
        <v>0</v>
      </c>
      <c r="AN22" s="109">
        <v>86766.44</v>
      </c>
      <c r="AO22" s="109">
        <v>884683.9</v>
      </c>
      <c r="AP22" s="109">
        <v>5732.19</v>
      </c>
      <c r="AQ22" s="109">
        <v>231508.65</v>
      </c>
      <c r="AR22" s="109">
        <v>75365.490000000005</v>
      </c>
      <c r="AS22" s="109">
        <v>63279.91</v>
      </c>
      <c r="AT22" s="109">
        <v>0</v>
      </c>
      <c r="AU22" s="109">
        <v>40264.14</v>
      </c>
      <c r="AV22" s="109">
        <v>448.3</v>
      </c>
      <c r="AW22" s="109">
        <v>2046.99</v>
      </c>
      <c r="AX22" s="109">
        <v>521.52</v>
      </c>
      <c r="AY22" s="109">
        <v>0</v>
      </c>
      <c r="AZ22" s="109">
        <v>4063.31</v>
      </c>
      <c r="BA22" s="109">
        <v>0</v>
      </c>
      <c r="BB22" s="109">
        <v>0</v>
      </c>
      <c r="BC22" s="109">
        <v>3582.43</v>
      </c>
      <c r="BD22" s="109">
        <v>28582.400000000001</v>
      </c>
      <c r="BE22" s="109">
        <v>34048</v>
      </c>
      <c r="BF22" s="109">
        <v>5257.97</v>
      </c>
      <c r="BG22" s="109">
        <v>97768.67</v>
      </c>
      <c r="BH22" s="109">
        <v>7769.87</v>
      </c>
      <c r="BI22" s="109">
        <v>0</v>
      </c>
      <c r="BJ22" s="109">
        <v>8872.33</v>
      </c>
      <c r="BK22" s="109">
        <v>8843.66</v>
      </c>
      <c r="BL22" s="109">
        <v>7653.92</v>
      </c>
      <c r="BM22" s="109">
        <v>74740.55</v>
      </c>
      <c r="BN22" s="109">
        <v>16215.71</v>
      </c>
      <c r="BO22" s="109">
        <v>66651.289999999994</v>
      </c>
      <c r="BP22" s="109">
        <v>29575.33</v>
      </c>
      <c r="BQ22" s="109">
        <v>0</v>
      </c>
      <c r="BR22" s="109">
        <v>0</v>
      </c>
      <c r="BS22" s="109">
        <v>0</v>
      </c>
      <c r="BT22" s="109">
        <v>0</v>
      </c>
      <c r="BU22" s="109">
        <v>0</v>
      </c>
      <c r="BV22" s="109">
        <v>7600</v>
      </c>
      <c r="BW22" s="109">
        <v>16427</v>
      </c>
      <c r="BX22" s="109">
        <v>0</v>
      </c>
      <c r="BY22" s="109">
        <v>1</v>
      </c>
      <c r="BZ22" s="109">
        <v>0</v>
      </c>
      <c r="CA22" s="658">
        <v>13211.13</v>
      </c>
      <c r="CB22" s="659"/>
      <c r="CC22" s="109">
        <v>0</v>
      </c>
      <c r="CD22" s="109">
        <v>7438</v>
      </c>
      <c r="CE22" s="109">
        <v>20819</v>
      </c>
      <c r="CF22" s="109">
        <v>122014</v>
      </c>
      <c r="CG22" s="109">
        <v>9211</v>
      </c>
      <c r="CH22" s="109">
        <v>0</v>
      </c>
      <c r="CI22" s="109">
        <v>0</v>
      </c>
      <c r="CJ22" s="110">
        <v>0</v>
      </c>
      <c r="CK22" s="111">
        <f t="shared" si="0"/>
        <v>142833</v>
      </c>
      <c r="CL22" s="111">
        <f t="shared" si="1"/>
        <v>9211</v>
      </c>
    </row>
    <row r="23" spans="1:90" ht="26.4">
      <c r="A23" s="109">
        <v>302</v>
      </c>
      <c r="B23" s="109">
        <v>2026</v>
      </c>
      <c r="C23" s="109" t="s">
        <v>63</v>
      </c>
      <c r="D23" s="109" t="s">
        <v>594</v>
      </c>
      <c r="E23" s="109"/>
      <c r="F23" s="109" t="s">
        <v>588</v>
      </c>
      <c r="G23" s="109">
        <v>0</v>
      </c>
      <c r="H23" s="109">
        <v>1</v>
      </c>
      <c r="I23" s="109" t="s">
        <v>589</v>
      </c>
      <c r="J23" s="109" t="s">
        <v>590</v>
      </c>
      <c r="K23" s="109" t="s">
        <v>591</v>
      </c>
      <c r="L23" s="109" t="s">
        <v>592</v>
      </c>
      <c r="M23" s="109" t="s">
        <v>591</v>
      </c>
      <c r="N23" s="109" t="s">
        <v>593</v>
      </c>
      <c r="O23" s="109" t="s">
        <v>188</v>
      </c>
      <c r="P23" s="109" t="s">
        <v>188</v>
      </c>
      <c r="Q23" s="109">
        <v>-77720.73</v>
      </c>
      <c r="R23" s="109">
        <v>0</v>
      </c>
      <c r="S23" s="109">
        <v>0</v>
      </c>
      <c r="T23" s="109">
        <v>2501537.29</v>
      </c>
      <c r="U23" s="109">
        <v>0</v>
      </c>
      <c r="V23" s="109">
        <v>63404.69</v>
      </c>
      <c r="W23" s="109">
        <v>0</v>
      </c>
      <c r="X23" s="109">
        <v>92805.03</v>
      </c>
      <c r="Y23" s="109">
        <v>0</v>
      </c>
      <c r="Z23" s="109">
        <v>4070</v>
      </c>
      <c r="AA23" s="109">
        <v>28631.99</v>
      </c>
      <c r="AB23" s="109">
        <v>117179.03</v>
      </c>
      <c r="AC23" s="109">
        <v>37730.17</v>
      </c>
      <c r="AD23" s="109">
        <v>0</v>
      </c>
      <c r="AE23" s="109">
        <v>0</v>
      </c>
      <c r="AF23" s="109">
        <v>31390.18</v>
      </c>
      <c r="AG23" s="109">
        <v>16386.150000000001</v>
      </c>
      <c r="AH23" s="109">
        <v>0</v>
      </c>
      <c r="AI23" s="109">
        <v>0</v>
      </c>
      <c r="AJ23" s="109">
        <v>0</v>
      </c>
      <c r="AK23" s="109">
        <v>0</v>
      </c>
      <c r="AL23" s="109">
        <v>0</v>
      </c>
      <c r="AM23" s="109">
        <v>16560</v>
      </c>
      <c r="AN23" s="109">
        <v>91596</v>
      </c>
      <c r="AO23" s="109">
        <v>1395207.65</v>
      </c>
      <c r="AP23" s="109">
        <v>7617.86</v>
      </c>
      <c r="AQ23" s="109">
        <v>506036.91</v>
      </c>
      <c r="AR23" s="109">
        <v>64887.93</v>
      </c>
      <c r="AS23" s="109">
        <v>172472.05</v>
      </c>
      <c r="AT23" s="109">
        <v>0</v>
      </c>
      <c r="AU23" s="109">
        <v>75444.03</v>
      </c>
      <c r="AV23" s="109">
        <v>91876.2</v>
      </c>
      <c r="AW23" s="109">
        <v>7298.83</v>
      </c>
      <c r="AX23" s="109">
        <v>815.08</v>
      </c>
      <c r="AY23" s="109">
        <v>0</v>
      </c>
      <c r="AZ23" s="109">
        <v>25613.42</v>
      </c>
      <c r="BA23" s="109">
        <v>4999.84</v>
      </c>
      <c r="BB23" s="109">
        <v>51678.01</v>
      </c>
      <c r="BC23" s="109">
        <v>478.32</v>
      </c>
      <c r="BD23" s="109">
        <v>50390.44</v>
      </c>
      <c r="BE23" s="109">
        <v>41496</v>
      </c>
      <c r="BF23" s="109">
        <v>21138.799999999999</v>
      </c>
      <c r="BG23" s="109">
        <v>71312.2</v>
      </c>
      <c r="BH23" s="109">
        <v>21864.66</v>
      </c>
      <c r="BI23" s="109">
        <v>0</v>
      </c>
      <c r="BJ23" s="109">
        <v>50112.25</v>
      </c>
      <c r="BK23" s="109">
        <v>14421.39</v>
      </c>
      <c r="BL23" s="109">
        <v>36513.33</v>
      </c>
      <c r="BM23" s="109">
        <v>117848.03</v>
      </c>
      <c r="BN23" s="109">
        <v>148033.88</v>
      </c>
      <c r="BO23" s="109">
        <v>122127.45</v>
      </c>
      <c r="BP23" s="109">
        <v>41374.86</v>
      </c>
      <c r="BQ23" s="109">
        <v>0</v>
      </c>
      <c r="BR23" s="109">
        <v>0</v>
      </c>
      <c r="BS23" s="109">
        <v>15376.9</v>
      </c>
      <c r="BT23" s="109">
        <v>0</v>
      </c>
      <c r="BU23" s="109">
        <v>0</v>
      </c>
      <c r="BV23" s="109">
        <v>10536</v>
      </c>
      <c r="BW23" s="109">
        <v>7500</v>
      </c>
      <c r="BX23" s="109">
        <v>15377</v>
      </c>
      <c r="BY23" s="109">
        <v>1</v>
      </c>
      <c r="BZ23" s="109">
        <v>0</v>
      </c>
      <c r="CA23" s="658">
        <v>0</v>
      </c>
      <c r="CB23" s="659"/>
      <c r="CC23" s="109">
        <v>20063.45</v>
      </c>
      <c r="CD23" s="109">
        <v>13349.7</v>
      </c>
      <c r="CE23" s="109">
        <v>19556</v>
      </c>
      <c r="CF23" s="109">
        <v>-252423</v>
      </c>
      <c r="CG23" s="109">
        <v>0</v>
      </c>
      <c r="CH23" s="109">
        <v>0</v>
      </c>
      <c r="CI23" s="109">
        <v>0</v>
      </c>
      <c r="CJ23" s="110">
        <v>0</v>
      </c>
      <c r="CK23" s="111">
        <f t="shared" si="0"/>
        <v>-232867</v>
      </c>
      <c r="CL23" s="111">
        <f t="shared" si="1"/>
        <v>0</v>
      </c>
    </row>
    <row r="24" spans="1:90" ht="26.4">
      <c r="A24" s="109">
        <v>302</v>
      </c>
      <c r="B24" s="109">
        <v>2027</v>
      </c>
      <c r="C24" s="109" t="s">
        <v>364</v>
      </c>
      <c r="D24" s="109" t="s">
        <v>594</v>
      </c>
      <c r="E24" s="109"/>
      <c r="F24" s="109" t="s">
        <v>588</v>
      </c>
      <c r="G24" s="109">
        <v>0</v>
      </c>
      <c r="H24" s="109">
        <v>1</v>
      </c>
      <c r="I24" s="109" t="s">
        <v>589</v>
      </c>
      <c r="J24" s="109" t="s">
        <v>590</v>
      </c>
      <c r="K24" s="109" t="s">
        <v>591</v>
      </c>
      <c r="L24" s="109" t="s">
        <v>592</v>
      </c>
      <c r="M24" s="109" t="s">
        <v>591</v>
      </c>
      <c r="N24" s="109" t="s">
        <v>593</v>
      </c>
      <c r="O24" s="109" t="s">
        <v>188</v>
      </c>
      <c r="P24" s="109" t="s">
        <v>188</v>
      </c>
      <c r="Q24" s="109">
        <v>6864.76</v>
      </c>
      <c r="R24" s="109">
        <v>0</v>
      </c>
      <c r="S24" s="109">
        <v>391.68</v>
      </c>
      <c r="T24" s="109">
        <v>1595311.67</v>
      </c>
      <c r="U24" s="109">
        <v>0</v>
      </c>
      <c r="V24" s="109">
        <v>75320.39</v>
      </c>
      <c r="W24" s="109">
        <v>0</v>
      </c>
      <c r="X24" s="109">
        <v>92735.01</v>
      </c>
      <c r="Y24" s="109">
        <v>3700</v>
      </c>
      <c r="Z24" s="109">
        <v>0</v>
      </c>
      <c r="AA24" s="109">
        <v>10214</v>
      </c>
      <c r="AB24" s="109">
        <v>14521.5</v>
      </c>
      <c r="AC24" s="109">
        <v>60159.78</v>
      </c>
      <c r="AD24" s="109">
        <v>0</v>
      </c>
      <c r="AE24" s="109">
        <v>0</v>
      </c>
      <c r="AF24" s="109">
        <v>3023.99</v>
      </c>
      <c r="AG24" s="109">
        <v>9109.7800000000007</v>
      </c>
      <c r="AH24" s="109">
        <v>0</v>
      </c>
      <c r="AI24" s="109">
        <v>0</v>
      </c>
      <c r="AJ24" s="109">
        <v>0</v>
      </c>
      <c r="AK24" s="109">
        <v>0</v>
      </c>
      <c r="AL24" s="109">
        <v>0</v>
      </c>
      <c r="AM24" s="109">
        <v>21282.5</v>
      </c>
      <c r="AN24" s="109">
        <v>24342.83</v>
      </c>
      <c r="AO24" s="109">
        <v>968088.79</v>
      </c>
      <c r="AP24" s="109">
        <v>0</v>
      </c>
      <c r="AQ24" s="109">
        <v>264163.52</v>
      </c>
      <c r="AR24" s="109">
        <v>36711.58</v>
      </c>
      <c r="AS24" s="109">
        <v>91849</v>
      </c>
      <c r="AT24" s="109">
        <v>0</v>
      </c>
      <c r="AU24" s="109">
        <v>21455.63</v>
      </c>
      <c r="AV24" s="109">
        <v>10743.8</v>
      </c>
      <c r="AW24" s="109">
        <v>3779.65</v>
      </c>
      <c r="AX24" s="109">
        <v>575.64</v>
      </c>
      <c r="AY24" s="109">
        <v>0</v>
      </c>
      <c r="AZ24" s="109">
        <v>13085.36</v>
      </c>
      <c r="BA24" s="109">
        <v>1650.91</v>
      </c>
      <c r="BB24" s="109">
        <v>27907.07</v>
      </c>
      <c r="BC24" s="109">
        <v>4047.49</v>
      </c>
      <c r="BD24" s="109">
        <v>27349.05</v>
      </c>
      <c r="BE24" s="109">
        <v>19542.8</v>
      </c>
      <c r="BF24" s="109">
        <v>15643.51</v>
      </c>
      <c r="BG24" s="109">
        <v>29679.32</v>
      </c>
      <c r="BH24" s="109">
        <v>18475.7</v>
      </c>
      <c r="BI24" s="109">
        <v>0</v>
      </c>
      <c r="BJ24" s="109">
        <v>13136.85</v>
      </c>
      <c r="BK24" s="109">
        <v>9668.3700000000008</v>
      </c>
      <c r="BL24" s="109">
        <v>4205.6400000000003</v>
      </c>
      <c r="BM24" s="109">
        <v>81351.259999999995</v>
      </c>
      <c r="BN24" s="109">
        <v>128724.1</v>
      </c>
      <c r="BO24" s="109">
        <v>111905.69</v>
      </c>
      <c r="BP24" s="109">
        <v>29385.5</v>
      </c>
      <c r="BQ24" s="109">
        <v>0</v>
      </c>
      <c r="BR24" s="109">
        <v>0</v>
      </c>
      <c r="BS24" s="109">
        <v>0</v>
      </c>
      <c r="BT24" s="109">
        <v>0</v>
      </c>
      <c r="BU24" s="109">
        <v>0</v>
      </c>
      <c r="BV24" s="109">
        <v>7994</v>
      </c>
      <c r="BW24" s="109">
        <v>5267</v>
      </c>
      <c r="BX24" s="109">
        <v>0</v>
      </c>
      <c r="BY24" s="109">
        <v>1</v>
      </c>
      <c r="BZ24" s="109">
        <v>0</v>
      </c>
      <c r="CA24" s="658">
        <v>2112.9499999999998</v>
      </c>
      <c r="CB24" s="659"/>
      <c r="CC24" s="109">
        <v>0</v>
      </c>
      <c r="CD24" s="109">
        <v>11541</v>
      </c>
      <c r="CE24" s="109">
        <v>0</v>
      </c>
      <c r="CF24" s="109">
        <v>-16540</v>
      </c>
      <c r="CG24" s="109">
        <v>0</v>
      </c>
      <c r="CH24" s="109">
        <v>0</v>
      </c>
      <c r="CI24" s="109">
        <v>0</v>
      </c>
      <c r="CJ24" s="110">
        <v>0</v>
      </c>
      <c r="CK24" s="111">
        <f t="shared" si="0"/>
        <v>-16540</v>
      </c>
      <c r="CL24" s="111">
        <f t="shared" si="1"/>
        <v>0</v>
      </c>
    </row>
    <row r="25" spans="1:90" ht="26.4">
      <c r="A25" s="109">
        <v>302</v>
      </c>
      <c r="B25" s="109">
        <v>2028</v>
      </c>
      <c r="C25" s="109" t="s">
        <v>598</v>
      </c>
      <c r="D25" s="109" t="s">
        <v>594</v>
      </c>
      <c r="E25" s="109"/>
      <c r="F25" s="109" t="s">
        <v>588</v>
      </c>
      <c r="G25" s="109">
        <v>0</v>
      </c>
      <c r="H25" s="109">
        <v>1</v>
      </c>
      <c r="I25" s="109" t="s">
        <v>589</v>
      </c>
      <c r="J25" s="109" t="s">
        <v>590</v>
      </c>
      <c r="K25" s="109" t="s">
        <v>591</v>
      </c>
      <c r="L25" s="109" t="s">
        <v>592</v>
      </c>
      <c r="M25" s="109" t="s">
        <v>591</v>
      </c>
      <c r="N25" s="109" t="s">
        <v>593</v>
      </c>
      <c r="O25" s="109" t="s">
        <v>188</v>
      </c>
      <c r="P25" s="109" t="s">
        <v>188</v>
      </c>
      <c r="Q25" s="109">
        <v>26766.66</v>
      </c>
      <c r="R25" s="109">
        <v>0</v>
      </c>
      <c r="S25" s="109">
        <v>-1.03</v>
      </c>
      <c r="T25" s="109">
        <v>1204665.3</v>
      </c>
      <c r="U25" s="109">
        <v>0</v>
      </c>
      <c r="V25" s="109">
        <v>51852.02</v>
      </c>
      <c r="W25" s="109">
        <v>0</v>
      </c>
      <c r="X25" s="109">
        <v>65559.990000000005</v>
      </c>
      <c r="Y25" s="109">
        <v>25067.27</v>
      </c>
      <c r="Z25" s="109">
        <v>500</v>
      </c>
      <c r="AA25" s="109">
        <v>9236</v>
      </c>
      <c r="AB25" s="109">
        <v>8555.4500000000007</v>
      </c>
      <c r="AC25" s="109">
        <v>1150.49</v>
      </c>
      <c r="AD25" s="109">
        <v>0</v>
      </c>
      <c r="AE25" s="109">
        <v>0</v>
      </c>
      <c r="AF25" s="109">
        <v>1824.5</v>
      </c>
      <c r="AG25" s="109">
        <v>25136.69</v>
      </c>
      <c r="AH25" s="109">
        <v>0</v>
      </c>
      <c r="AI25" s="109">
        <v>0</v>
      </c>
      <c r="AJ25" s="109">
        <v>0</v>
      </c>
      <c r="AK25" s="109">
        <v>0</v>
      </c>
      <c r="AL25" s="109">
        <v>0</v>
      </c>
      <c r="AM25" s="109">
        <v>13839</v>
      </c>
      <c r="AN25" s="109">
        <v>81572</v>
      </c>
      <c r="AO25" s="109">
        <v>800622.98</v>
      </c>
      <c r="AP25" s="109">
        <v>1983.99</v>
      </c>
      <c r="AQ25" s="109">
        <v>214813.25</v>
      </c>
      <c r="AR25" s="109">
        <v>36710.81</v>
      </c>
      <c r="AS25" s="109">
        <v>89452.69</v>
      </c>
      <c r="AT25" s="109">
        <v>0</v>
      </c>
      <c r="AU25" s="109">
        <v>30707.03</v>
      </c>
      <c r="AV25" s="109">
        <v>6671.77</v>
      </c>
      <c r="AW25" s="109">
        <v>990</v>
      </c>
      <c r="AX25" s="109">
        <v>382.12</v>
      </c>
      <c r="AY25" s="109">
        <v>0</v>
      </c>
      <c r="AZ25" s="109">
        <v>15555.03</v>
      </c>
      <c r="BA25" s="109">
        <v>1026.48</v>
      </c>
      <c r="BB25" s="109">
        <v>19496.990000000002</v>
      </c>
      <c r="BC25" s="109">
        <v>2698.33</v>
      </c>
      <c r="BD25" s="109">
        <v>13116.76</v>
      </c>
      <c r="BE25" s="109">
        <v>19542.8</v>
      </c>
      <c r="BF25" s="109">
        <v>10570.24</v>
      </c>
      <c r="BG25" s="109">
        <v>21624.18</v>
      </c>
      <c r="BH25" s="109">
        <v>7049.26</v>
      </c>
      <c r="BI25" s="109">
        <v>0</v>
      </c>
      <c r="BJ25" s="109">
        <v>9367.49</v>
      </c>
      <c r="BK25" s="109">
        <v>6436.71</v>
      </c>
      <c r="BL25" s="109">
        <v>530.70000000000005</v>
      </c>
      <c r="BM25" s="109">
        <v>72943.31</v>
      </c>
      <c r="BN25" s="109">
        <v>23332.75</v>
      </c>
      <c r="BO25" s="109">
        <v>116259.6</v>
      </c>
      <c r="BP25" s="109">
        <v>28839.5</v>
      </c>
      <c r="BQ25" s="109">
        <v>0</v>
      </c>
      <c r="BR25" s="109">
        <v>0</v>
      </c>
      <c r="BS25" s="109">
        <v>0</v>
      </c>
      <c r="BT25" s="109">
        <v>0</v>
      </c>
      <c r="BU25" s="109">
        <v>0</v>
      </c>
      <c r="BV25" s="109">
        <v>6835</v>
      </c>
      <c r="BW25" s="109">
        <v>0</v>
      </c>
      <c r="BX25" s="109">
        <v>0</v>
      </c>
      <c r="BY25" s="109">
        <v>1</v>
      </c>
      <c r="BZ25" s="109">
        <v>0</v>
      </c>
      <c r="CA25" s="658">
        <v>4425.47</v>
      </c>
      <c r="CB25" s="659"/>
      <c r="CC25" s="109">
        <v>0</v>
      </c>
      <c r="CD25" s="109">
        <v>1507.9</v>
      </c>
      <c r="CE25" s="109">
        <v>0</v>
      </c>
      <c r="CF25" s="109">
        <v>-34999</v>
      </c>
      <c r="CG25" s="109">
        <v>901</v>
      </c>
      <c r="CH25" s="109">
        <v>0</v>
      </c>
      <c r="CI25" s="109">
        <v>0</v>
      </c>
      <c r="CJ25" s="110">
        <v>0</v>
      </c>
      <c r="CK25" s="111">
        <f t="shared" si="0"/>
        <v>-34999</v>
      </c>
      <c r="CL25" s="111">
        <f t="shared" si="1"/>
        <v>901</v>
      </c>
    </row>
    <row r="26" spans="1:90" ht="26.4">
      <c r="A26" s="109">
        <v>302</v>
      </c>
      <c r="B26" s="109">
        <v>2029</v>
      </c>
      <c r="C26" s="109" t="s">
        <v>66</v>
      </c>
      <c r="D26" s="109" t="s">
        <v>594</v>
      </c>
      <c r="E26" s="109"/>
      <c r="F26" s="109" t="s">
        <v>588</v>
      </c>
      <c r="G26" s="109">
        <v>0</v>
      </c>
      <c r="H26" s="109">
        <v>3</v>
      </c>
      <c r="I26" s="109" t="s">
        <v>589</v>
      </c>
      <c r="J26" s="109" t="s">
        <v>590</v>
      </c>
      <c r="K26" s="109" t="s">
        <v>591</v>
      </c>
      <c r="L26" s="109" t="s">
        <v>592</v>
      </c>
      <c r="M26" s="109" t="s">
        <v>591</v>
      </c>
      <c r="N26" s="109" t="s">
        <v>593</v>
      </c>
      <c r="O26" s="109" t="s">
        <v>188</v>
      </c>
      <c r="P26" s="109" t="s">
        <v>188</v>
      </c>
      <c r="Q26" s="109">
        <v>4470.97</v>
      </c>
      <c r="R26" s="109">
        <v>0</v>
      </c>
      <c r="S26" s="109">
        <v>11118</v>
      </c>
      <c r="T26" s="109">
        <v>2442052.8199999998</v>
      </c>
      <c r="U26" s="109">
        <v>0</v>
      </c>
      <c r="V26" s="109">
        <v>160985.04999999999</v>
      </c>
      <c r="W26" s="109">
        <v>0</v>
      </c>
      <c r="X26" s="109">
        <v>213920.02</v>
      </c>
      <c r="Y26" s="109">
        <v>1166.33</v>
      </c>
      <c r="Z26" s="109">
        <v>4267</v>
      </c>
      <c r="AA26" s="109">
        <v>0</v>
      </c>
      <c r="AB26" s="109">
        <v>41734.730000000003</v>
      </c>
      <c r="AC26" s="109">
        <v>35634.25</v>
      </c>
      <c r="AD26" s="109">
        <v>0</v>
      </c>
      <c r="AE26" s="109">
        <v>0</v>
      </c>
      <c r="AF26" s="109">
        <v>9726.2000000000007</v>
      </c>
      <c r="AG26" s="109">
        <v>6533.66</v>
      </c>
      <c r="AH26" s="109">
        <v>0</v>
      </c>
      <c r="AI26" s="109">
        <v>0</v>
      </c>
      <c r="AJ26" s="109">
        <v>0</v>
      </c>
      <c r="AK26" s="109">
        <v>0</v>
      </c>
      <c r="AL26" s="109">
        <v>0</v>
      </c>
      <c r="AM26" s="109">
        <v>35268.76</v>
      </c>
      <c r="AN26" s="109">
        <v>75707</v>
      </c>
      <c r="AO26" s="109">
        <v>1193971.0900000001</v>
      </c>
      <c r="AP26" s="109">
        <v>0</v>
      </c>
      <c r="AQ26" s="109">
        <v>780170.16</v>
      </c>
      <c r="AR26" s="109">
        <v>115414.57</v>
      </c>
      <c r="AS26" s="109">
        <v>68279.39</v>
      </c>
      <c r="AT26" s="109">
        <v>81855.89</v>
      </c>
      <c r="AU26" s="109">
        <v>173587.22</v>
      </c>
      <c r="AV26" s="109">
        <v>9894.83</v>
      </c>
      <c r="AW26" s="109">
        <v>3318.94</v>
      </c>
      <c r="AX26" s="109">
        <v>678.96</v>
      </c>
      <c r="AY26" s="109">
        <v>0</v>
      </c>
      <c r="AZ26" s="109">
        <v>21077.21</v>
      </c>
      <c r="BA26" s="109">
        <v>-146.24</v>
      </c>
      <c r="BB26" s="109">
        <v>3434.51</v>
      </c>
      <c r="BC26" s="109">
        <v>2089.25</v>
      </c>
      <c r="BD26" s="109">
        <v>58670.83</v>
      </c>
      <c r="BE26" s="109">
        <v>26112</v>
      </c>
      <c r="BF26" s="109">
        <v>20671.54</v>
      </c>
      <c r="BG26" s="109">
        <v>69482.759999999995</v>
      </c>
      <c r="BH26" s="109">
        <v>18029.32</v>
      </c>
      <c r="BI26" s="109">
        <v>0</v>
      </c>
      <c r="BJ26" s="109">
        <v>22427.439999999999</v>
      </c>
      <c r="BK26" s="109">
        <v>12469.18</v>
      </c>
      <c r="BL26" s="109">
        <v>14101.63</v>
      </c>
      <c r="BM26" s="109">
        <v>87965.77</v>
      </c>
      <c r="BN26" s="109">
        <v>66189.08</v>
      </c>
      <c r="BO26" s="109">
        <v>196968.92</v>
      </c>
      <c r="BP26" s="109">
        <v>41491.94</v>
      </c>
      <c r="BQ26" s="109">
        <v>0</v>
      </c>
      <c r="BR26" s="109">
        <v>0</v>
      </c>
      <c r="BS26" s="109">
        <v>0</v>
      </c>
      <c r="BT26" s="109">
        <v>0</v>
      </c>
      <c r="BU26" s="109">
        <v>0</v>
      </c>
      <c r="BV26" s="109">
        <v>9172.75</v>
      </c>
      <c r="BW26" s="109">
        <v>0</v>
      </c>
      <c r="BX26" s="109">
        <v>0</v>
      </c>
      <c r="BY26" s="109">
        <v>1</v>
      </c>
      <c r="BZ26" s="109">
        <v>0</v>
      </c>
      <c r="CA26" s="658">
        <v>-2280</v>
      </c>
      <c r="CB26" s="659"/>
      <c r="CC26" s="109">
        <v>0</v>
      </c>
      <c r="CD26" s="109">
        <v>0</v>
      </c>
      <c r="CE26" s="109">
        <v>0</v>
      </c>
      <c r="CF26" s="109">
        <v>-56739</v>
      </c>
      <c r="CG26" s="109">
        <v>22571</v>
      </c>
      <c r="CH26" s="109">
        <v>0</v>
      </c>
      <c r="CI26" s="109">
        <v>0</v>
      </c>
      <c r="CJ26" s="110">
        <v>0</v>
      </c>
      <c r="CK26" s="111">
        <f t="shared" si="0"/>
        <v>-56739</v>
      </c>
      <c r="CL26" s="111">
        <f t="shared" si="1"/>
        <v>22571</v>
      </c>
    </row>
    <row r="27" spans="1:90" ht="26.4">
      <c r="A27" s="109">
        <v>302</v>
      </c>
      <c r="B27" s="109">
        <v>2031</v>
      </c>
      <c r="C27" s="109" t="s">
        <v>69</v>
      </c>
      <c r="D27" s="109" t="s">
        <v>594</v>
      </c>
      <c r="E27" s="109"/>
      <c r="F27" s="109" t="s">
        <v>588</v>
      </c>
      <c r="G27" s="109">
        <v>0</v>
      </c>
      <c r="H27" s="109">
        <v>2</v>
      </c>
      <c r="I27" s="109" t="s">
        <v>589</v>
      </c>
      <c r="J27" s="109" t="s">
        <v>590</v>
      </c>
      <c r="K27" s="109" t="s">
        <v>591</v>
      </c>
      <c r="L27" s="109" t="s">
        <v>592</v>
      </c>
      <c r="M27" s="109" t="s">
        <v>591</v>
      </c>
      <c r="N27" s="109" t="s">
        <v>593</v>
      </c>
      <c r="O27" s="109" t="s">
        <v>188</v>
      </c>
      <c r="P27" s="109" t="s">
        <v>188</v>
      </c>
      <c r="Q27" s="109">
        <v>15444.26</v>
      </c>
      <c r="R27" s="109">
        <v>0</v>
      </c>
      <c r="S27" s="109">
        <v>8249.7900000000009</v>
      </c>
      <c r="T27" s="109">
        <v>1150979.49</v>
      </c>
      <c r="U27" s="109">
        <v>0</v>
      </c>
      <c r="V27" s="109">
        <v>43064.38</v>
      </c>
      <c r="W27" s="109">
        <v>0</v>
      </c>
      <c r="X27" s="109">
        <v>82045.05</v>
      </c>
      <c r="Y27" s="109">
        <v>0</v>
      </c>
      <c r="Z27" s="109">
        <v>7969.5</v>
      </c>
      <c r="AA27" s="109">
        <v>14558.48</v>
      </c>
      <c r="AB27" s="109">
        <v>24785.42</v>
      </c>
      <c r="AC27" s="109">
        <v>11385.43</v>
      </c>
      <c r="AD27" s="109">
        <v>0</v>
      </c>
      <c r="AE27" s="109">
        <v>0</v>
      </c>
      <c r="AF27" s="109">
        <v>16871.099999999999</v>
      </c>
      <c r="AG27" s="109">
        <v>7425.02</v>
      </c>
      <c r="AH27" s="109">
        <v>0</v>
      </c>
      <c r="AI27" s="109">
        <v>0</v>
      </c>
      <c r="AJ27" s="109">
        <v>0</v>
      </c>
      <c r="AK27" s="109">
        <v>0</v>
      </c>
      <c r="AL27" s="109">
        <v>0</v>
      </c>
      <c r="AM27" s="109">
        <v>14402.33</v>
      </c>
      <c r="AN27" s="109">
        <v>37814.83</v>
      </c>
      <c r="AO27" s="109">
        <v>688004.88</v>
      </c>
      <c r="AP27" s="109">
        <v>0</v>
      </c>
      <c r="AQ27" s="109">
        <v>310891.23</v>
      </c>
      <c r="AR27" s="109">
        <v>35349.18</v>
      </c>
      <c r="AS27" s="109">
        <v>80271.520000000004</v>
      </c>
      <c r="AT27" s="109">
        <v>0</v>
      </c>
      <c r="AU27" s="109">
        <v>30723.01</v>
      </c>
      <c r="AV27" s="109">
        <v>20417.66</v>
      </c>
      <c r="AW27" s="109">
        <v>2072.5</v>
      </c>
      <c r="AX27" s="109">
        <v>305.04000000000002</v>
      </c>
      <c r="AY27" s="109">
        <v>0</v>
      </c>
      <c r="AZ27" s="109">
        <v>4677.83</v>
      </c>
      <c r="BA27" s="109">
        <v>2655.56</v>
      </c>
      <c r="BB27" s="109">
        <v>24611.69</v>
      </c>
      <c r="BC27" s="109">
        <v>3729.82</v>
      </c>
      <c r="BD27" s="109">
        <v>11718.59</v>
      </c>
      <c r="BE27" s="109">
        <v>4019.2</v>
      </c>
      <c r="BF27" s="109">
        <v>11475.73</v>
      </c>
      <c r="BG27" s="109">
        <v>32600.55</v>
      </c>
      <c r="BH27" s="109">
        <v>7907.98</v>
      </c>
      <c r="BI27" s="109">
        <v>0</v>
      </c>
      <c r="BJ27" s="109">
        <v>8072.09</v>
      </c>
      <c r="BK27" s="109">
        <v>5620.82</v>
      </c>
      <c r="BL27" s="109">
        <v>7809.73</v>
      </c>
      <c r="BM27" s="109">
        <v>44983.54</v>
      </c>
      <c r="BN27" s="109">
        <v>32769.9</v>
      </c>
      <c r="BO27" s="109">
        <v>79344.77</v>
      </c>
      <c r="BP27" s="109">
        <v>18440</v>
      </c>
      <c r="BQ27" s="109">
        <v>0</v>
      </c>
      <c r="BR27" s="109">
        <v>0</v>
      </c>
      <c r="BS27" s="109">
        <v>0</v>
      </c>
      <c r="BT27" s="109">
        <v>0</v>
      </c>
      <c r="BU27" s="109">
        <v>0</v>
      </c>
      <c r="BV27" s="109">
        <v>29882.5</v>
      </c>
      <c r="BW27" s="109">
        <v>0</v>
      </c>
      <c r="BX27" s="109">
        <v>0</v>
      </c>
      <c r="BY27" s="109">
        <v>1</v>
      </c>
      <c r="BZ27" s="109">
        <v>0</v>
      </c>
      <c r="CA27" s="658">
        <v>23421</v>
      </c>
      <c r="CB27" s="659"/>
      <c r="CC27" s="109">
        <v>0</v>
      </c>
      <c r="CD27" s="109">
        <v>13922</v>
      </c>
      <c r="CE27" s="109">
        <v>0</v>
      </c>
      <c r="CF27" s="109">
        <v>-41728</v>
      </c>
      <c r="CG27" s="109">
        <v>789</v>
      </c>
      <c r="CH27" s="109">
        <v>0</v>
      </c>
      <c r="CI27" s="109">
        <v>0</v>
      </c>
      <c r="CJ27" s="110">
        <v>0</v>
      </c>
      <c r="CK27" s="111">
        <f t="shared" si="0"/>
        <v>-41728</v>
      </c>
      <c r="CL27" s="111">
        <f t="shared" si="1"/>
        <v>789</v>
      </c>
    </row>
    <row r="28" spans="1:90" ht="26.4">
      <c r="A28" s="109">
        <v>302</v>
      </c>
      <c r="B28" s="109">
        <v>2032</v>
      </c>
      <c r="C28" s="109" t="s">
        <v>70</v>
      </c>
      <c r="D28" s="109" t="s">
        <v>594</v>
      </c>
      <c r="E28" s="109"/>
      <c r="F28" s="109" t="s">
        <v>588</v>
      </c>
      <c r="G28" s="109">
        <v>0</v>
      </c>
      <c r="H28" s="109">
        <v>1</v>
      </c>
      <c r="I28" s="109" t="s">
        <v>589</v>
      </c>
      <c r="J28" s="109" t="s">
        <v>590</v>
      </c>
      <c r="K28" s="109" t="s">
        <v>591</v>
      </c>
      <c r="L28" s="109" t="s">
        <v>592</v>
      </c>
      <c r="M28" s="109" t="s">
        <v>591</v>
      </c>
      <c r="N28" s="109" t="s">
        <v>593</v>
      </c>
      <c r="O28" s="109" t="s">
        <v>188</v>
      </c>
      <c r="P28" s="109" t="s">
        <v>188</v>
      </c>
      <c r="Q28" s="109">
        <v>209903.29</v>
      </c>
      <c r="R28" s="109">
        <v>0</v>
      </c>
      <c r="S28" s="109">
        <v>-3537.75</v>
      </c>
      <c r="T28" s="109">
        <v>2195143.33</v>
      </c>
      <c r="U28" s="109">
        <v>0</v>
      </c>
      <c r="V28" s="109">
        <v>154328.1</v>
      </c>
      <c r="W28" s="109">
        <v>0</v>
      </c>
      <c r="X28" s="109">
        <v>128397.01</v>
      </c>
      <c r="Y28" s="109">
        <v>3475</v>
      </c>
      <c r="Z28" s="109">
        <v>0</v>
      </c>
      <c r="AA28" s="109">
        <v>0</v>
      </c>
      <c r="AB28" s="109">
        <v>103828.14</v>
      </c>
      <c r="AC28" s="109">
        <v>40491.33</v>
      </c>
      <c r="AD28" s="109">
        <v>0</v>
      </c>
      <c r="AE28" s="109">
        <v>0</v>
      </c>
      <c r="AF28" s="109">
        <v>1738</v>
      </c>
      <c r="AG28" s="109">
        <v>33206.620000000003</v>
      </c>
      <c r="AH28" s="109">
        <v>0</v>
      </c>
      <c r="AI28" s="109">
        <v>0</v>
      </c>
      <c r="AJ28" s="109">
        <v>0</v>
      </c>
      <c r="AK28" s="109">
        <v>0</v>
      </c>
      <c r="AL28" s="109">
        <v>0</v>
      </c>
      <c r="AM28" s="109">
        <v>0</v>
      </c>
      <c r="AN28" s="109">
        <v>102467.88</v>
      </c>
      <c r="AO28" s="109">
        <v>1324833.1200000001</v>
      </c>
      <c r="AP28" s="109">
        <v>0</v>
      </c>
      <c r="AQ28" s="109">
        <v>688786.25</v>
      </c>
      <c r="AR28" s="109">
        <v>38931.26</v>
      </c>
      <c r="AS28" s="109">
        <v>39995.29</v>
      </c>
      <c r="AT28" s="109">
        <v>0</v>
      </c>
      <c r="AU28" s="109">
        <v>46087.21</v>
      </c>
      <c r="AV28" s="109">
        <v>9506.82</v>
      </c>
      <c r="AW28" s="109">
        <v>4899.3</v>
      </c>
      <c r="AX28" s="109">
        <v>1772.06</v>
      </c>
      <c r="AY28" s="109">
        <v>0</v>
      </c>
      <c r="AZ28" s="109">
        <v>38975.26</v>
      </c>
      <c r="BA28" s="109">
        <v>3946.77</v>
      </c>
      <c r="BB28" s="109">
        <v>57529.81</v>
      </c>
      <c r="BC28" s="109">
        <v>5645.71</v>
      </c>
      <c r="BD28" s="109">
        <v>30927.040000000001</v>
      </c>
      <c r="BE28" s="109">
        <v>26880</v>
      </c>
      <c r="BF28" s="109">
        <v>8979.44</v>
      </c>
      <c r="BG28" s="109">
        <v>66244.600000000006</v>
      </c>
      <c r="BH28" s="109">
        <v>15255.19</v>
      </c>
      <c r="BI28" s="109">
        <v>0</v>
      </c>
      <c r="BJ28" s="109">
        <v>16461.43</v>
      </c>
      <c r="BK28" s="109">
        <v>12986.06</v>
      </c>
      <c r="BL28" s="109">
        <v>3157</v>
      </c>
      <c r="BM28" s="109">
        <v>119021.45</v>
      </c>
      <c r="BN28" s="109">
        <v>186864.14</v>
      </c>
      <c r="BO28" s="109">
        <v>72070</v>
      </c>
      <c r="BP28" s="109">
        <v>44272.67</v>
      </c>
      <c r="BQ28" s="109">
        <v>0</v>
      </c>
      <c r="BR28" s="109">
        <v>0</v>
      </c>
      <c r="BS28" s="109">
        <v>0</v>
      </c>
      <c r="BT28" s="109">
        <v>0</v>
      </c>
      <c r="BU28" s="109">
        <v>0</v>
      </c>
      <c r="BV28" s="109">
        <v>9489</v>
      </c>
      <c r="BW28" s="109">
        <v>0</v>
      </c>
      <c r="BX28" s="109">
        <v>0</v>
      </c>
      <c r="BY28" s="109">
        <v>1</v>
      </c>
      <c r="BZ28" s="109">
        <v>0</v>
      </c>
      <c r="CA28" s="658">
        <v>9022.11</v>
      </c>
      <c r="CB28" s="659"/>
      <c r="CC28" s="109">
        <v>0</v>
      </c>
      <c r="CD28" s="109">
        <v>0</v>
      </c>
      <c r="CE28" s="109">
        <v>10000</v>
      </c>
      <c r="CF28" s="109">
        <v>98951</v>
      </c>
      <c r="CG28" s="109">
        <v>-3071</v>
      </c>
      <c r="CH28" s="109">
        <v>0</v>
      </c>
      <c r="CI28" s="109">
        <v>0</v>
      </c>
      <c r="CJ28" s="110">
        <v>0</v>
      </c>
      <c r="CK28" s="111">
        <f t="shared" si="0"/>
        <v>108951</v>
      </c>
      <c r="CL28" s="111">
        <f t="shared" si="1"/>
        <v>-3071</v>
      </c>
    </row>
    <row r="29" spans="1:90" ht="26.4">
      <c r="A29" s="109">
        <v>302</v>
      </c>
      <c r="B29" s="109">
        <v>2036</v>
      </c>
      <c r="C29" s="109" t="s">
        <v>72</v>
      </c>
      <c r="D29" s="109" t="s">
        <v>594</v>
      </c>
      <c r="E29" s="109"/>
      <c r="F29" s="109" t="s">
        <v>588</v>
      </c>
      <c r="G29" s="109">
        <v>0</v>
      </c>
      <c r="H29" s="109">
        <v>0</v>
      </c>
      <c r="I29" s="109" t="s">
        <v>589</v>
      </c>
      <c r="J29" s="109" t="s">
        <v>590</v>
      </c>
      <c r="K29" s="109" t="s">
        <v>591</v>
      </c>
      <c r="L29" s="109" t="s">
        <v>592</v>
      </c>
      <c r="M29" s="109" t="s">
        <v>591</v>
      </c>
      <c r="N29" s="109" t="s">
        <v>593</v>
      </c>
      <c r="O29" s="109" t="s">
        <v>188</v>
      </c>
      <c r="P29" s="109" t="s">
        <v>188</v>
      </c>
      <c r="Q29" s="109">
        <v>630071.93000000005</v>
      </c>
      <c r="R29" s="109">
        <v>0</v>
      </c>
      <c r="S29" s="109">
        <v>0</v>
      </c>
      <c r="T29" s="109">
        <v>1777587</v>
      </c>
      <c r="U29" s="109">
        <v>0</v>
      </c>
      <c r="V29" s="109">
        <v>380447</v>
      </c>
      <c r="W29" s="109">
        <v>0</v>
      </c>
      <c r="X29" s="109">
        <v>138535</v>
      </c>
      <c r="Y29" s="109">
        <v>1182</v>
      </c>
      <c r="Z29" s="109">
        <v>4001</v>
      </c>
      <c r="AA29" s="109">
        <v>6800</v>
      </c>
      <c r="AB29" s="109">
        <v>60294</v>
      </c>
      <c r="AC29" s="109">
        <v>13268</v>
      </c>
      <c r="AD29" s="109">
        <v>0</v>
      </c>
      <c r="AE29" s="109">
        <v>0</v>
      </c>
      <c r="AF29" s="109">
        <v>33194</v>
      </c>
      <c r="AG29" s="109">
        <v>3764</v>
      </c>
      <c r="AH29" s="109">
        <v>0</v>
      </c>
      <c r="AI29" s="109">
        <v>0</v>
      </c>
      <c r="AJ29" s="109">
        <v>0</v>
      </c>
      <c r="AK29" s="109">
        <v>0</v>
      </c>
      <c r="AL29" s="109">
        <v>0</v>
      </c>
      <c r="AM29" s="109">
        <v>0</v>
      </c>
      <c r="AN29" s="109">
        <v>65090</v>
      </c>
      <c r="AO29" s="109">
        <v>1074740</v>
      </c>
      <c r="AP29" s="109">
        <v>5901</v>
      </c>
      <c r="AQ29" s="109">
        <v>652145</v>
      </c>
      <c r="AR29" s="109">
        <v>80377</v>
      </c>
      <c r="AS29" s="109">
        <v>32629</v>
      </c>
      <c r="AT29" s="109">
        <v>0</v>
      </c>
      <c r="AU29" s="109">
        <v>64101</v>
      </c>
      <c r="AV29" s="109">
        <v>12291</v>
      </c>
      <c r="AW29" s="109">
        <v>4978</v>
      </c>
      <c r="AX29" s="109">
        <v>387</v>
      </c>
      <c r="AY29" s="109">
        <v>0</v>
      </c>
      <c r="AZ29" s="109">
        <v>28210</v>
      </c>
      <c r="BA29" s="109">
        <v>11272</v>
      </c>
      <c r="BB29" s="109">
        <v>7367</v>
      </c>
      <c r="BC29" s="109">
        <v>1284</v>
      </c>
      <c r="BD29" s="109">
        <v>25642</v>
      </c>
      <c r="BE29" s="109">
        <v>23453</v>
      </c>
      <c r="BF29" s="109">
        <v>12511</v>
      </c>
      <c r="BG29" s="109">
        <v>82029</v>
      </c>
      <c r="BH29" s="109">
        <v>27903</v>
      </c>
      <c r="BI29" s="109">
        <v>0</v>
      </c>
      <c r="BJ29" s="109">
        <v>16555</v>
      </c>
      <c r="BK29" s="109">
        <v>11110</v>
      </c>
      <c r="BL29" s="109">
        <v>10218</v>
      </c>
      <c r="BM29" s="109">
        <v>65568</v>
      </c>
      <c r="BN29" s="109">
        <v>0</v>
      </c>
      <c r="BO29" s="109">
        <v>73572</v>
      </c>
      <c r="BP29" s="109">
        <v>41747</v>
      </c>
      <c r="BQ29" s="109">
        <v>0</v>
      </c>
      <c r="BR29" s="109">
        <v>0</v>
      </c>
      <c r="BS29" s="109">
        <v>0</v>
      </c>
      <c r="BT29" s="109">
        <v>0</v>
      </c>
      <c r="BU29" s="109">
        <v>0</v>
      </c>
      <c r="BV29" s="109">
        <v>7552.75</v>
      </c>
      <c r="BW29" s="109">
        <v>0</v>
      </c>
      <c r="BX29" s="109">
        <v>0</v>
      </c>
      <c r="BY29" s="109">
        <v>1</v>
      </c>
      <c r="BZ29" s="109">
        <v>0</v>
      </c>
      <c r="CA29" s="658">
        <v>0</v>
      </c>
      <c r="CB29" s="659"/>
      <c r="CC29" s="109">
        <v>0</v>
      </c>
      <c r="CD29" s="109">
        <v>0</v>
      </c>
      <c r="CE29" s="109">
        <v>107593</v>
      </c>
      <c r="CF29" s="109">
        <v>640651</v>
      </c>
      <c r="CG29" s="109">
        <v>0</v>
      </c>
      <c r="CH29" s="109">
        <v>7553</v>
      </c>
      <c r="CI29" s="109">
        <v>0</v>
      </c>
      <c r="CJ29" s="110">
        <v>0</v>
      </c>
      <c r="CK29" s="111">
        <f t="shared" si="0"/>
        <v>748244</v>
      </c>
      <c r="CL29" s="111">
        <f t="shared" si="1"/>
        <v>7553</v>
      </c>
    </row>
    <row r="30" spans="1:90" ht="26.4">
      <c r="A30" s="109">
        <v>302</v>
      </c>
      <c r="B30" s="109">
        <v>2037</v>
      </c>
      <c r="C30" s="109" t="s">
        <v>599</v>
      </c>
      <c r="D30" s="109" t="s">
        <v>594</v>
      </c>
      <c r="E30" s="109"/>
      <c r="F30" s="109" t="s">
        <v>588</v>
      </c>
      <c r="G30" s="109">
        <v>0</v>
      </c>
      <c r="H30" s="109">
        <v>0</v>
      </c>
      <c r="I30" s="109" t="s">
        <v>589</v>
      </c>
      <c r="J30" s="109" t="s">
        <v>590</v>
      </c>
      <c r="K30" s="109" t="s">
        <v>591</v>
      </c>
      <c r="L30" s="109" t="s">
        <v>592</v>
      </c>
      <c r="M30" s="109" t="s">
        <v>591</v>
      </c>
      <c r="N30" s="109" t="s">
        <v>593</v>
      </c>
      <c r="O30" s="109" t="s">
        <v>188</v>
      </c>
      <c r="P30" s="109" t="s">
        <v>188</v>
      </c>
      <c r="Q30" s="109">
        <v>94671.74</v>
      </c>
      <c r="R30" s="109">
        <v>0</v>
      </c>
      <c r="S30" s="109">
        <v>28547.25</v>
      </c>
      <c r="T30" s="109">
        <v>1456514.98</v>
      </c>
      <c r="U30" s="109">
        <v>0</v>
      </c>
      <c r="V30" s="109">
        <v>62781.75</v>
      </c>
      <c r="W30" s="109">
        <v>0</v>
      </c>
      <c r="X30" s="109">
        <v>60232.99</v>
      </c>
      <c r="Y30" s="109">
        <v>7500</v>
      </c>
      <c r="Z30" s="109">
        <v>0</v>
      </c>
      <c r="AA30" s="109">
        <v>16284</v>
      </c>
      <c r="AB30" s="109">
        <v>47168.74</v>
      </c>
      <c r="AC30" s="109">
        <v>21503.74</v>
      </c>
      <c r="AD30" s="109">
        <v>3367</v>
      </c>
      <c r="AE30" s="109">
        <v>1560</v>
      </c>
      <c r="AF30" s="109">
        <v>29761.3</v>
      </c>
      <c r="AG30" s="109">
        <v>11753.19</v>
      </c>
      <c r="AH30" s="109">
        <v>0</v>
      </c>
      <c r="AI30" s="109">
        <v>0</v>
      </c>
      <c r="AJ30" s="109">
        <v>0</v>
      </c>
      <c r="AK30" s="109">
        <v>0</v>
      </c>
      <c r="AL30" s="109">
        <v>0</v>
      </c>
      <c r="AM30" s="109">
        <v>14782.5</v>
      </c>
      <c r="AN30" s="109">
        <v>44326</v>
      </c>
      <c r="AO30" s="109">
        <v>706572.26</v>
      </c>
      <c r="AP30" s="109">
        <v>0</v>
      </c>
      <c r="AQ30" s="109">
        <v>362057.81</v>
      </c>
      <c r="AR30" s="109">
        <v>40272.6</v>
      </c>
      <c r="AS30" s="109">
        <v>58928.79</v>
      </c>
      <c r="AT30" s="109">
        <v>0</v>
      </c>
      <c r="AU30" s="109">
        <v>80602.63</v>
      </c>
      <c r="AV30" s="109">
        <v>8548.68</v>
      </c>
      <c r="AW30" s="109">
        <v>2704.65</v>
      </c>
      <c r="AX30" s="109">
        <v>434.6</v>
      </c>
      <c r="AY30" s="109">
        <v>1958</v>
      </c>
      <c r="AZ30" s="109">
        <v>6581.76</v>
      </c>
      <c r="BA30" s="109">
        <v>182.88</v>
      </c>
      <c r="BB30" s="109">
        <v>28744.6</v>
      </c>
      <c r="BC30" s="109">
        <v>1725.27</v>
      </c>
      <c r="BD30" s="109">
        <v>36511.43</v>
      </c>
      <c r="BE30" s="109">
        <v>27431</v>
      </c>
      <c r="BF30" s="109">
        <v>7898.39</v>
      </c>
      <c r="BG30" s="109">
        <v>50474.61</v>
      </c>
      <c r="BH30" s="109">
        <v>12201.44</v>
      </c>
      <c r="BI30" s="109">
        <v>0</v>
      </c>
      <c r="BJ30" s="109">
        <v>9824.6299999999992</v>
      </c>
      <c r="BK30" s="109">
        <v>8088.55</v>
      </c>
      <c r="BL30" s="109">
        <v>11233.31</v>
      </c>
      <c r="BM30" s="109">
        <v>64663.77</v>
      </c>
      <c r="BN30" s="109">
        <v>37517.01</v>
      </c>
      <c r="BO30" s="109">
        <v>60050.3</v>
      </c>
      <c r="BP30" s="109">
        <v>31696.09</v>
      </c>
      <c r="BQ30" s="109">
        <v>750</v>
      </c>
      <c r="BR30" s="109">
        <v>0</v>
      </c>
      <c r="BS30" s="109">
        <v>0</v>
      </c>
      <c r="BT30" s="109">
        <v>0</v>
      </c>
      <c r="BU30" s="109">
        <v>0</v>
      </c>
      <c r="BV30" s="109">
        <v>7209</v>
      </c>
      <c r="BW30" s="109">
        <v>0</v>
      </c>
      <c r="BX30" s="109">
        <v>0</v>
      </c>
      <c r="BY30" s="109">
        <v>1</v>
      </c>
      <c r="BZ30" s="109">
        <v>0</v>
      </c>
      <c r="CA30" s="658">
        <v>13910.19</v>
      </c>
      <c r="CB30" s="659"/>
      <c r="CC30" s="109">
        <v>0</v>
      </c>
      <c r="CD30" s="109">
        <v>0</v>
      </c>
      <c r="CE30" s="109">
        <v>214553</v>
      </c>
      <c r="CF30" s="109">
        <v>0</v>
      </c>
      <c r="CG30" s="109">
        <v>21846</v>
      </c>
      <c r="CH30" s="109">
        <v>0</v>
      </c>
      <c r="CI30" s="109">
        <v>0</v>
      </c>
      <c r="CJ30" s="110">
        <v>0</v>
      </c>
      <c r="CK30" s="111">
        <f t="shared" si="0"/>
        <v>214553</v>
      </c>
      <c r="CL30" s="111">
        <f t="shared" si="1"/>
        <v>21846</v>
      </c>
    </row>
    <row r="31" spans="1:90" ht="26.4">
      <c r="A31" s="109">
        <v>302</v>
      </c>
      <c r="B31" s="109">
        <v>2042</v>
      </c>
      <c r="C31" s="109" t="s">
        <v>79</v>
      </c>
      <c r="D31" s="109" t="s">
        <v>594</v>
      </c>
      <c r="E31" s="109"/>
      <c r="F31" s="109" t="s">
        <v>588</v>
      </c>
      <c r="G31" s="109">
        <v>0</v>
      </c>
      <c r="H31" s="109">
        <v>0</v>
      </c>
      <c r="I31" s="109" t="s">
        <v>589</v>
      </c>
      <c r="J31" s="109" t="s">
        <v>590</v>
      </c>
      <c r="K31" s="109" t="s">
        <v>591</v>
      </c>
      <c r="L31" s="109" t="s">
        <v>592</v>
      </c>
      <c r="M31" s="109" t="s">
        <v>591</v>
      </c>
      <c r="N31" s="109" t="s">
        <v>593</v>
      </c>
      <c r="O31" s="109" t="s">
        <v>188</v>
      </c>
      <c r="P31" s="109" t="s">
        <v>188</v>
      </c>
      <c r="Q31" s="109">
        <v>320326.2</v>
      </c>
      <c r="R31" s="109">
        <v>0</v>
      </c>
      <c r="S31" s="109">
        <v>15595</v>
      </c>
      <c r="T31" s="109">
        <v>1843083.45</v>
      </c>
      <c r="U31" s="109">
        <v>0</v>
      </c>
      <c r="V31" s="109">
        <v>104676.27</v>
      </c>
      <c r="W31" s="109">
        <v>0</v>
      </c>
      <c r="X31" s="109">
        <v>53184.959999999999</v>
      </c>
      <c r="Y31" s="109">
        <v>0</v>
      </c>
      <c r="Z31" s="109">
        <v>0</v>
      </c>
      <c r="AA31" s="109">
        <v>96688.66</v>
      </c>
      <c r="AB31" s="109">
        <v>16372.32</v>
      </c>
      <c r="AC31" s="109">
        <v>45168.75</v>
      </c>
      <c r="AD31" s="109">
        <v>3500</v>
      </c>
      <c r="AE31" s="109">
        <v>0</v>
      </c>
      <c r="AF31" s="109">
        <v>29755.83</v>
      </c>
      <c r="AG31" s="109">
        <v>16660.830000000002</v>
      </c>
      <c r="AH31" s="109">
        <v>0</v>
      </c>
      <c r="AI31" s="109">
        <v>0</v>
      </c>
      <c r="AJ31" s="109">
        <v>0</v>
      </c>
      <c r="AK31" s="109">
        <v>0</v>
      </c>
      <c r="AL31" s="109">
        <v>21673.82</v>
      </c>
      <c r="AM31" s="109">
        <v>19503.330000000002</v>
      </c>
      <c r="AN31" s="109">
        <v>71211</v>
      </c>
      <c r="AO31" s="109">
        <v>1012470.6</v>
      </c>
      <c r="AP31" s="109">
        <v>0</v>
      </c>
      <c r="AQ31" s="109">
        <v>524192.04</v>
      </c>
      <c r="AR31" s="109">
        <v>27728.21</v>
      </c>
      <c r="AS31" s="109">
        <v>74152.710000000006</v>
      </c>
      <c r="AT31" s="109">
        <v>0</v>
      </c>
      <c r="AU31" s="109">
        <v>147422.48000000001</v>
      </c>
      <c r="AV31" s="109">
        <v>8248.56</v>
      </c>
      <c r="AW31" s="109">
        <v>1175</v>
      </c>
      <c r="AX31" s="109">
        <v>13776.37</v>
      </c>
      <c r="AY31" s="109">
        <v>0</v>
      </c>
      <c r="AZ31" s="109">
        <v>12250.29</v>
      </c>
      <c r="BA31" s="109">
        <v>4475.49</v>
      </c>
      <c r="BB31" s="109">
        <v>36730.300000000003</v>
      </c>
      <c r="BC31" s="109">
        <v>3596.31</v>
      </c>
      <c r="BD31" s="109">
        <v>22378.41</v>
      </c>
      <c r="BE31" s="109">
        <v>31232</v>
      </c>
      <c r="BF31" s="109">
        <v>8177.7</v>
      </c>
      <c r="BG31" s="109">
        <v>87299.51</v>
      </c>
      <c r="BH31" s="109">
        <v>6368.64</v>
      </c>
      <c r="BI31" s="109">
        <v>0</v>
      </c>
      <c r="BJ31" s="109">
        <v>27189.119999999999</v>
      </c>
      <c r="BK31" s="109">
        <v>11711.75</v>
      </c>
      <c r="BL31" s="109">
        <v>7450.28</v>
      </c>
      <c r="BM31" s="109">
        <v>122369.17</v>
      </c>
      <c r="BN31" s="109">
        <v>10983.83</v>
      </c>
      <c r="BO31" s="109">
        <v>83253.91</v>
      </c>
      <c r="BP31" s="109">
        <v>15547.35</v>
      </c>
      <c r="BQ31" s="109">
        <v>0</v>
      </c>
      <c r="BR31" s="109">
        <v>0</v>
      </c>
      <c r="BS31" s="109">
        <v>5154</v>
      </c>
      <c r="BT31" s="109">
        <v>0</v>
      </c>
      <c r="BU31" s="109">
        <v>0</v>
      </c>
      <c r="BV31" s="109">
        <v>8438</v>
      </c>
      <c r="BW31" s="109">
        <v>0</v>
      </c>
      <c r="BX31" s="109">
        <v>5154</v>
      </c>
      <c r="BY31" s="109">
        <v>1</v>
      </c>
      <c r="BZ31" s="109">
        <v>0</v>
      </c>
      <c r="CA31" s="658">
        <v>3015.11</v>
      </c>
      <c r="CB31" s="659"/>
      <c r="CC31" s="109">
        <v>0</v>
      </c>
      <c r="CD31" s="109">
        <v>0</v>
      </c>
      <c r="CE31" s="109">
        <v>56005</v>
      </c>
      <c r="CF31" s="109">
        <v>280467</v>
      </c>
      <c r="CG31" s="109">
        <v>26172</v>
      </c>
      <c r="CH31" s="109">
        <v>0</v>
      </c>
      <c r="CI31" s="109">
        <v>0</v>
      </c>
      <c r="CJ31" s="110">
        <v>0</v>
      </c>
      <c r="CK31" s="111">
        <f t="shared" si="0"/>
        <v>336472</v>
      </c>
      <c r="CL31" s="111">
        <f t="shared" si="1"/>
        <v>26172</v>
      </c>
    </row>
    <row r="32" spans="1:90" ht="26.4">
      <c r="A32" s="109">
        <v>302</v>
      </c>
      <c r="B32" s="109">
        <v>2043</v>
      </c>
      <c r="C32" s="109" t="s">
        <v>81</v>
      </c>
      <c r="D32" s="109" t="s">
        <v>594</v>
      </c>
      <c r="E32" s="109"/>
      <c r="F32" s="109" t="s">
        <v>588</v>
      </c>
      <c r="G32" s="109">
        <v>0</v>
      </c>
      <c r="H32" s="109">
        <v>1</v>
      </c>
      <c r="I32" s="109" t="s">
        <v>589</v>
      </c>
      <c r="J32" s="109" t="s">
        <v>590</v>
      </c>
      <c r="K32" s="109" t="s">
        <v>591</v>
      </c>
      <c r="L32" s="109" t="s">
        <v>592</v>
      </c>
      <c r="M32" s="109" t="s">
        <v>591</v>
      </c>
      <c r="N32" s="109" t="s">
        <v>593</v>
      </c>
      <c r="O32" s="109" t="s">
        <v>188</v>
      </c>
      <c r="P32" s="109" t="s">
        <v>188</v>
      </c>
      <c r="Q32" s="109">
        <v>-70477.63</v>
      </c>
      <c r="R32" s="109">
        <v>0</v>
      </c>
      <c r="S32" s="109">
        <v>2089.5</v>
      </c>
      <c r="T32" s="109">
        <v>1943889.57</v>
      </c>
      <c r="U32" s="109">
        <v>0</v>
      </c>
      <c r="V32" s="109">
        <v>128084.37</v>
      </c>
      <c r="W32" s="109">
        <v>0</v>
      </c>
      <c r="X32" s="109">
        <v>129085.05</v>
      </c>
      <c r="Y32" s="109">
        <v>2723.6</v>
      </c>
      <c r="Z32" s="109">
        <v>250</v>
      </c>
      <c r="AA32" s="109">
        <v>92484.25</v>
      </c>
      <c r="AB32" s="109">
        <v>6550.25</v>
      </c>
      <c r="AC32" s="109">
        <v>74708.899999999994</v>
      </c>
      <c r="AD32" s="109">
        <v>0</v>
      </c>
      <c r="AE32" s="109">
        <v>0</v>
      </c>
      <c r="AF32" s="109">
        <v>23746.94</v>
      </c>
      <c r="AG32" s="109">
        <v>7575.42</v>
      </c>
      <c r="AH32" s="109">
        <v>0</v>
      </c>
      <c r="AI32" s="109">
        <v>0</v>
      </c>
      <c r="AJ32" s="109">
        <v>0</v>
      </c>
      <c r="AK32" s="109">
        <v>0</v>
      </c>
      <c r="AL32" s="109">
        <v>0</v>
      </c>
      <c r="AM32" s="109">
        <v>21578.75</v>
      </c>
      <c r="AN32" s="109">
        <v>27172.25</v>
      </c>
      <c r="AO32" s="109">
        <v>1275581.24</v>
      </c>
      <c r="AP32" s="109">
        <v>0</v>
      </c>
      <c r="AQ32" s="109">
        <v>452297.6</v>
      </c>
      <c r="AR32" s="109">
        <v>37578.910000000003</v>
      </c>
      <c r="AS32" s="109">
        <v>65889.279999999999</v>
      </c>
      <c r="AT32" s="109">
        <v>0</v>
      </c>
      <c r="AU32" s="109">
        <v>35428.47</v>
      </c>
      <c r="AV32" s="109">
        <v>16614.11</v>
      </c>
      <c r="AW32" s="109">
        <v>11387</v>
      </c>
      <c r="AX32" s="109">
        <v>4745.53</v>
      </c>
      <c r="AY32" s="109">
        <v>4012.46</v>
      </c>
      <c r="AZ32" s="109">
        <v>41949.18</v>
      </c>
      <c r="BA32" s="109">
        <v>6325.7</v>
      </c>
      <c r="BB32" s="109">
        <v>79647.56</v>
      </c>
      <c r="BC32" s="109">
        <v>13893.48</v>
      </c>
      <c r="BD32" s="109">
        <v>47721.34</v>
      </c>
      <c r="BE32" s="109">
        <v>16000</v>
      </c>
      <c r="BF32" s="109">
        <v>9885.7199999999993</v>
      </c>
      <c r="BG32" s="109">
        <v>71319.360000000001</v>
      </c>
      <c r="BH32" s="109">
        <v>15273.95</v>
      </c>
      <c r="BI32" s="109">
        <v>0</v>
      </c>
      <c r="BJ32" s="109">
        <v>19568.939999999999</v>
      </c>
      <c r="BK32" s="109">
        <v>12248.89</v>
      </c>
      <c r="BL32" s="109">
        <v>1156.17</v>
      </c>
      <c r="BM32" s="109">
        <v>90970.77</v>
      </c>
      <c r="BN32" s="109">
        <v>57608.7</v>
      </c>
      <c r="BO32" s="109">
        <v>126933.15</v>
      </c>
      <c r="BP32" s="109">
        <v>45477.82</v>
      </c>
      <c r="BQ32" s="109">
        <v>0</v>
      </c>
      <c r="BR32" s="109">
        <v>0</v>
      </c>
      <c r="BS32" s="109">
        <v>0</v>
      </c>
      <c r="BT32" s="109">
        <v>0</v>
      </c>
      <c r="BU32" s="109">
        <v>0</v>
      </c>
      <c r="BV32" s="109">
        <v>9186</v>
      </c>
      <c r="BW32" s="109">
        <v>0</v>
      </c>
      <c r="BX32" s="109">
        <v>0</v>
      </c>
      <c r="BY32" s="109">
        <v>1</v>
      </c>
      <c r="BZ32" s="109">
        <v>0</v>
      </c>
      <c r="CA32" s="658">
        <v>0</v>
      </c>
      <c r="CB32" s="659"/>
      <c r="CC32" s="109">
        <v>0</v>
      </c>
      <c r="CD32" s="109">
        <v>5662.32</v>
      </c>
      <c r="CE32" s="109">
        <v>0</v>
      </c>
      <c r="CF32" s="109">
        <v>-172144</v>
      </c>
      <c r="CG32" s="109">
        <v>5613</v>
      </c>
      <c r="CH32" s="109">
        <v>0</v>
      </c>
      <c r="CI32" s="109">
        <v>0</v>
      </c>
      <c r="CJ32" s="110">
        <v>0</v>
      </c>
      <c r="CK32" s="111">
        <f t="shared" si="0"/>
        <v>-172144</v>
      </c>
      <c r="CL32" s="111">
        <f t="shared" si="1"/>
        <v>5613</v>
      </c>
    </row>
    <row r="33" spans="1:90" ht="26.4">
      <c r="A33" s="109">
        <v>302</v>
      </c>
      <c r="B33" s="109">
        <v>2044</v>
      </c>
      <c r="C33" s="109" t="s">
        <v>80</v>
      </c>
      <c r="D33" s="109" t="s">
        <v>594</v>
      </c>
      <c r="E33" s="109"/>
      <c r="F33" s="109" t="s">
        <v>588</v>
      </c>
      <c r="G33" s="109">
        <v>0</v>
      </c>
      <c r="H33" s="109">
        <v>1</v>
      </c>
      <c r="I33" s="109" t="s">
        <v>589</v>
      </c>
      <c r="J33" s="109" t="s">
        <v>590</v>
      </c>
      <c r="K33" s="109" t="s">
        <v>591</v>
      </c>
      <c r="L33" s="109" t="s">
        <v>592</v>
      </c>
      <c r="M33" s="109" t="s">
        <v>591</v>
      </c>
      <c r="N33" s="109" t="s">
        <v>593</v>
      </c>
      <c r="O33" s="109" t="s">
        <v>188</v>
      </c>
      <c r="P33" s="109" t="s">
        <v>188</v>
      </c>
      <c r="Q33" s="109">
        <v>15994.87</v>
      </c>
      <c r="R33" s="109">
        <v>0</v>
      </c>
      <c r="S33" s="109">
        <v>0</v>
      </c>
      <c r="T33" s="109">
        <v>1646250.35</v>
      </c>
      <c r="U33" s="109">
        <v>0</v>
      </c>
      <c r="V33" s="109">
        <v>27642.400000000001</v>
      </c>
      <c r="W33" s="109">
        <v>0</v>
      </c>
      <c r="X33" s="109">
        <v>45384.959999999999</v>
      </c>
      <c r="Y33" s="109">
        <v>2363.9699999999998</v>
      </c>
      <c r="Z33" s="109">
        <v>6667</v>
      </c>
      <c r="AA33" s="109">
        <v>8064.04</v>
      </c>
      <c r="AB33" s="109">
        <v>44086.239999999998</v>
      </c>
      <c r="AC33" s="109">
        <v>541.6</v>
      </c>
      <c r="AD33" s="109">
        <v>18850</v>
      </c>
      <c r="AE33" s="109">
        <v>99.6</v>
      </c>
      <c r="AF33" s="109">
        <v>7822.77</v>
      </c>
      <c r="AG33" s="109">
        <v>14460.6</v>
      </c>
      <c r="AH33" s="109">
        <v>0</v>
      </c>
      <c r="AI33" s="109">
        <v>0</v>
      </c>
      <c r="AJ33" s="109">
        <v>0</v>
      </c>
      <c r="AK33" s="109">
        <v>0</v>
      </c>
      <c r="AL33" s="109">
        <v>0</v>
      </c>
      <c r="AM33" s="109">
        <v>15982.5</v>
      </c>
      <c r="AN33" s="109">
        <v>152558</v>
      </c>
      <c r="AO33" s="109">
        <v>856436.87</v>
      </c>
      <c r="AP33" s="109">
        <v>0</v>
      </c>
      <c r="AQ33" s="109">
        <v>294900.53000000003</v>
      </c>
      <c r="AR33" s="109">
        <v>32374.82</v>
      </c>
      <c r="AS33" s="109">
        <v>80105.38</v>
      </c>
      <c r="AT33" s="109">
        <v>0</v>
      </c>
      <c r="AU33" s="109">
        <v>69638.64</v>
      </c>
      <c r="AV33" s="109">
        <v>35675.72</v>
      </c>
      <c r="AW33" s="109">
        <v>8188.81</v>
      </c>
      <c r="AX33" s="109">
        <v>6669.05</v>
      </c>
      <c r="AY33" s="109">
        <v>6950.4</v>
      </c>
      <c r="AZ33" s="109">
        <v>20872.72</v>
      </c>
      <c r="BA33" s="109">
        <v>5173.83</v>
      </c>
      <c r="BB33" s="109">
        <v>55362.93</v>
      </c>
      <c r="BC33" s="109">
        <v>8515.3700000000008</v>
      </c>
      <c r="BD33" s="109">
        <v>32795.160000000003</v>
      </c>
      <c r="BE33" s="109">
        <v>16000</v>
      </c>
      <c r="BF33" s="109">
        <v>11889.91</v>
      </c>
      <c r="BG33" s="109">
        <v>37851.1</v>
      </c>
      <c r="BH33" s="109">
        <v>8890.4</v>
      </c>
      <c r="BI33" s="109">
        <v>0</v>
      </c>
      <c r="BJ33" s="109">
        <v>29797.3</v>
      </c>
      <c r="BK33" s="109">
        <v>9763.3700000000008</v>
      </c>
      <c r="BL33" s="109">
        <v>397.17</v>
      </c>
      <c r="BM33" s="109">
        <v>116562.41</v>
      </c>
      <c r="BN33" s="109">
        <v>165861.18</v>
      </c>
      <c r="BO33" s="109">
        <v>142536.65</v>
      </c>
      <c r="BP33" s="109">
        <v>42463.3</v>
      </c>
      <c r="BQ33" s="109">
        <v>0</v>
      </c>
      <c r="BR33" s="109">
        <v>0</v>
      </c>
      <c r="BS33" s="109">
        <v>0</v>
      </c>
      <c r="BT33" s="109">
        <v>0</v>
      </c>
      <c r="BU33" s="109">
        <v>0</v>
      </c>
      <c r="BV33" s="109">
        <v>7926.25</v>
      </c>
      <c r="BW33" s="109">
        <v>0</v>
      </c>
      <c r="BX33" s="109">
        <v>0</v>
      </c>
      <c r="BY33" s="109">
        <v>1</v>
      </c>
      <c r="BZ33" s="109">
        <v>0</v>
      </c>
      <c r="CA33" s="658">
        <v>0</v>
      </c>
      <c r="CB33" s="659"/>
      <c r="CC33" s="109">
        <v>0</v>
      </c>
      <c r="CD33" s="109">
        <v>0</v>
      </c>
      <c r="CE33" s="109">
        <v>0</v>
      </c>
      <c r="CF33" s="109">
        <v>-88904</v>
      </c>
      <c r="CG33" s="109">
        <v>7926</v>
      </c>
      <c r="CH33" s="109">
        <v>0</v>
      </c>
      <c r="CI33" s="109">
        <v>0</v>
      </c>
      <c r="CJ33" s="110">
        <v>0</v>
      </c>
      <c r="CK33" s="111">
        <f t="shared" si="0"/>
        <v>-88904</v>
      </c>
      <c r="CL33" s="111">
        <f t="shared" si="1"/>
        <v>7926</v>
      </c>
    </row>
    <row r="34" spans="1:90" ht="26.4">
      <c r="A34" s="109">
        <v>302</v>
      </c>
      <c r="B34" s="109">
        <v>2045</v>
      </c>
      <c r="C34" s="109" t="s">
        <v>82</v>
      </c>
      <c r="D34" s="109" t="s">
        <v>594</v>
      </c>
      <c r="E34" s="109"/>
      <c r="F34" s="109" t="s">
        <v>588</v>
      </c>
      <c r="G34" s="109">
        <v>0</v>
      </c>
      <c r="H34" s="109">
        <v>0</v>
      </c>
      <c r="I34" s="109" t="s">
        <v>589</v>
      </c>
      <c r="J34" s="109" t="s">
        <v>590</v>
      </c>
      <c r="K34" s="109" t="s">
        <v>591</v>
      </c>
      <c r="L34" s="109" t="s">
        <v>592</v>
      </c>
      <c r="M34" s="109" t="s">
        <v>591</v>
      </c>
      <c r="N34" s="109" t="s">
        <v>593</v>
      </c>
      <c r="O34" s="109" t="s">
        <v>188</v>
      </c>
      <c r="P34" s="109" t="s">
        <v>188</v>
      </c>
      <c r="Q34" s="109">
        <v>49397.96</v>
      </c>
      <c r="R34" s="109">
        <v>0</v>
      </c>
      <c r="S34" s="109">
        <v>0.34</v>
      </c>
      <c r="T34" s="109">
        <v>1364489.34</v>
      </c>
      <c r="U34" s="109">
        <v>0</v>
      </c>
      <c r="V34" s="109">
        <v>75307.210000000006</v>
      </c>
      <c r="W34" s="109">
        <v>0</v>
      </c>
      <c r="X34" s="109">
        <v>65845.119999999995</v>
      </c>
      <c r="Y34" s="109">
        <v>7500</v>
      </c>
      <c r="Z34" s="109">
        <v>0</v>
      </c>
      <c r="AA34" s="109">
        <v>21516.240000000002</v>
      </c>
      <c r="AB34" s="109">
        <v>58500.79</v>
      </c>
      <c r="AC34" s="109">
        <v>25156.58</v>
      </c>
      <c r="AD34" s="109">
        <v>180</v>
      </c>
      <c r="AE34" s="109">
        <v>0</v>
      </c>
      <c r="AF34" s="109">
        <v>25048.14</v>
      </c>
      <c r="AG34" s="109">
        <v>27441.759999999998</v>
      </c>
      <c r="AH34" s="109">
        <v>0</v>
      </c>
      <c r="AI34" s="109">
        <v>0</v>
      </c>
      <c r="AJ34" s="109">
        <v>0</v>
      </c>
      <c r="AK34" s="109">
        <v>0</v>
      </c>
      <c r="AL34" s="109">
        <v>0</v>
      </c>
      <c r="AM34" s="109">
        <v>13081.87</v>
      </c>
      <c r="AN34" s="109">
        <v>47444</v>
      </c>
      <c r="AO34" s="109">
        <v>760553.12</v>
      </c>
      <c r="AP34" s="109">
        <v>0</v>
      </c>
      <c r="AQ34" s="109">
        <v>458495.78</v>
      </c>
      <c r="AR34" s="109">
        <v>55497.21</v>
      </c>
      <c r="AS34" s="109">
        <v>48853.65</v>
      </c>
      <c r="AT34" s="109">
        <v>0</v>
      </c>
      <c r="AU34" s="109">
        <v>40924.080000000002</v>
      </c>
      <c r="AV34" s="109">
        <v>8592.2800000000007</v>
      </c>
      <c r="AW34" s="109">
        <v>3170.32</v>
      </c>
      <c r="AX34" s="109">
        <v>346.04</v>
      </c>
      <c r="AY34" s="109">
        <v>0</v>
      </c>
      <c r="AZ34" s="109">
        <v>9513.41</v>
      </c>
      <c r="BA34" s="109">
        <v>0</v>
      </c>
      <c r="BB34" s="109">
        <v>4649.95</v>
      </c>
      <c r="BC34" s="109">
        <v>3119.77</v>
      </c>
      <c r="BD34" s="109">
        <v>29525.47</v>
      </c>
      <c r="BE34" s="109">
        <v>30464</v>
      </c>
      <c r="BF34" s="109">
        <v>7630.88</v>
      </c>
      <c r="BG34" s="109">
        <v>63180.88</v>
      </c>
      <c r="BH34" s="109">
        <v>8334.24</v>
      </c>
      <c r="BI34" s="109">
        <v>0</v>
      </c>
      <c r="BJ34" s="109">
        <v>9927.65</v>
      </c>
      <c r="BK34" s="109">
        <v>6678.57</v>
      </c>
      <c r="BL34" s="109">
        <v>14723.38</v>
      </c>
      <c r="BM34" s="109">
        <v>52942.68</v>
      </c>
      <c r="BN34" s="109">
        <v>912.5</v>
      </c>
      <c r="BO34" s="109">
        <v>48767.49</v>
      </c>
      <c r="BP34" s="109">
        <v>38944.379999999997</v>
      </c>
      <c r="BQ34" s="109">
        <v>0</v>
      </c>
      <c r="BR34" s="109">
        <v>0</v>
      </c>
      <c r="BS34" s="109">
        <v>0</v>
      </c>
      <c r="BT34" s="109">
        <v>0</v>
      </c>
      <c r="BU34" s="109">
        <v>0</v>
      </c>
      <c r="BV34" s="109">
        <v>7073.5</v>
      </c>
      <c r="BW34" s="109">
        <v>0</v>
      </c>
      <c r="BX34" s="109">
        <v>0</v>
      </c>
      <c r="BY34" s="109">
        <v>1</v>
      </c>
      <c r="BZ34" s="109">
        <v>0</v>
      </c>
      <c r="CA34" s="658">
        <v>0</v>
      </c>
      <c r="CB34" s="659"/>
      <c r="CC34" s="109">
        <v>0</v>
      </c>
      <c r="CD34" s="109">
        <v>6189</v>
      </c>
      <c r="CE34" s="109">
        <v>74934</v>
      </c>
      <c r="CF34" s="109">
        <v>226</v>
      </c>
      <c r="CG34" s="109">
        <v>885</v>
      </c>
      <c r="CH34" s="109">
        <v>0</v>
      </c>
      <c r="CI34" s="109">
        <v>0</v>
      </c>
      <c r="CJ34" s="110">
        <v>0</v>
      </c>
      <c r="CK34" s="111">
        <f t="shared" si="0"/>
        <v>75160</v>
      </c>
      <c r="CL34" s="111">
        <f t="shared" si="1"/>
        <v>885</v>
      </c>
    </row>
    <row r="35" spans="1:90" ht="26.4">
      <c r="A35" s="109">
        <v>302</v>
      </c>
      <c r="B35" s="109">
        <v>2053</v>
      </c>
      <c r="C35" s="109" t="s">
        <v>519</v>
      </c>
      <c r="D35" s="109" t="s">
        <v>594</v>
      </c>
      <c r="E35" s="109"/>
      <c r="F35" s="109" t="s">
        <v>588</v>
      </c>
      <c r="G35" s="109">
        <v>0</v>
      </c>
      <c r="H35" s="109">
        <v>1</v>
      </c>
      <c r="I35" s="109" t="s">
        <v>589</v>
      </c>
      <c r="J35" s="109" t="s">
        <v>590</v>
      </c>
      <c r="K35" s="109" t="s">
        <v>591</v>
      </c>
      <c r="L35" s="109" t="s">
        <v>592</v>
      </c>
      <c r="M35" s="109" t="s">
        <v>591</v>
      </c>
      <c r="N35" s="109" t="s">
        <v>593</v>
      </c>
      <c r="O35" s="109" t="s">
        <v>188</v>
      </c>
      <c r="P35" s="109" t="s">
        <v>188</v>
      </c>
      <c r="Q35" s="109">
        <v>58850.23</v>
      </c>
      <c r="R35" s="109">
        <v>0</v>
      </c>
      <c r="S35" s="109">
        <v>0</v>
      </c>
      <c r="T35" s="109">
        <v>1036791.52</v>
      </c>
      <c r="U35" s="109">
        <v>0</v>
      </c>
      <c r="V35" s="109">
        <v>28560.19</v>
      </c>
      <c r="W35" s="109">
        <v>0</v>
      </c>
      <c r="X35" s="109">
        <v>2690.01</v>
      </c>
      <c r="Y35" s="109">
        <v>50212.58</v>
      </c>
      <c r="Z35" s="109">
        <v>0</v>
      </c>
      <c r="AA35" s="109">
        <v>7863.46</v>
      </c>
      <c r="AB35" s="109">
        <v>0</v>
      </c>
      <c r="AC35" s="109">
        <v>6481.44</v>
      </c>
      <c r="AD35" s="109">
        <v>0</v>
      </c>
      <c r="AE35" s="109">
        <v>0</v>
      </c>
      <c r="AF35" s="109">
        <v>6917.4</v>
      </c>
      <c r="AG35" s="109">
        <v>445164.55</v>
      </c>
      <c r="AH35" s="109">
        <v>0</v>
      </c>
      <c r="AI35" s="109">
        <v>0</v>
      </c>
      <c r="AJ35" s="109">
        <v>0</v>
      </c>
      <c r="AK35" s="109">
        <v>0</v>
      </c>
      <c r="AL35" s="109">
        <v>0</v>
      </c>
      <c r="AM35" s="109">
        <v>9178.1200000000008</v>
      </c>
      <c r="AN35" s="109">
        <v>57927.33</v>
      </c>
      <c r="AO35" s="109">
        <v>607530.94999999995</v>
      </c>
      <c r="AP35" s="109">
        <v>8962.2000000000007</v>
      </c>
      <c r="AQ35" s="109">
        <v>577822.25</v>
      </c>
      <c r="AR35" s="109">
        <v>0</v>
      </c>
      <c r="AS35" s="109">
        <v>114978.32</v>
      </c>
      <c r="AT35" s="109">
        <v>0</v>
      </c>
      <c r="AU35" s="109">
        <v>6876</v>
      </c>
      <c r="AV35" s="109">
        <v>4992.05</v>
      </c>
      <c r="AW35" s="109">
        <v>3802.64</v>
      </c>
      <c r="AX35" s="109">
        <v>323.08</v>
      </c>
      <c r="AY35" s="109">
        <v>0</v>
      </c>
      <c r="AZ35" s="109">
        <v>15260.69</v>
      </c>
      <c r="BA35" s="109">
        <v>360</v>
      </c>
      <c r="BB35" s="109">
        <v>47566.63</v>
      </c>
      <c r="BC35" s="109">
        <v>1413.66</v>
      </c>
      <c r="BD35" s="109">
        <v>16746.38</v>
      </c>
      <c r="BE35" s="109">
        <v>18044.310000000001</v>
      </c>
      <c r="BF35" s="109">
        <v>63684.49</v>
      </c>
      <c r="BG35" s="109">
        <v>65129.34</v>
      </c>
      <c r="BH35" s="109">
        <v>27240.01</v>
      </c>
      <c r="BI35" s="109">
        <v>0</v>
      </c>
      <c r="BJ35" s="109">
        <v>12730.87</v>
      </c>
      <c r="BK35" s="109">
        <v>9316.39</v>
      </c>
      <c r="BL35" s="109">
        <v>641.67999999999995</v>
      </c>
      <c r="BM35" s="109">
        <v>43179.71</v>
      </c>
      <c r="BN35" s="109">
        <v>5296.3</v>
      </c>
      <c r="BO35" s="109">
        <v>24264.76</v>
      </c>
      <c r="BP35" s="109">
        <v>24408.31</v>
      </c>
      <c r="BQ35" s="109">
        <v>0</v>
      </c>
      <c r="BR35" s="109">
        <v>0</v>
      </c>
      <c r="BS35" s="109">
        <v>0</v>
      </c>
      <c r="BT35" s="109">
        <v>0</v>
      </c>
      <c r="BU35" s="109">
        <v>0</v>
      </c>
      <c r="BV35" s="109">
        <v>0</v>
      </c>
      <c r="BW35" s="109">
        <v>0</v>
      </c>
      <c r="BX35" s="109">
        <v>0</v>
      </c>
      <c r="BY35" s="109">
        <v>1</v>
      </c>
      <c r="BZ35" s="109">
        <v>0</v>
      </c>
      <c r="CA35" s="658">
        <v>0</v>
      </c>
      <c r="CB35" s="659"/>
      <c r="CC35" s="109">
        <v>0</v>
      </c>
      <c r="CD35" s="109">
        <v>0</v>
      </c>
      <c r="CE35" s="109">
        <v>10066</v>
      </c>
      <c r="CF35" s="109">
        <v>0</v>
      </c>
      <c r="CG35" s="109">
        <v>0</v>
      </c>
      <c r="CH35" s="109">
        <v>0</v>
      </c>
      <c r="CI35" s="109">
        <v>0</v>
      </c>
      <c r="CJ35" s="110">
        <v>0</v>
      </c>
      <c r="CK35" s="111">
        <f t="shared" si="0"/>
        <v>10066</v>
      </c>
      <c r="CL35" s="111">
        <f t="shared" si="1"/>
        <v>0</v>
      </c>
    </row>
    <row r="36" spans="1:90">
      <c r="A36" s="109">
        <v>302</v>
      </c>
      <c r="B36" s="109">
        <v>2054</v>
      </c>
      <c r="C36" s="109" t="s">
        <v>600</v>
      </c>
      <c r="D36" s="109" t="s">
        <v>594</v>
      </c>
      <c r="E36" s="109"/>
      <c r="F36" s="109" t="s">
        <v>588</v>
      </c>
      <c r="G36" s="109">
        <v>0</v>
      </c>
      <c r="H36" s="109">
        <v>0</v>
      </c>
      <c r="I36" s="109" t="s">
        <v>589</v>
      </c>
      <c r="J36" s="109" t="s">
        <v>590</v>
      </c>
      <c r="K36" s="109" t="s">
        <v>591</v>
      </c>
      <c r="L36" s="109" t="s">
        <v>592</v>
      </c>
      <c r="M36" s="109" t="s">
        <v>591</v>
      </c>
      <c r="N36" s="109" t="s">
        <v>593</v>
      </c>
      <c r="O36" s="109" t="s">
        <v>188</v>
      </c>
      <c r="P36" s="109" t="s">
        <v>188</v>
      </c>
      <c r="Q36" s="109">
        <v>100713.34</v>
      </c>
      <c r="R36" s="109">
        <v>0</v>
      </c>
      <c r="S36" s="109">
        <v>10447.5</v>
      </c>
      <c r="T36" s="109">
        <v>952215.82</v>
      </c>
      <c r="U36" s="109">
        <v>0</v>
      </c>
      <c r="V36" s="109">
        <v>57526.42</v>
      </c>
      <c r="W36" s="109">
        <v>0</v>
      </c>
      <c r="X36" s="109">
        <v>16140</v>
      </c>
      <c r="Y36" s="109">
        <v>0</v>
      </c>
      <c r="Z36" s="109">
        <v>900</v>
      </c>
      <c r="AA36" s="109">
        <v>45516</v>
      </c>
      <c r="AB36" s="109">
        <v>22768.23</v>
      </c>
      <c r="AC36" s="109">
        <v>28750.71</v>
      </c>
      <c r="AD36" s="109">
        <v>5000</v>
      </c>
      <c r="AE36" s="109">
        <v>0</v>
      </c>
      <c r="AF36" s="109">
        <v>39480.910000000003</v>
      </c>
      <c r="AG36" s="109">
        <v>31710.27</v>
      </c>
      <c r="AH36" s="109">
        <v>0</v>
      </c>
      <c r="AI36" s="109">
        <v>0</v>
      </c>
      <c r="AJ36" s="109">
        <v>0</v>
      </c>
      <c r="AK36" s="109">
        <v>0</v>
      </c>
      <c r="AL36" s="109">
        <v>1709</v>
      </c>
      <c r="AM36" s="109">
        <v>6900</v>
      </c>
      <c r="AN36" s="109">
        <v>50045</v>
      </c>
      <c r="AO36" s="109">
        <v>579134.56000000006</v>
      </c>
      <c r="AP36" s="109">
        <v>2419.3200000000002</v>
      </c>
      <c r="AQ36" s="109">
        <v>149642.14000000001</v>
      </c>
      <c r="AR36" s="109">
        <v>35764.54</v>
      </c>
      <c r="AS36" s="109">
        <v>62572.639999999999</v>
      </c>
      <c r="AT36" s="109">
        <v>0</v>
      </c>
      <c r="AU36" s="109">
        <v>42080.71</v>
      </c>
      <c r="AV36" s="109">
        <v>6607.33</v>
      </c>
      <c r="AW36" s="109">
        <v>875</v>
      </c>
      <c r="AX36" s="109">
        <v>4958.4799999999996</v>
      </c>
      <c r="AY36" s="109">
        <v>775</v>
      </c>
      <c r="AZ36" s="109">
        <v>15580.73</v>
      </c>
      <c r="BA36" s="109">
        <v>2227.8000000000002</v>
      </c>
      <c r="BB36" s="109">
        <v>16188.43</v>
      </c>
      <c r="BC36" s="109">
        <v>2864.51</v>
      </c>
      <c r="BD36" s="109">
        <v>16093.53</v>
      </c>
      <c r="BE36" s="109">
        <v>19086.75</v>
      </c>
      <c r="BF36" s="109">
        <v>10093.82</v>
      </c>
      <c r="BG36" s="109">
        <v>39615.910000000003</v>
      </c>
      <c r="BH36" s="109">
        <v>12967</v>
      </c>
      <c r="BI36" s="109">
        <v>0</v>
      </c>
      <c r="BJ36" s="109">
        <v>8902.0400000000009</v>
      </c>
      <c r="BK36" s="109">
        <v>4956.09</v>
      </c>
      <c r="BL36" s="109">
        <v>6549.5</v>
      </c>
      <c r="BM36" s="109">
        <v>58431.93</v>
      </c>
      <c r="BN36" s="109">
        <v>14833.73</v>
      </c>
      <c r="BO36" s="109">
        <v>124621.1</v>
      </c>
      <c r="BP36" s="109">
        <v>18306</v>
      </c>
      <c r="BQ36" s="109">
        <v>0</v>
      </c>
      <c r="BR36" s="109">
        <v>0</v>
      </c>
      <c r="BS36" s="109">
        <v>0</v>
      </c>
      <c r="BT36" s="109">
        <v>0</v>
      </c>
      <c r="BU36" s="109">
        <v>0</v>
      </c>
      <c r="BV36" s="109">
        <v>6340</v>
      </c>
      <c r="BW36" s="109">
        <v>0</v>
      </c>
      <c r="BX36" s="109">
        <v>0</v>
      </c>
      <c r="BY36" s="109">
        <v>1</v>
      </c>
      <c r="BZ36" s="109">
        <v>0</v>
      </c>
      <c r="CA36" s="658">
        <v>0</v>
      </c>
      <c r="CB36" s="659"/>
      <c r="CC36" s="109">
        <v>0</v>
      </c>
      <c r="CD36" s="109">
        <v>6730</v>
      </c>
      <c r="CE36" s="109">
        <v>42740</v>
      </c>
      <c r="CF36" s="109">
        <v>60487</v>
      </c>
      <c r="CG36" s="109">
        <v>10058</v>
      </c>
      <c r="CH36" s="109">
        <v>0</v>
      </c>
      <c r="CI36" s="109">
        <v>0</v>
      </c>
      <c r="CJ36" s="110">
        <v>0</v>
      </c>
      <c r="CK36" s="111">
        <f t="shared" si="0"/>
        <v>103227</v>
      </c>
      <c r="CL36" s="111">
        <f t="shared" si="1"/>
        <v>10058</v>
      </c>
    </row>
    <row r="37" spans="1:90">
      <c r="A37" s="109">
        <v>302</v>
      </c>
      <c r="B37" s="109">
        <v>2055</v>
      </c>
      <c r="C37" s="109" t="s">
        <v>107</v>
      </c>
      <c r="D37" s="109" t="s">
        <v>594</v>
      </c>
      <c r="E37" s="109"/>
      <c r="F37" s="109" t="s">
        <v>588</v>
      </c>
      <c r="G37" s="109">
        <v>0</v>
      </c>
      <c r="H37" s="109">
        <v>1</v>
      </c>
      <c r="I37" s="109" t="s">
        <v>589</v>
      </c>
      <c r="J37" s="109" t="s">
        <v>590</v>
      </c>
      <c r="K37" s="109" t="s">
        <v>591</v>
      </c>
      <c r="L37" s="109" t="s">
        <v>592</v>
      </c>
      <c r="M37" s="109" t="s">
        <v>591</v>
      </c>
      <c r="N37" s="109" t="s">
        <v>593</v>
      </c>
      <c r="O37" s="109" t="s">
        <v>188</v>
      </c>
      <c r="P37" s="109" t="s">
        <v>188</v>
      </c>
      <c r="Q37" s="109">
        <v>-64430.86</v>
      </c>
      <c r="R37" s="109">
        <v>0</v>
      </c>
      <c r="S37" s="109">
        <v>13111</v>
      </c>
      <c r="T37" s="109">
        <v>1194319.03</v>
      </c>
      <c r="U37" s="109">
        <v>0</v>
      </c>
      <c r="V37" s="109">
        <v>67623.070000000007</v>
      </c>
      <c r="W37" s="109">
        <v>0</v>
      </c>
      <c r="X37" s="109">
        <v>103565.04</v>
      </c>
      <c r="Y37" s="109">
        <v>7500</v>
      </c>
      <c r="Z37" s="109">
        <v>4497.95</v>
      </c>
      <c r="AA37" s="109">
        <v>16275</v>
      </c>
      <c r="AB37" s="109">
        <v>13858.51</v>
      </c>
      <c r="AC37" s="109">
        <v>12746.73</v>
      </c>
      <c r="AD37" s="109">
        <v>0</v>
      </c>
      <c r="AE37" s="109">
        <v>5571.6</v>
      </c>
      <c r="AF37" s="109">
        <v>2873.74</v>
      </c>
      <c r="AG37" s="109">
        <v>3456.44</v>
      </c>
      <c r="AH37" s="109">
        <v>0</v>
      </c>
      <c r="AI37" s="109">
        <v>0</v>
      </c>
      <c r="AJ37" s="109">
        <v>0</v>
      </c>
      <c r="AK37" s="109">
        <v>0</v>
      </c>
      <c r="AL37" s="109">
        <v>0</v>
      </c>
      <c r="AM37" s="109">
        <v>31041</v>
      </c>
      <c r="AN37" s="109">
        <v>43082.67</v>
      </c>
      <c r="AO37" s="109">
        <v>692741.23</v>
      </c>
      <c r="AP37" s="109">
        <v>0</v>
      </c>
      <c r="AQ37" s="109">
        <v>272640.46999999997</v>
      </c>
      <c r="AR37" s="109">
        <v>17958.439999999999</v>
      </c>
      <c r="AS37" s="109">
        <v>59882.96</v>
      </c>
      <c r="AT37" s="109">
        <v>0</v>
      </c>
      <c r="AU37" s="109">
        <v>42343.42</v>
      </c>
      <c r="AV37" s="109">
        <v>11998.09</v>
      </c>
      <c r="AW37" s="109">
        <v>1700</v>
      </c>
      <c r="AX37" s="109">
        <v>328</v>
      </c>
      <c r="AY37" s="109">
        <v>541</v>
      </c>
      <c r="AZ37" s="109">
        <v>9047.85</v>
      </c>
      <c r="BA37" s="109">
        <v>4353.1000000000004</v>
      </c>
      <c r="BB37" s="109">
        <v>26344.02</v>
      </c>
      <c r="BC37" s="109">
        <v>6868.79</v>
      </c>
      <c r="BD37" s="109">
        <v>26276.560000000001</v>
      </c>
      <c r="BE37" s="109">
        <v>26112</v>
      </c>
      <c r="BF37" s="109">
        <v>11374.73</v>
      </c>
      <c r="BG37" s="109">
        <v>24301.94</v>
      </c>
      <c r="BH37" s="109">
        <v>8361.44</v>
      </c>
      <c r="BI37" s="109">
        <v>0</v>
      </c>
      <c r="BJ37" s="109">
        <v>12309.3</v>
      </c>
      <c r="BK37" s="109">
        <v>5774</v>
      </c>
      <c r="BL37" s="109">
        <v>9153.73</v>
      </c>
      <c r="BM37" s="109">
        <v>61852.7</v>
      </c>
      <c r="BN37" s="109">
        <v>50091.35</v>
      </c>
      <c r="BO37" s="109">
        <v>122387.98</v>
      </c>
      <c r="BP37" s="109">
        <v>36507.71</v>
      </c>
      <c r="BQ37" s="109">
        <v>0</v>
      </c>
      <c r="BR37" s="109">
        <v>0</v>
      </c>
      <c r="BS37" s="109">
        <v>0</v>
      </c>
      <c r="BT37" s="109">
        <v>0</v>
      </c>
      <c r="BU37" s="109">
        <v>0</v>
      </c>
      <c r="BV37" s="109">
        <v>6614</v>
      </c>
      <c r="BW37" s="109">
        <v>0</v>
      </c>
      <c r="BX37" s="109">
        <v>0</v>
      </c>
      <c r="BY37" s="109">
        <v>1</v>
      </c>
      <c r="BZ37" s="109">
        <v>0</v>
      </c>
      <c r="CA37" s="658">
        <v>0</v>
      </c>
      <c r="CB37" s="659"/>
      <c r="CC37" s="109">
        <v>0</v>
      </c>
      <c r="CD37" s="109">
        <v>0</v>
      </c>
      <c r="CE37" s="109">
        <v>0</v>
      </c>
      <c r="CF37" s="109">
        <v>-99271</v>
      </c>
      <c r="CG37" s="109">
        <v>19725</v>
      </c>
      <c r="CH37" s="109">
        <v>0</v>
      </c>
      <c r="CI37" s="109">
        <v>0</v>
      </c>
      <c r="CJ37" s="110">
        <v>0</v>
      </c>
      <c r="CK37" s="111">
        <f t="shared" si="0"/>
        <v>-99271</v>
      </c>
      <c r="CL37" s="111">
        <f t="shared" si="1"/>
        <v>19725</v>
      </c>
    </row>
    <row r="38" spans="1:90" ht="26.4">
      <c r="A38" s="109">
        <v>302</v>
      </c>
      <c r="B38" s="109">
        <v>2057</v>
      </c>
      <c r="C38" s="109" t="s">
        <v>433</v>
      </c>
      <c r="D38" s="109" t="s">
        <v>594</v>
      </c>
      <c r="E38" s="109"/>
      <c r="F38" s="109" t="s">
        <v>588</v>
      </c>
      <c r="G38" s="109">
        <v>0</v>
      </c>
      <c r="H38" s="109">
        <v>1</v>
      </c>
      <c r="I38" s="109" t="s">
        <v>589</v>
      </c>
      <c r="J38" s="109" t="s">
        <v>590</v>
      </c>
      <c r="K38" s="109" t="s">
        <v>591</v>
      </c>
      <c r="L38" s="109" t="s">
        <v>592</v>
      </c>
      <c r="M38" s="109" t="s">
        <v>591</v>
      </c>
      <c r="N38" s="109" t="s">
        <v>593</v>
      </c>
      <c r="O38" s="109" t="s">
        <v>188</v>
      </c>
      <c r="P38" s="109" t="s">
        <v>188</v>
      </c>
      <c r="Q38" s="109">
        <v>105702.15</v>
      </c>
      <c r="R38" s="109">
        <v>18104.849999999999</v>
      </c>
      <c r="S38" s="109">
        <v>27664</v>
      </c>
      <c r="T38" s="109">
        <v>2443320.9300000002</v>
      </c>
      <c r="U38" s="109">
        <v>0</v>
      </c>
      <c r="V38" s="109">
        <v>172899.32</v>
      </c>
      <c r="W38" s="109">
        <v>0</v>
      </c>
      <c r="X38" s="109">
        <v>246685.18</v>
      </c>
      <c r="Y38" s="109">
        <v>5125</v>
      </c>
      <c r="Z38" s="109">
        <v>1000</v>
      </c>
      <c r="AA38" s="109">
        <v>15494.59</v>
      </c>
      <c r="AB38" s="109">
        <v>72160.91</v>
      </c>
      <c r="AC38" s="109">
        <v>24489.03</v>
      </c>
      <c r="AD38" s="109">
        <v>4968</v>
      </c>
      <c r="AE38" s="109">
        <v>4288</v>
      </c>
      <c r="AF38" s="109">
        <v>12810.43</v>
      </c>
      <c r="AG38" s="109">
        <v>10354.879999999999</v>
      </c>
      <c r="AH38" s="109">
        <v>0</v>
      </c>
      <c r="AI38" s="109">
        <v>187416</v>
      </c>
      <c r="AJ38" s="109">
        <v>0</v>
      </c>
      <c r="AK38" s="109">
        <v>0</v>
      </c>
      <c r="AL38" s="109">
        <v>0</v>
      </c>
      <c r="AM38" s="109">
        <v>21521.25</v>
      </c>
      <c r="AN38" s="109">
        <v>55720.88</v>
      </c>
      <c r="AO38" s="109">
        <v>1301356.22</v>
      </c>
      <c r="AP38" s="109">
        <v>0</v>
      </c>
      <c r="AQ38" s="109">
        <v>943685.93</v>
      </c>
      <c r="AR38" s="109">
        <v>70946.8</v>
      </c>
      <c r="AS38" s="109">
        <v>105956.06</v>
      </c>
      <c r="AT38" s="109">
        <v>0</v>
      </c>
      <c r="AU38" s="109">
        <v>104281.91</v>
      </c>
      <c r="AV38" s="109">
        <v>18779.82</v>
      </c>
      <c r="AW38" s="109">
        <v>2080</v>
      </c>
      <c r="AX38" s="109">
        <v>20375.689999999999</v>
      </c>
      <c r="AY38" s="109">
        <v>0</v>
      </c>
      <c r="AZ38" s="109">
        <v>22421.09</v>
      </c>
      <c r="BA38" s="109">
        <v>8262</v>
      </c>
      <c r="BB38" s="109">
        <v>10516.73</v>
      </c>
      <c r="BC38" s="109">
        <v>-11711.91</v>
      </c>
      <c r="BD38" s="109">
        <v>33123.699999999997</v>
      </c>
      <c r="BE38" s="109">
        <v>56392</v>
      </c>
      <c r="BF38" s="109">
        <v>12949.94</v>
      </c>
      <c r="BG38" s="109">
        <v>53639.199999999997</v>
      </c>
      <c r="BH38" s="109">
        <v>10591.62</v>
      </c>
      <c r="BI38" s="109">
        <v>0</v>
      </c>
      <c r="BJ38" s="109">
        <v>24095.93</v>
      </c>
      <c r="BK38" s="109">
        <v>11007.88</v>
      </c>
      <c r="BL38" s="109">
        <v>26872.87</v>
      </c>
      <c r="BM38" s="109">
        <v>95552.15</v>
      </c>
      <c r="BN38" s="109">
        <v>98738.99</v>
      </c>
      <c r="BO38" s="109">
        <v>116665.59</v>
      </c>
      <c r="BP38" s="109">
        <v>27512.48</v>
      </c>
      <c r="BQ38" s="109">
        <v>0</v>
      </c>
      <c r="BR38" s="109">
        <v>0</v>
      </c>
      <c r="BS38" s="109">
        <v>0</v>
      </c>
      <c r="BT38" s="109">
        <v>135472.41</v>
      </c>
      <c r="BU38" s="109">
        <v>49049.21</v>
      </c>
      <c r="BV38" s="109">
        <v>9616.23</v>
      </c>
      <c r="BW38" s="109">
        <v>0</v>
      </c>
      <c r="BX38" s="109">
        <v>0</v>
      </c>
      <c r="BY38" s="109">
        <v>1</v>
      </c>
      <c r="BZ38" s="109">
        <v>0</v>
      </c>
      <c r="CA38" s="658">
        <v>6287.82</v>
      </c>
      <c r="CB38" s="659"/>
      <c r="CC38" s="109">
        <v>0</v>
      </c>
      <c r="CD38" s="109">
        <v>17548.54</v>
      </c>
      <c r="CE38" s="109">
        <v>4573</v>
      </c>
      <c r="CF38" s="109">
        <v>27875</v>
      </c>
      <c r="CG38" s="109">
        <v>13444</v>
      </c>
      <c r="CH38" s="109">
        <v>0</v>
      </c>
      <c r="CI38" s="109">
        <v>20999</v>
      </c>
      <c r="CJ38" s="110">
        <v>0</v>
      </c>
      <c r="CK38" s="111">
        <f t="shared" si="0"/>
        <v>53447</v>
      </c>
      <c r="CL38" s="111">
        <f t="shared" si="1"/>
        <v>13444</v>
      </c>
    </row>
    <row r="39" spans="1:90">
      <c r="A39" s="109">
        <v>302</v>
      </c>
      <c r="B39" s="109">
        <v>2060</v>
      </c>
      <c r="C39" s="109" t="s">
        <v>601</v>
      </c>
      <c r="D39" s="109" t="s">
        <v>594</v>
      </c>
      <c r="E39" s="109"/>
      <c r="F39" s="109" t="s">
        <v>588</v>
      </c>
      <c r="G39" s="109">
        <v>0</v>
      </c>
      <c r="H39" s="109">
        <v>0</v>
      </c>
      <c r="I39" s="109" t="s">
        <v>589</v>
      </c>
      <c r="J39" s="109" t="s">
        <v>590</v>
      </c>
      <c r="K39" s="109" t="s">
        <v>591</v>
      </c>
      <c r="L39" s="109" t="s">
        <v>592</v>
      </c>
      <c r="M39" s="109" t="s">
        <v>591</v>
      </c>
      <c r="N39" s="109" t="s">
        <v>593</v>
      </c>
      <c r="O39" s="109" t="s">
        <v>188</v>
      </c>
      <c r="P39" s="109" t="s">
        <v>188</v>
      </c>
      <c r="Q39" s="109">
        <v>20933.150000000001</v>
      </c>
      <c r="R39" s="109">
        <v>0</v>
      </c>
      <c r="S39" s="109">
        <v>23213.5</v>
      </c>
      <c r="T39" s="109">
        <v>2593740.79</v>
      </c>
      <c r="U39" s="109">
        <v>0</v>
      </c>
      <c r="V39" s="109">
        <v>135407.31</v>
      </c>
      <c r="W39" s="109">
        <v>0</v>
      </c>
      <c r="X39" s="109">
        <v>184534.97</v>
      </c>
      <c r="Y39" s="109">
        <v>2500</v>
      </c>
      <c r="Z39" s="109">
        <v>14718.07</v>
      </c>
      <c r="AA39" s="109">
        <v>101136.9</v>
      </c>
      <c r="AB39" s="109">
        <v>51073.97</v>
      </c>
      <c r="AC39" s="109">
        <v>22769.040000000001</v>
      </c>
      <c r="AD39" s="109">
        <v>0</v>
      </c>
      <c r="AE39" s="109">
        <v>0</v>
      </c>
      <c r="AF39" s="109">
        <v>13077.22</v>
      </c>
      <c r="AG39" s="109">
        <v>3097.25</v>
      </c>
      <c r="AH39" s="109">
        <v>0</v>
      </c>
      <c r="AI39" s="109">
        <v>0</v>
      </c>
      <c r="AJ39" s="109">
        <v>0</v>
      </c>
      <c r="AK39" s="109">
        <v>0</v>
      </c>
      <c r="AL39" s="109">
        <v>0</v>
      </c>
      <c r="AM39" s="109">
        <v>32630</v>
      </c>
      <c r="AN39" s="109">
        <v>71263.5</v>
      </c>
      <c r="AO39" s="109">
        <v>1369033.97</v>
      </c>
      <c r="AP39" s="109">
        <v>0</v>
      </c>
      <c r="AQ39" s="109">
        <v>750622.8</v>
      </c>
      <c r="AR39" s="109">
        <v>74279.179999999993</v>
      </c>
      <c r="AS39" s="109">
        <v>98351.6</v>
      </c>
      <c r="AT39" s="109">
        <v>0</v>
      </c>
      <c r="AU39" s="109">
        <v>91020.2</v>
      </c>
      <c r="AV39" s="109">
        <v>16630.169999999998</v>
      </c>
      <c r="AW39" s="109">
        <v>5605.59</v>
      </c>
      <c r="AX39" s="109">
        <v>690.44</v>
      </c>
      <c r="AY39" s="109">
        <v>0</v>
      </c>
      <c r="AZ39" s="109">
        <v>55199.839999999997</v>
      </c>
      <c r="BA39" s="109">
        <v>9758.75</v>
      </c>
      <c r="BB39" s="109">
        <v>40621.74</v>
      </c>
      <c r="BC39" s="109">
        <v>15188.94</v>
      </c>
      <c r="BD39" s="109">
        <v>82414.009999999995</v>
      </c>
      <c r="BE39" s="109">
        <v>112080</v>
      </c>
      <c r="BF39" s="109">
        <v>12747.42</v>
      </c>
      <c r="BG39" s="109">
        <v>117274.22</v>
      </c>
      <c r="BH39" s="109">
        <v>16784.580000000002</v>
      </c>
      <c r="BI39" s="109">
        <v>0</v>
      </c>
      <c r="BJ39" s="109">
        <v>14560.13</v>
      </c>
      <c r="BK39" s="109">
        <v>13871.27</v>
      </c>
      <c r="BL39" s="109">
        <v>4394.2</v>
      </c>
      <c r="BM39" s="109">
        <v>107338.1</v>
      </c>
      <c r="BN39" s="109">
        <v>48525.03</v>
      </c>
      <c r="BO39" s="109">
        <v>50252.55</v>
      </c>
      <c r="BP39" s="109">
        <v>51184.04</v>
      </c>
      <c r="BQ39" s="109">
        <v>0</v>
      </c>
      <c r="BR39" s="109">
        <v>0</v>
      </c>
      <c r="BS39" s="109">
        <v>0</v>
      </c>
      <c r="BT39" s="109">
        <v>0</v>
      </c>
      <c r="BU39" s="109">
        <v>0</v>
      </c>
      <c r="BV39" s="109">
        <v>9226.75</v>
      </c>
      <c r="BW39" s="109">
        <v>0</v>
      </c>
      <c r="BX39" s="109">
        <v>0</v>
      </c>
      <c r="BY39" s="109">
        <v>1</v>
      </c>
      <c r="BZ39" s="109">
        <v>0</v>
      </c>
      <c r="CA39" s="658">
        <v>0</v>
      </c>
      <c r="CB39" s="659"/>
      <c r="CC39" s="109">
        <v>0</v>
      </c>
      <c r="CD39" s="109">
        <v>13610</v>
      </c>
      <c r="CE39" s="109">
        <v>88453</v>
      </c>
      <c r="CF39" s="109">
        <v>0</v>
      </c>
      <c r="CG39" s="109">
        <v>18830</v>
      </c>
      <c r="CH39" s="109">
        <v>0</v>
      </c>
      <c r="CI39" s="109">
        <v>0</v>
      </c>
      <c r="CJ39" s="110">
        <v>0</v>
      </c>
      <c r="CK39" s="111">
        <f t="shared" si="0"/>
        <v>88453</v>
      </c>
      <c r="CL39" s="111">
        <f t="shared" si="1"/>
        <v>18830</v>
      </c>
    </row>
    <row r="40" spans="1:90" ht="26.4">
      <c r="A40" s="109">
        <v>302</v>
      </c>
      <c r="B40" s="109">
        <v>2067</v>
      </c>
      <c r="C40" s="109" t="s">
        <v>44</v>
      </c>
      <c r="D40" s="109" t="s">
        <v>594</v>
      </c>
      <c r="E40" s="109"/>
      <c r="F40" s="109" t="s">
        <v>588</v>
      </c>
      <c r="G40" s="109">
        <v>0</v>
      </c>
      <c r="H40" s="109">
        <v>0</v>
      </c>
      <c r="I40" s="109" t="s">
        <v>589</v>
      </c>
      <c r="J40" s="109" t="s">
        <v>590</v>
      </c>
      <c r="K40" s="109" t="s">
        <v>591</v>
      </c>
      <c r="L40" s="109" t="s">
        <v>592</v>
      </c>
      <c r="M40" s="109" t="s">
        <v>591</v>
      </c>
      <c r="N40" s="109" t="s">
        <v>593</v>
      </c>
      <c r="O40" s="109" t="s">
        <v>188</v>
      </c>
      <c r="P40" s="109" t="s">
        <v>188</v>
      </c>
      <c r="Q40" s="109">
        <v>37788.300000000003</v>
      </c>
      <c r="R40" s="109">
        <v>0</v>
      </c>
      <c r="S40" s="109">
        <v>0.08</v>
      </c>
      <c r="T40" s="109">
        <v>1253588.99</v>
      </c>
      <c r="U40" s="109">
        <v>0</v>
      </c>
      <c r="V40" s="109">
        <v>284767.93</v>
      </c>
      <c r="W40" s="109">
        <v>0</v>
      </c>
      <c r="X40" s="109">
        <v>76664.97</v>
      </c>
      <c r="Y40" s="109">
        <v>192.2</v>
      </c>
      <c r="Z40" s="109">
        <v>44778.18</v>
      </c>
      <c r="AA40" s="109">
        <v>10023.9</v>
      </c>
      <c r="AB40" s="109">
        <v>12075.97</v>
      </c>
      <c r="AC40" s="109">
        <v>20216.419999999998</v>
      </c>
      <c r="AD40" s="109">
        <v>0</v>
      </c>
      <c r="AE40" s="109">
        <v>0</v>
      </c>
      <c r="AF40" s="109">
        <v>6910</v>
      </c>
      <c r="AG40" s="109">
        <v>9185.41</v>
      </c>
      <c r="AH40" s="109">
        <v>0</v>
      </c>
      <c r="AI40" s="109">
        <v>0</v>
      </c>
      <c r="AJ40" s="109">
        <v>0</v>
      </c>
      <c r="AK40" s="109">
        <v>0</v>
      </c>
      <c r="AL40" s="109">
        <v>0</v>
      </c>
      <c r="AM40" s="109">
        <v>0</v>
      </c>
      <c r="AN40" s="109">
        <v>63411.01</v>
      </c>
      <c r="AO40" s="109">
        <v>843217.87</v>
      </c>
      <c r="AP40" s="109">
        <v>0</v>
      </c>
      <c r="AQ40" s="109">
        <v>379484.56</v>
      </c>
      <c r="AR40" s="109">
        <v>22395.67</v>
      </c>
      <c r="AS40" s="109">
        <v>56550.21</v>
      </c>
      <c r="AT40" s="109">
        <v>0</v>
      </c>
      <c r="AU40" s="109">
        <v>9948.3799999999992</v>
      </c>
      <c r="AV40" s="109">
        <v>3474.73</v>
      </c>
      <c r="AW40" s="109">
        <v>3956.78</v>
      </c>
      <c r="AX40" s="109">
        <v>383.76</v>
      </c>
      <c r="AY40" s="109">
        <v>0</v>
      </c>
      <c r="AZ40" s="109">
        <v>25164.61</v>
      </c>
      <c r="BA40" s="109">
        <v>5065.6899999999996</v>
      </c>
      <c r="BB40" s="109">
        <v>30987.81</v>
      </c>
      <c r="BC40" s="109">
        <v>3744.66</v>
      </c>
      <c r="BD40" s="109">
        <v>13358.7</v>
      </c>
      <c r="BE40" s="109">
        <v>34560</v>
      </c>
      <c r="BF40" s="109">
        <v>10486.95</v>
      </c>
      <c r="BG40" s="109">
        <v>51022.49</v>
      </c>
      <c r="BH40" s="109">
        <v>17166.96</v>
      </c>
      <c r="BI40" s="109">
        <v>0</v>
      </c>
      <c r="BJ40" s="109">
        <v>8748.1299999999992</v>
      </c>
      <c r="BK40" s="109">
        <v>6540.58</v>
      </c>
      <c r="BL40" s="109">
        <v>5307.87</v>
      </c>
      <c r="BM40" s="109">
        <v>55669.82</v>
      </c>
      <c r="BN40" s="109">
        <v>52321.7</v>
      </c>
      <c r="BO40" s="109">
        <v>114812.46</v>
      </c>
      <c r="BP40" s="109">
        <v>24333.9</v>
      </c>
      <c r="BQ40" s="109">
        <v>0</v>
      </c>
      <c r="BR40" s="109">
        <v>0</v>
      </c>
      <c r="BS40" s="109">
        <v>0</v>
      </c>
      <c r="BT40" s="109">
        <v>0</v>
      </c>
      <c r="BU40" s="109">
        <v>0</v>
      </c>
      <c r="BV40" s="109">
        <v>6576.25</v>
      </c>
      <c r="BW40" s="109">
        <v>0</v>
      </c>
      <c r="BX40" s="109">
        <v>0</v>
      </c>
      <c r="BY40" s="109">
        <v>1</v>
      </c>
      <c r="BZ40" s="109">
        <v>0</v>
      </c>
      <c r="CA40" s="658">
        <v>0</v>
      </c>
      <c r="CB40" s="659"/>
      <c r="CC40" s="109">
        <v>0</v>
      </c>
      <c r="CD40" s="109">
        <v>0</v>
      </c>
      <c r="CE40" s="109">
        <v>0</v>
      </c>
      <c r="CF40" s="109">
        <v>40899</v>
      </c>
      <c r="CG40" s="109">
        <v>6576</v>
      </c>
      <c r="CH40" s="109">
        <v>0</v>
      </c>
      <c r="CI40" s="109">
        <v>0</v>
      </c>
      <c r="CJ40" s="110">
        <v>0</v>
      </c>
      <c r="CK40" s="111">
        <f t="shared" si="0"/>
        <v>40899</v>
      </c>
      <c r="CL40" s="111">
        <f t="shared" si="1"/>
        <v>6576</v>
      </c>
    </row>
    <row r="41" spans="1:90" ht="26.4">
      <c r="A41" s="109">
        <v>302</v>
      </c>
      <c r="B41" s="109">
        <v>2070</v>
      </c>
      <c r="C41" s="109" t="s">
        <v>105</v>
      </c>
      <c r="D41" s="109" t="s">
        <v>594</v>
      </c>
      <c r="E41" s="109"/>
      <c r="F41" s="109" t="s">
        <v>588</v>
      </c>
      <c r="G41" s="109">
        <v>0</v>
      </c>
      <c r="H41" s="109">
        <v>0</v>
      </c>
      <c r="I41" s="109" t="s">
        <v>589</v>
      </c>
      <c r="J41" s="109" t="s">
        <v>590</v>
      </c>
      <c r="K41" s="109" t="s">
        <v>591</v>
      </c>
      <c r="L41" s="109" t="s">
        <v>592</v>
      </c>
      <c r="M41" s="109" t="s">
        <v>591</v>
      </c>
      <c r="N41" s="109" t="s">
        <v>593</v>
      </c>
      <c r="O41" s="109" t="s">
        <v>188</v>
      </c>
      <c r="P41" s="109" t="s">
        <v>188</v>
      </c>
      <c r="Q41" s="109">
        <v>289489</v>
      </c>
      <c r="R41" s="109">
        <v>0</v>
      </c>
      <c r="S41" s="109">
        <v>0</v>
      </c>
      <c r="T41" s="109">
        <v>1325742.83</v>
      </c>
      <c r="U41" s="109">
        <v>0</v>
      </c>
      <c r="V41" s="109">
        <v>56827.39</v>
      </c>
      <c r="W41" s="109">
        <v>0</v>
      </c>
      <c r="X41" s="109">
        <v>108945.03</v>
      </c>
      <c r="Y41" s="109">
        <v>23340.37</v>
      </c>
      <c r="Z41" s="109">
        <v>5125</v>
      </c>
      <c r="AA41" s="109">
        <v>11557.3</v>
      </c>
      <c r="AB41" s="109">
        <v>20203.59</v>
      </c>
      <c r="AC41" s="109">
        <v>15933.52</v>
      </c>
      <c r="AD41" s="109">
        <v>0</v>
      </c>
      <c r="AE41" s="109">
        <v>0</v>
      </c>
      <c r="AF41" s="109">
        <v>31170.240000000002</v>
      </c>
      <c r="AG41" s="109">
        <v>2867.48</v>
      </c>
      <c r="AH41" s="109">
        <v>0</v>
      </c>
      <c r="AI41" s="109">
        <v>0</v>
      </c>
      <c r="AJ41" s="109">
        <v>0</v>
      </c>
      <c r="AK41" s="109">
        <v>0</v>
      </c>
      <c r="AL41" s="109">
        <v>0</v>
      </c>
      <c r="AM41" s="109">
        <v>18502.5</v>
      </c>
      <c r="AN41" s="109">
        <v>44603</v>
      </c>
      <c r="AO41" s="109">
        <v>752086.42</v>
      </c>
      <c r="AP41" s="109">
        <v>0</v>
      </c>
      <c r="AQ41" s="109">
        <v>365454.17</v>
      </c>
      <c r="AR41" s="109">
        <v>72047.86</v>
      </c>
      <c r="AS41" s="109">
        <v>121391.81</v>
      </c>
      <c r="AT41" s="109">
        <v>0</v>
      </c>
      <c r="AU41" s="109">
        <v>41736.79</v>
      </c>
      <c r="AV41" s="109">
        <v>13824.89</v>
      </c>
      <c r="AW41" s="109">
        <v>4241.1000000000004</v>
      </c>
      <c r="AX41" s="109">
        <v>342.76</v>
      </c>
      <c r="AY41" s="109">
        <v>0</v>
      </c>
      <c r="AZ41" s="109">
        <v>22499.33</v>
      </c>
      <c r="BA41" s="109">
        <v>2649.21</v>
      </c>
      <c r="BB41" s="109">
        <v>1598.88</v>
      </c>
      <c r="BC41" s="109">
        <v>4746.4799999999996</v>
      </c>
      <c r="BD41" s="109">
        <v>19594.41</v>
      </c>
      <c r="BE41" s="109">
        <v>25199.5</v>
      </c>
      <c r="BF41" s="109">
        <v>9657.61</v>
      </c>
      <c r="BG41" s="109">
        <v>48634.89</v>
      </c>
      <c r="BH41" s="109">
        <v>14172.05</v>
      </c>
      <c r="BI41" s="109">
        <v>0</v>
      </c>
      <c r="BJ41" s="109">
        <v>9612.85</v>
      </c>
      <c r="BK41" s="109">
        <v>6793.83</v>
      </c>
      <c r="BL41" s="109">
        <v>2761.11</v>
      </c>
      <c r="BM41" s="109">
        <v>58594.05</v>
      </c>
      <c r="BN41" s="109">
        <v>0</v>
      </c>
      <c r="BO41" s="109">
        <v>34020.5</v>
      </c>
      <c r="BP41" s="109">
        <v>12867.64</v>
      </c>
      <c r="BQ41" s="109">
        <v>0</v>
      </c>
      <c r="BR41" s="109">
        <v>0</v>
      </c>
      <c r="BS41" s="109">
        <v>0</v>
      </c>
      <c r="BT41" s="109">
        <v>0</v>
      </c>
      <c r="BU41" s="109">
        <v>0</v>
      </c>
      <c r="BV41" s="109">
        <v>6709</v>
      </c>
      <c r="BW41" s="109">
        <v>0</v>
      </c>
      <c r="BX41" s="109">
        <v>0</v>
      </c>
      <c r="BY41" s="109">
        <v>1</v>
      </c>
      <c r="BZ41" s="109">
        <v>0</v>
      </c>
      <c r="CA41" s="658">
        <v>0</v>
      </c>
      <c r="CB41" s="659"/>
      <c r="CC41" s="109">
        <v>0</v>
      </c>
      <c r="CD41" s="109">
        <v>0</v>
      </c>
      <c r="CE41" s="109">
        <v>44285</v>
      </c>
      <c r="CF41" s="109">
        <v>265494</v>
      </c>
      <c r="CG41" s="109">
        <v>6709</v>
      </c>
      <c r="CH41" s="109">
        <v>0</v>
      </c>
      <c r="CI41" s="109">
        <v>0</v>
      </c>
      <c r="CJ41" s="110">
        <v>0</v>
      </c>
      <c r="CK41" s="111">
        <f t="shared" si="0"/>
        <v>309779</v>
      </c>
      <c r="CL41" s="111">
        <f t="shared" si="1"/>
        <v>6709</v>
      </c>
    </row>
    <row r="42" spans="1:90" ht="26.4">
      <c r="A42" s="109">
        <v>302</v>
      </c>
      <c r="B42" s="109">
        <v>2072</v>
      </c>
      <c r="C42" s="109" t="s">
        <v>88</v>
      </c>
      <c r="D42" s="109" t="s">
        <v>586</v>
      </c>
      <c r="E42" s="109" t="s">
        <v>602</v>
      </c>
      <c r="F42" s="109" t="s">
        <v>588</v>
      </c>
      <c r="G42" s="109">
        <v>0</v>
      </c>
      <c r="H42" s="109">
        <v>3</v>
      </c>
      <c r="I42" s="109" t="s">
        <v>589</v>
      </c>
      <c r="J42" s="109" t="s">
        <v>590</v>
      </c>
      <c r="K42" s="109" t="s">
        <v>591</v>
      </c>
      <c r="L42" s="109" t="s">
        <v>592</v>
      </c>
      <c r="M42" s="109" t="s">
        <v>591</v>
      </c>
      <c r="N42" s="109" t="s">
        <v>593</v>
      </c>
      <c r="O42" s="109" t="s">
        <v>188</v>
      </c>
      <c r="P42" s="109" t="s">
        <v>188</v>
      </c>
      <c r="Q42" s="109">
        <v>133084.79</v>
      </c>
      <c r="R42" s="109">
        <v>0</v>
      </c>
      <c r="S42" s="109">
        <v>5702.75</v>
      </c>
      <c r="T42" s="109">
        <v>2849715.52</v>
      </c>
      <c r="U42" s="109">
        <v>0</v>
      </c>
      <c r="V42" s="109">
        <v>161892.21</v>
      </c>
      <c r="W42" s="109">
        <v>0</v>
      </c>
      <c r="X42" s="109">
        <v>209005.05</v>
      </c>
      <c r="Y42" s="109">
        <v>10827.64</v>
      </c>
      <c r="Z42" s="109">
        <v>6667</v>
      </c>
      <c r="AA42" s="109">
        <v>42588.55</v>
      </c>
      <c r="AB42" s="109">
        <v>86522.84</v>
      </c>
      <c r="AC42" s="109">
        <v>43221.279999999999</v>
      </c>
      <c r="AD42" s="109">
        <v>1321.25</v>
      </c>
      <c r="AE42" s="109">
        <v>2045.05</v>
      </c>
      <c r="AF42" s="109">
        <v>12728.2</v>
      </c>
      <c r="AG42" s="109">
        <v>16205.43</v>
      </c>
      <c r="AH42" s="109">
        <v>0</v>
      </c>
      <c r="AI42" s="109">
        <v>0</v>
      </c>
      <c r="AJ42" s="109">
        <v>0</v>
      </c>
      <c r="AK42" s="109">
        <v>0</v>
      </c>
      <c r="AL42" s="109">
        <v>0</v>
      </c>
      <c r="AM42" s="109">
        <v>38841.879999999997</v>
      </c>
      <c r="AN42" s="109">
        <v>89894.5</v>
      </c>
      <c r="AO42" s="109">
        <v>1611642.99</v>
      </c>
      <c r="AP42" s="109">
        <v>0</v>
      </c>
      <c r="AQ42" s="109">
        <v>958160.61</v>
      </c>
      <c r="AR42" s="109">
        <v>65396.86</v>
      </c>
      <c r="AS42" s="109">
        <v>177364.51</v>
      </c>
      <c r="AT42" s="109">
        <v>0</v>
      </c>
      <c r="AU42" s="109">
        <v>70856.710000000006</v>
      </c>
      <c r="AV42" s="109">
        <v>16809.22</v>
      </c>
      <c r="AW42" s="109">
        <v>4746.92</v>
      </c>
      <c r="AX42" s="109">
        <v>10591.99</v>
      </c>
      <c r="AY42" s="109">
        <v>6000</v>
      </c>
      <c r="AZ42" s="109">
        <v>36232.01</v>
      </c>
      <c r="BA42" s="109">
        <v>24432.17</v>
      </c>
      <c r="BB42" s="109">
        <v>63451.27</v>
      </c>
      <c r="BC42" s="109">
        <v>8352.27</v>
      </c>
      <c r="BD42" s="109">
        <v>48662.86</v>
      </c>
      <c r="BE42" s="109">
        <v>46825.75</v>
      </c>
      <c r="BF42" s="109">
        <v>15898.71</v>
      </c>
      <c r="BG42" s="109">
        <v>51969.99</v>
      </c>
      <c r="BH42" s="109">
        <v>12437.17</v>
      </c>
      <c r="BI42" s="109">
        <v>0</v>
      </c>
      <c r="BJ42" s="109">
        <v>19135.32</v>
      </c>
      <c r="BK42" s="109">
        <v>14826.74</v>
      </c>
      <c r="BL42" s="109">
        <v>6386.92</v>
      </c>
      <c r="BM42" s="109">
        <v>117991.65</v>
      </c>
      <c r="BN42" s="109">
        <v>38755.15</v>
      </c>
      <c r="BO42" s="109">
        <v>137217.51999999999</v>
      </c>
      <c r="BP42" s="109">
        <v>24109</v>
      </c>
      <c r="BQ42" s="109">
        <v>0</v>
      </c>
      <c r="BR42" s="109">
        <v>0</v>
      </c>
      <c r="BS42" s="109">
        <v>0</v>
      </c>
      <c r="BT42" s="109">
        <v>0</v>
      </c>
      <c r="BU42" s="109">
        <v>0</v>
      </c>
      <c r="BV42" s="109">
        <v>14309</v>
      </c>
      <c r="BW42" s="109">
        <v>0</v>
      </c>
      <c r="BX42" s="109">
        <v>0</v>
      </c>
      <c r="BY42" s="109">
        <v>1</v>
      </c>
      <c r="BZ42" s="109">
        <v>0</v>
      </c>
      <c r="CA42" s="658">
        <v>3416.75</v>
      </c>
      <c r="CB42" s="659"/>
      <c r="CC42" s="109">
        <v>0</v>
      </c>
      <c r="CD42" s="109">
        <v>12654</v>
      </c>
      <c r="CE42" s="109">
        <v>69617</v>
      </c>
      <c r="CF42" s="109">
        <v>46690</v>
      </c>
      <c r="CG42" s="109">
        <v>3941</v>
      </c>
      <c r="CH42" s="109">
        <v>0</v>
      </c>
      <c r="CI42" s="109">
        <v>0</v>
      </c>
      <c r="CJ42" s="110">
        <v>0</v>
      </c>
      <c r="CK42" s="111">
        <f t="shared" si="0"/>
        <v>116307</v>
      </c>
      <c r="CL42" s="111">
        <f t="shared" si="1"/>
        <v>3941</v>
      </c>
    </row>
    <row r="43" spans="1:90" ht="26.4">
      <c r="A43" s="109">
        <v>302</v>
      </c>
      <c r="B43" s="109">
        <v>2073</v>
      </c>
      <c r="C43" s="109" t="s">
        <v>54</v>
      </c>
      <c r="D43" s="109" t="s">
        <v>594</v>
      </c>
      <c r="E43" s="109"/>
      <c r="F43" s="109" t="s">
        <v>588</v>
      </c>
      <c r="G43" s="109">
        <v>0</v>
      </c>
      <c r="H43" s="109">
        <v>0</v>
      </c>
      <c r="I43" s="109" t="s">
        <v>589</v>
      </c>
      <c r="J43" s="109" t="s">
        <v>590</v>
      </c>
      <c r="K43" s="109" t="s">
        <v>591</v>
      </c>
      <c r="L43" s="109" t="s">
        <v>592</v>
      </c>
      <c r="M43" s="109" t="s">
        <v>591</v>
      </c>
      <c r="N43" s="109" t="s">
        <v>593</v>
      </c>
      <c r="O43" s="109" t="s">
        <v>188</v>
      </c>
      <c r="P43" s="109" t="s">
        <v>188</v>
      </c>
      <c r="Q43" s="109">
        <v>312741.11</v>
      </c>
      <c r="R43" s="109">
        <v>-1965</v>
      </c>
      <c r="S43" s="109">
        <v>47126.5</v>
      </c>
      <c r="T43" s="109">
        <v>2840689.29</v>
      </c>
      <c r="U43" s="109">
        <v>0</v>
      </c>
      <c r="V43" s="109">
        <v>290382.11</v>
      </c>
      <c r="W43" s="109">
        <v>0</v>
      </c>
      <c r="X43" s="109">
        <v>237188.24</v>
      </c>
      <c r="Y43" s="109">
        <v>1000</v>
      </c>
      <c r="Z43" s="109">
        <v>30926.240000000002</v>
      </c>
      <c r="AA43" s="109">
        <v>400</v>
      </c>
      <c r="AB43" s="109">
        <v>80285.009999999995</v>
      </c>
      <c r="AC43" s="109">
        <v>71514.48</v>
      </c>
      <c r="AD43" s="109">
        <v>0</v>
      </c>
      <c r="AE43" s="109">
        <v>0</v>
      </c>
      <c r="AF43" s="109">
        <v>38006.379999999997</v>
      </c>
      <c r="AG43" s="109">
        <v>7492.21</v>
      </c>
      <c r="AH43" s="109">
        <v>0</v>
      </c>
      <c r="AI43" s="109">
        <v>0</v>
      </c>
      <c r="AJ43" s="109">
        <v>0</v>
      </c>
      <c r="AK43" s="109">
        <v>7725</v>
      </c>
      <c r="AL43" s="109">
        <v>46267</v>
      </c>
      <c r="AM43" s="109">
        <v>44120</v>
      </c>
      <c r="AN43" s="109">
        <v>103162</v>
      </c>
      <c r="AO43" s="109">
        <v>1492467.06</v>
      </c>
      <c r="AP43" s="109">
        <v>0</v>
      </c>
      <c r="AQ43" s="109">
        <v>1053532.6299999999</v>
      </c>
      <c r="AR43" s="109">
        <v>166091.68</v>
      </c>
      <c r="AS43" s="109">
        <v>133016.76999999999</v>
      </c>
      <c r="AT43" s="109">
        <v>159424.35999999999</v>
      </c>
      <c r="AU43" s="109">
        <v>197003.18</v>
      </c>
      <c r="AV43" s="109">
        <v>22342.720000000001</v>
      </c>
      <c r="AW43" s="109">
        <v>13519.64</v>
      </c>
      <c r="AX43" s="109">
        <v>1020.08</v>
      </c>
      <c r="AY43" s="109">
        <v>3500</v>
      </c>
      <c r="AZ43" s="109">
        <v>28381.15</v>
      </c>
      <c r="BA43" s="109">
        <v>33882.160000000003</v>
      </c>
      <c r="BB43" s="109">
        <v>9523.67</v>
      </c>
      <c r="BC43" s="109">
        <v>5614.12</v>
      </c>
      <c r="BD43" s="109">
        <v>46057.48</v>
      </c>
      <c r="BE43" s="109">
        <v>54999.78</v>
      </c>
      <c r="BF43" s="109">
        <v>21329.27</v>
      </c>
      <c r="BG43" s="109">
        <v>54797.760000000002</v>
      </c>
      <c r="BH43" s="109">
        <v>32639.279999999999</v>
      </c>
      <c r="BI43" s="109">
        <v>0</v>
      </c>
      <c r="BJ43" s="109">
        <v>80438.539999999994</v>
      </c>
      <c r="BK43" s="109">
        <v>18784.11</v>
      </c>
      <c r="BL43" s="109">
        <v>18759.57</v>
      </c>
      <c r="BM43" s="109">
        <v>162086.32999999999</v>
      </c>
      <c r="BN43" s="109">
        <v>82263.3</v>
      </c>
      <c r="BO43" s="109">
        <v>61005.41</v>
      </c>
      <c r="BP43" s="109">
        <v>39465.46</v>
      </c>
      <c r="BQ43" s="109">
        <v>0</v>
      </c>
      <c r="BR43" s="109">
        <v>0</v>
      </c>
      <c r="BS43" s="109">
        <v>0</v>
      </c>
      <c r="BT43" s="109">
        <v>0</v>
      </c>
      <c r="BU43" s="109">
        <v>0</v>
      </c>
      <c r="BV43" s="109">
        <v>12326</v>
      </c>
      <c r="BW43" s="109">
        <v>0</v>
      </c>
      <c r="BX43" s="109">
        <v>0</v>
      </c>
      <c r="BY43" s="109">
        <v>1</v>
      </c>
      <c r="BZ43" s="109">
        <v>0</v>
      </c>
      <c r="CA43" s="658">
        <v>21125.59</v>
      </c>
      <c r="CB43" s="659"/>
      <c r="CC43" s="109">
        <v>30150</v>
      </c>
      <c r="CD43" s="109">
        <v>0</v>
      </c>
      <c r="CE43" s="109">
        <v>12832</v>
      </c>
      <c r="CF43" s="109">
        <v>107122</v>
      </c>
      <c r="CG43" s="109">
        <v>8177</v>
      </c>
      <c r="CH43" s="109">
        <v>0</v>
      </c>
      <c r="CI43" s="109">
        <v>-1965</v>
      </c>
      <c r="CJ43" s="110">
        <v>0</v>
      </c>
      <c r="CK43" s="111">
        <f t="shared" si="0"/>
        <v>117989</v>
      </c>
      <c r="CL43" s="111">
        <f t="shared" si="1"/>
        <v>8177</v>
      </c>
    </row>
    <row r="44" spans="1:90" ht="39.6">
      <c r="A44" s="109">
        <v>302</v>
      </c>
      <c r="B44" s="109">
        <v>2076</v>
      </c>
      <c r="C44" s="109" t="s">
        <v>110</v>
      </c>
      <c r="D44" s="109" t="s">
        <v>594</v>
      </c>
      <c r="E44" s="109"/>
      <c r="F44" s="109" t="s">
        <v>588</v>
      </c>
      <c r="G44" s="109">
        <v>0</v>
      </c>
      <c r="H44" s="109">
        <v>1</v>
      </c>
      <c r="I44" s="109" t="s">
        <v>589</v>
      </c>
      <c r="J44" s="109" t="s">
        <v>590</v>
      </c>
      <c r="K44" s="109" t="s">
        <v>591</v>
      </c>
      <c r="L44" s="109" t="s">
        <v>592</v>
      </c>
      <c r="M44" s="109" t="s">
        <v>591</v>
      </c>
      <c r="N44" s="109" t="s">
        <v>593</v>
      </c>
      <c r="O44" s="109" t="s">
        <v>188</v>
      </c>
      <c r="P44" s="109" t="s">
        <v>188</v>
      </c>
      <c r="Q44" s="109">
        <v>246380</v>
      </c>
      <c r="R44" s="109">
        <v>0</v>
      </c>
      <c r="S44" s="109">
        <v>59370</v>
      </c>
      <c r="T44" s="109">
        <v>1950998.33</v>
      </c>
      <c r="U44" s="109">
        <v>0</v>
      </c>
      <c r="V44" s="109">
        <v>96958.29</v>
      </c>
      <c r="W44" s="109">
        <v>0</v>
      </c>
      <c r="X44" s="109">
        <v>164498.04</v>
      </c>
      <c r="Y44" s="109">
        <v>0</v>
      </c>
      <c r="Z44" s="109">
        <v>5690</v>
      </c>
      <c r="AA44" s="109">
        <v>34406.5</v>
      </c>
      <c r="AB44" s="109">
        <v>43902.6</v>
      </c>
      <c r="AC44" s="109">
        <v>26815.23</v>
      </c>
      <c r="AD44" s="109">
        <v>0</v>
      </c>
      <c r="AE44" s="109">
        <v>0</v>
      </c>
      <c r="AF44" s="109">
        <v>3361.49</v>
      </c>
      <c r="AG44" s="109">
        <v>3153</v>
      </c>
      <c r="AH44" s="109">
        <v>0</v>
      </c>
      <c r="AI44" s="109">
        <v>0</v>
      </c>
      <c r="AJ44" s="109">
        <v>0</v>
      </c>
      <c r="AK44" s="109">
        <v>0</v>
      </c>
      <c r="AL44" s="109">
        <v>0</v>
      </c>
      <c r="AM44" s="109">
        <v>11760</v>
      </c>
      <c r="AN44" s="109">
        <v>77988.38</v>
      </c>
      <c r="AO44" s="109">
        <v>1135715.3999999999</v>
      </c>
      <c r="AP44" s="109">
        <v>22243.47</v>
      </c>
      <c r="AQ44" s="109">
        <v>401567.43</v>
      </c>
      <c r="AR44" s="109">
        <v>47180.7</v>
      </c>
      <c r="AS44" s="109">
        <v>192844.94</v>
      </c>
      <c r="AT44" s="109">
        <v>0</v>
      </c>
      <c r="AU44" s="109">
        <v>42644.29</v>
      </c>
      <c r="AV44" s="109">
        <v>9769.64</v>
      </c>
      <c r="AW44" s="109">
        <v>3515.42</v>
      </c>
      <c r="AX44" s="109">
        <v>578.91999999999996</v>
      </c>
      <c r="AY44" s="109">
        <v>0</v>
      </c>
      <c r="AZ44" s="109">
        <v>30983.74</v>
      </c>
      <c r="BA44" s="109">
        <v>301.69</v>
      </c>
      <c r="BB44" s="109">
        <v>44069.09</v>
      </c>
      <c r="BC44" s="109">
        <v>-14836.53</v>
      </c>
      <c r="BD44" s="109">
        <v>41240.959999999999</v>
      </c>
      <c r="BE44" s="109">
        <v>32000</v>
      </c>
      <c r="BF44" s="109">
        <v>12460.07</v>
      </c>
      <c r="BG44" s="109">
        <v>49217.91</v>
      </c>
      <c r="BH44" s="109">
        <v>23621.27</v>
      </c>
      <c r="BI44" s="109">
        <v>0</v>
      </c>
      <c r="BJ44" s="109">
        <v>12397.89</v>
      </c>
      <c r="BK44" s="109">
        <v>10066.11</v>
      </c>
      <c r="BL44" s="109">
        <v>8358.61</v>
      </c>
      <c r="BM44" s="109">
        <v>91237.85</v>
      </c>
      <c r="BN44" s="109">
        <v>1701</v>
      </c>
      <c r="BO44" s="109">
        <v>254512.65</v>
      </c>
      <c r="BP44" s="109">
        <v>23547.48</v>
      </c>
      <c r="BQ44" s="109">
        <v>0</v>
      </c>
      <c r="BR44" s="109">
        <v>0</v>
      </c>
      <c r="BS44" s="109">
        <v>0</v>
      </c>
      <c r="BT44" s="109">
        <v>0</v>
      </c>
      <c r="BU44" s="109">
        <v>0</v>
      </c>
      <c r="BV44" s="109">
        <v>8419</v>
      </c>
      <c r="BW44" s="109">
        <v>0</v>
      </c>
      <c r="BX44" s="109">
        <v>0</v>
      </c>
      <c r="BY44" s="109">
        <v>1</v>
      </c>
      <c r="BZ44" s="109">
        <v>0</v>
      </c>
      <c r="CA44" s="658">
        <v>61638.2</v>
      </c>
      <c r="CB44" s="659"/>
      <c r="CC44" s="109">
        <v>0</v>
      </c>
      <c r="CD44" s="109">
        <v>110</v>
      </c>
      <c r="CE44" s="109">
        <v>16769</v>
      </c>
      <c r="CF44" s="109">
        <v>172203</v>
      </c>
      <c r="CG44" s="109">
        <v>6041</v>
      </c>
      <c r="CH44" s="109">
        <v>0</v>
      </c>
      <c r="CI44" s="109">
        <v>0</v>
      </c>
      <c r="CJ44" s="110">
        <v>0</v>
      </c>
      <c r="CK44" s="111">
        <f t="shared" si="0"/>
        <v>188972</v>
      </c>
      <c r="CL44" s="111">
        <f t="shared" si="1"/>
        <v>6041</v>
      </c>
    </row>
    <row r="45" spans="1:90">
      <c r="A45" s="109">
        <v>302</v>
      </c>
      <c r="B45" s="109">
        <v>2077</v>
      </c>
      <c r="C45" s="109" t="s">
        <v>83</v>
      </c>
      <c r="D45" s="109" t="s">
        <v>594</v>
      </c>
      <c r="E45" s="109"/>
      <c r="F45" s="109" t="s">
        <v>588</v>
      </c>
      <c r="G45" s="109">
        <v>0</v>
      </c>
      <c r="H45" s="109">
        <v>1</v>
      </c>
      <c r="I45" s="109" t="s">
        <v>589</v>
      </c>
      <c r="J45" s="109" t="s">
        <v>590</v>
      </c>
      <c r="K45" s="109" t="s">
        <v>591</v>
      </c>
      <c r="L45" s="109" t="s">
        <v>592</v>
      </c>
      <c r="M45" s="109" t="s">
        <v>591</v>
      </c>
      <c r="N45" s="109" t="s">
        <v>593</v>
      </c>
      <c r="O45" s="109" t="s">
        <v>188</v>
      </c>
      <c r="P45" s="109" t="s">
        <v>188</v>
      </c>
      <c r="Q45" s="109">
        <v>147576.54</v>
      </c>
      <c r="R45" s="109">
        <v>0</v>
      </c>
      <c r="S45" s="109">
        <v>10888.45</v>
      </c>
      <c r="T45" s="109">
        <v>5566942.6500000004</v>
      </c>
      <c r="U45" s="109">
        <v>0</v>
      </c>
      <c r="V45" s="109">
        <v>768261.77</v>
      </c>
      <c r="W45" s="109">
        <v>0</v>
      </c>
      <c r="X45" s="109">
        <v>601490.01</v>
      </c>
      <c r="Y45" s="109">
        <v>4267</v>
      </c>
      <c r="Z45" s="109">
        <v>0</v>
      </c>
      <c r="AA45" s="109">
        <v>12665</v>
      </c>
      <c r="AB45" s="109">
        <v>87398.54</v>
      </c>
      <c r="AC45" s="109">
        <v>83579.17</v>
      </c>
      <c r="AD45" s="109">
        <v>0</v>
      </c>
      <c r="AE45" s="109">
        <v>0</v>
      </c>
      <c r="AF45" s="109">
        <v>18413.8</v>
      </c>
      <c r="AG45" s="109">
        <v>28504.66</v>
      </c>
      <c r="AH45" s="109">
        <v>0</v>
      </c>
      <c r="AI45" s="109">
        <v>0</v>
      </c>
      <c r="AJ45" s="109">
        <v>0</v>
      </c>
      <c r="AK45" s="109">
        <v>0</v>
      </c>
      <c r="AL45" s="109">
        <v>0</v>
      </c>
      <c r="AM45" s="109">
        <v>91865.12</v>
      </c>
      <c r="AN45" s="109">
        <v>120109.83</v>
      </c>
      <c r="AO45" s="109">
        <v>3260945.16</v>
      </c>
      <c r="AP45" s="109">
        <v>0</v>
      </c>
      <c r="AQ45" s="109">
        <v>1824899.43</v>
      </c>
      <c r="AR45" s="109">
        <v>302661.03999999998</v>
      </c>
      <c r="AS45" s="109">
        <v>232956.84</v>
      </c>
      <c r="AT45" s="109">
        <v>136052.06</v>
      </c>
      <c r="AU45" s="109">
        <v>281216.42</v>
      </c>
      <c r="AV45" s="109">
        <v>27547.46</v>
      </c>
      <c r="AW45" s="109">
        <v>7351.42</v>
      </c>
      <c r="AX45" s="109">
        <v>1420.24</v>
      </c>
      <c r="AY45" s="109">
        <v>0</v>
      </c>
      <c r="AZ45" s="109">
        <v>44991.54</v>
      </c>
      <c r="BA45" s="109">
        <v>32292.75</v>
      </c>
      <c r="BB45" s="109">
        <v>11320.87</v>
      </c>
      <c r="BC45" s="109">
        <v>36863.08</v>
      </c>
      <c r="BD45" s="109">
        <v>73637.5</v>
      </c>
      <c r="BE45" s="109">
        <v>5993.47</v>
      </c>
      <c r="BF45" s="109">
        <v>45936.38</v>
      </c>
      <c r="BG45" s="109">
        <v>277681.09000000003</v>
      </c>
      <c r="BH45" s="109">
        <v>36656.75</v>
      </c>
      <c r="BI45" s="109">
        <v>0</v>
      </c>
      <c r="BJ45" s="109">
        <v>83826.64</v>
      </c>
      <c r="BK45" s="109">
        <v>28267.91</v>
      </c>
      <c r="BL45" s="109">
        <v>44936.78</v>
      </c>
      <c r="BM45" s="109">
        <v>192422.9</v>
      </c>
      <c r="BN45" s="109">
        <v>101671.26</v>
      </c>
      <c r="BO45" s="109">
        <v>450986.97</v>
      </c>
      <c r="BP45" s="109">
        <v>70515.64</v>
      </c>
      <c r="BQ45" s="109">
        <v>0</v>
      </c>
      <c r="BR45" s="109">
        <v>0</v>
      </c>
      <c r="BS45" s="109">
        <v>0</v>
      </c>
      <c r="BT45" s="109">
        <v>0</v>
      </c>
      <c r="BU45" s="109">
        <v>0</v>
      </c>
      <c r="BV45" s="109">
        <v>14775.25</v>
      </c>
      <c r="BW45" s="109">
        <v>0</v>
      </c>
      <c r="BX45" s="109">
        <v>0</v>
      </c>
      <c r="BY45" s="109">
        <v>1</v>
      </c>
      <c r="BZ45" s="109">
        <v>0</v>
      </c>
      <c r="CA45" s="658">
        <v>0</v>
      </c>
      <c r="CB45" s="659"/>
      <c r="CC45" s="109">
        <v>0</v>
      </c>
      <c r="CD45" s="109">
        <v>0</v>
      </c>
      <c r="CE45" s="109">
        <v>0</v>
      </c>
      <c r="CF45" s="109">
        <v>-81978</v>
      </c>
      <c r="CG45" s="109">
        <v>25664</v>
      </c>
      <c r="CH45" s="109">
        <v>0</v>
      </c>
      <c r="CI45" s="109">
        <v>0</v>
      </c>
      <c r="CJ45" s="110">
        <v>0</v>
      </c>
      <c r="CK45" s="111">
        <f t="shared" si="0"/>
        <v>-81978</v>
      </c>
      <c r="CL45" s="111">
        <f t="shared" si="1"/>
        <v>25664</v>
      </c>
    </row>
    <row r="46" spans="1:90" ht="26.4">
      <c r="A46" s="109">
        <v>302</v>
      </c>
      <c r="B46" s="109">
        <v>2078</v>
      </c>
      <c r="C46" s="109" t="s">
        <v>86</v>
      </c>
      <c r="D46" s="109" t="s">
        <v>594</v>
      </c>
      <c r="E46" s="109"/>
      <c r="F46" s="109" t="s">
        <v>588</v>
      </c>
      <c r="G46" s="109">
        <v>0</v>
      </c>
      <c r="H46" s="109">
        <v>1</v>
      </c>
      <c r="I46" s="109" t="s">
        <v>589</v>
      </c>
      <c r="J46" s="109" t="s">
        <v>590</v>
      </c>
      <c r="K46" s="109" t="s">
        <v>591</v>
      </c>
      <c r="L46" s="109" t="s">
        <v>592</v>
      </c>
      <c r="M46" s="109" t="s">
        <v>591</v>
      </c>
      <c r="N46" s="109" t="s">
        <v>593</v>
      </c>
      <c r="O46" s="109" t="s">
        <v>188</v>
      </c>
      <c r="P46" s="109" t="s">
        <v>188</v>
      </c>
      <c r="Q46" s="109">
        <v>-288742.78999999998</v>
      </c>
      <c r="R46" s="109">
        <v>0</v>
      </c>
      <c r="S46" s="109">
        <v>10000</v>
      </c>
      <c r="T46" s="109">
        <v>1490492.11</v>
      </c>
      <c r="U46" s="109">
        <v>0</v>
      </c>
      <c r="V46" s="109">
        <v>75276.38</v>
      </c>
      <c r="W46" s="109">
        <v>0</v>
      </c>
      <c r="X46" s="109">
        <v>33625.019999999997</v>
      </c>
      <c r="Y46" s="109">
        <v>56842.25</v>
      </c>
      <c r="Z46" s="109">
        <v>0</v>
      </c>
      <c r="AA46" s="109">
        <v>0</v>
      </c>
      <c r="AB46" s="109">
        <v>26189.75</v>
      </c>
      <c r="AC46" s="109">
        <v>940.8</v>
      </c>
      <c r="AD46" s="109">
        <v>22728</v>
      </c>
      <c r="AE46" s="109">
        <v>0</v>
      </c>
      <c r="AF46" s="109">
        <v>16139</v>
      </c>
      <c r="AG46" s="109">
        <v>300357.45</v>
      </c>
      <c r="AH46" s="109">
        <v>0</v>
      </c>
      <c r="AI46" s="109">
        <v>0</v>
      </c>
      <c r="AJ46" s="109">
        <v>0</v>
      </c>
      <c r="AK46" s="109">
        <v>0</v>
      </c>
      <c r="AL46" s="109">
        <v>0</v>
      </c>
      <c r="AM46" s="109">
        <v>0</v>
      </c>
      <c r="AN46" s="109">
        <v>80792.88</v>
      </c>
      <c r="AO46" s="109">
        <v>957193.16</v>
      </c>
      <c r="AP46" s="109">
        <v>0</v>
      </c>
      <c r="AQ46" s="109">
        <v>326569.07</v>
      </c>
      <c r="AR46" s="109">
        <v>0</v>
      </c>
      <c r="AS46" s="109">
        <v>165398.95000000001</v>
      </c>
      <c r="AT46" s="109">
        <v>0</v>
      </c>
      <c r="AU46" s="109">
        <v>31288.74</v>
      </c>
      <c r="AV46" s="109">
        <v>2702.63</v>
      </c>
      <c r="AW46" s="109">
        <v>4832.71</v>
      </c>
      <c r="AX46" s="109">
        <v>29389.01</v>
      </c>
      <c r="AY46" s="109">
        <v>0</v>
      </c>
      <c r="AZ46" s="109">
        <v>19577.66</v>
      </c>
      <c r="BA46" s="109">
        <v>0</v>
      </c>
      <c r="BB46" s="109">
        <v>32796.239999999998</v>
      </c>
      <c r="BC46" s="109">
        <v>2619.02</v>
      </c>
      <c r="BD46" s="109">
        <v>41159.599999999999</v>
      </c>
      <c r="BE46" s="109">
        <v>19152</v>
      </c>
      <c r="BF46" s="109">
        <v>65743.34</v>
      </c>
      <c r="BG46" s="109">
        <v>93928.08</v>
      </c>
      <c r="BH46" s="109">
        <v>7219.19</v>
      </c>
      <c r="BI46" s="109">
        <v>0</v>
      </c>
      <c r="BJ46" s="109">
        <v>9257.94</v>
      </c>
      <c r="BK46" s="109">
        <v>3086.76</v>
      </c>
      <c r="BL46" s="109">
        <v>19586.3</v>
      </c>
      <c r="BM46" s="109">
        <v>40564.6</v>
      </c>
      <c r="BN46" s="109">
        <v>95249.71</v>
      </c>
      <c r="BO46" s="109">
        <v>65837.070000000007</v>
      </c>
      <c r="BP46" s="109">
        <v>20912.38</v>
      </c>
      <c r="BQ46" s="109">
        <v>0</v>
      </c>
      <c r="BR46" s="109">
        <v>0</v>
      </c>
      <c r="BS46" s="109">
        <v>0</v>
      </c>
      <c r="BT46" s="109">
        <v>0</v>
      </c>
      <c r="BU46" s="109">
        <v>0</v>
      </c>
      <c r="BV46" s="109">
        <v>0</v>
      </c>
      <c r="BW46" s="109">
        <v>10000</v>
      </c>
      <c r="BX46" s="109">
        <v>0</v>
      </c>
      <c r="BY46" s="109">
        <v>1</v>
      </c>
      <c r="BZ46" s="109">
        <v>0</v>
      </c>
      <c r="CA46" s="658">
        <v>18622.22</v>
      </c>
      <c r="CB46" s="659"/>
      <c r="CC46" s="109">
        <v>0</v>
      </c>
      <c r="CD46" s="109">
        <v>0</v>
      </c>
      <c r="CE46" s="109">
        <v>0</v>
      </c>
      <c r="CF46" s="109">
        <v>-239423</v>
      </c>
      <c r="CG46" s="109">
        <v>1378</v>
      </c>
      <c r="CH46" s="109">
        <v>0</v>
      </c>
      <c r="CI46" s="109">
        <v>0</v>
      </c>
      <c r="CJ46" s="110">
        <v>0</v>
      </c>
      <c r="CK46" s="111">
        <f t="shared" si="0"/>
        <v>-239423</v>
      </c>
      <c r="CL46" s="111">
        <f t="shared" si="1"/>
        <v>1378</v>
      </c>
    </row>
    <row r="47" spans="1:90" ht="26.4">
      <c r="A47" s="109">
        <v>302</v>
      </c>
      <c r="B47" s="109">
        <v>2079</v>
      </c>
      <c r="C47" s="109" t="s">
        <v>603</v>
      </c>
      <c r="D47" s="109" t="s">
        <v>594</v>
      </c>
      <c r="E47" s="109"/>
      <c r="F47" s="109" t="s">
        <v>588</v>
      </c>
      <c r="G47" s="109">
        <v>0</v>
      </c>
      <c r="H47" s="109">
        <v>0</v>
      </c>
      <c r="I47" s="109" t="s">
        <v>589</v>
      </c>
      <c r="J47" s="109" t="s">
        <v>590</v>
      </c>
      <c r="K47" s="109" t="s">
        <v>591</v>
      </c>
      <c r="L47" s="109" t="s">
        <v>592</v>
      </c>
      <c r="M47" s="109" t="s">
        <v>591</v>
      </c>
      <c r="N47" s="109" t="s">
        <v>593</v>
      </c>
      <c r="O47" s="109" t="s">
        <v>188</v>
      </c>
      <c r="P47" s="109" t="s">
        <v>188</v>
      </c>
      <c r="Q47" s="109">
        <v>108537.02</v>
      </c>
      <c r="R47" s="109">
        <v>0</v>
      </c>
      <c r="S47" s="109">
        <v>0</v>
      </c>
      <c r="T47" s="109">
        <v>2107555.62</v>
      </c>
      <c r="U47" s="109">
        <v>0</v>
      </c>
      <c r="V47" s="109">
        <v>9689.2199999999993</v>
      </c>
      <c r="W47" s="109">
        <v>0</v>
      </c>
      <c r="X47" s="109">
        <v>36314.97</v>
      </c>
      <c r="Y47" s="109">
        <v>0</v>
      </c>
      <c r="Z47" s="109">
        <v>0</v>
      </c>
      <c r="AA47" s="109">
        <v>0</v>
      </c>
      <c r="AB47" s="109">
        <v>0</v>
      </c>
      <c r="AC47" s="109">
        <v>0</v>
      </c>
      <c r="AD47" s="109">
        <v>0</v>
      </c>
      <c r="AE47" s="109">
        <v>0</v>
      </c>
      <c r="AF47" s="109">
        <v>3532.7</v>
      </c>
      <c r="AG47" s="109">
        <v>0</v>
      </c>
      <c r="AH47" s="109">
        <v>0</v>
      </c>
      <c r="AI47" s="109">
        <v>0</v>
      </c>
      <c r="AJ47" s="109">
        <v>0</v>
      </c>
      <c r="AK47" s="109">
        <v>0</v>
      </c>
      <c r="AL47" s="109">
        <v>0</v>
      </c>
      <c r="AM47" s="109">
        <v>0</v>
      </c>
      <c r="AN47" s="109">
        <v>117955.11</v>
      </c>
      <c r="AO47" s="109">
        <v>1353883.07</v>
      </c>
      <c r="AP47" s="109">
        <v>0</v>
      </c>
      <c r="AQ47" s="109">
        <v>189993.65</v>
      </c>
      <c r="AR47" s="109">
        <v>39775.370000000003</v>
      </c>
      <c r="AS47" s="109">
        <v>141715.5</v>
      </c>
      <c r="AT47" s="109">
        <v>0</v>
      </c>
      <c r="AU47" s="109">
        <v>48159.6</v>
      </c>
      <c r="AV47" s="109">
        <v>39288.839999999997</v>
      </c>
      <c r="AW47" s="109">
        <v>2342.39</v>
      </c>
      <c r="AX47" s="109">
        <v>711.76</v>
      </c>
      <c r="AY47" s="109">
        <v>0</v>
      </c>
      <c r="AZ47" s="109">
        <v>20568.7</v>
      </c>
      <c r="BA47" s="109">
        <v>0</v>
      </c>
      <c r="BB47" s="109">
        <v>48939.05</v>
      </c>
      <c r="BC47" s="109">
        <v>0</v>
      </c>
      <c r="BD47" s="109">
        <v>35463.89</v>
      </c>
      <c r="BE47" s="109">
        <v>28728</v>
      </c>
      <c r="BF47" s="109">
        <v>16129.46</v>
      </c>
      <c r="BG47" s="109">
        <v>53258.79</v>
      </c>
      <c r="BH47" s="109">
        <v>25949.64</v>
      </c>
      <c r="BI47" s="109">
        <v>0</v>
      </c>
      <c r="BJ47" s="109">
        <v>17263.79</v>
      </c>
      <c r="BK47" s="109">
        <v>13197.58</v>
      </c>
      <c r="BL47" s="109">
        <v>84725.64</v>
      </c>
      <c r="BM47" s="109">
        <v>74135.56</v>
      </c>
      <c r="BN47" s="109">
        <v>3520</v>
      </c>
      <c r="BO47" s="109">
        <v>81775.28</v>
      </c>
      <c r="BP47" s="109">
        <v>27505.71</v>
      </c>
      <c r="BQ47" s="109">
        <v>0</v>
      </c>
      <c r="BR47" s="109">
        <v>0</v>
      </c>
      <c r="BS47" s="109">
        <v>0</v>
      </c>
      <c r="BT47" s="109">
        <v>0</v>
      </c>
      <c r="BU47" s="109">
        <v>0</v>
      </c>
      <c r="BV47" s="109">
        <v>0</v>
      </c>
      <c r="BW47" s="109">
        <v>0</v>
      </c>
      <c r="BX47" s="109">
        <v>0</v>
      </c>
      <c r="BY47" s="109">
        <v>1</v>
      </c>
      <c r="BZ47" s="109">
        <v>0</v>
      </c>
      <c r="CA47" s="658">
        <v>0</v>
      </c>
      <c r="CB47" s="659"/>
      <c r="CC47" s="109">
        <v>0</v>
      </c>
      <c r="CD47" s="109">
        <v>0</v>
      </c>
      <c r="CE47" s="109">
        <v>36553</v>
      </c>
      <c r="CF47" s="109">
        <v>0</v>
      </c>
      <c r="CG47" s="109">
        <v>0</v>
      </c>
      <c r="CH47" s="109">
        <v>0</v>
      </c>
      <c r="CI47" s="109">
        <v>0</v>
      </c>
      <c r="CJ47" s="110">
        <v>0</v>
      </c>
      <c r="CK47" s="111">
        <f t="shared" si="0"/>
        <v>36553</v>
      </c>
      <c r="CL47" s="111">
        <f t="shared" si="1"/>
        <v>0</v>
      </c>
    </row>
    <row r="48" spans="1:90" ht="26.4">
      <c r="A48" s="109">
        <v>302</v>
      </c>
      <c r="B48" s="109">
        <v>3300</v>
      </c>
      <c r="C48" s="109" t="s">
        <v>604</v>
      </c>
      <c r="D48" s="109" t="s">
        <v>594</v>
      </c>
      <c r="E48" s="109"/>
      <c r="F48" s="109" t="s">
        <v>588</v>
      </c>
      <c r="G48" s="109">
        <v>0</v>
      </c>
      <c r="H48" s="109">
        <v>1</v>
      </c>
      <c r="I48" s="109" t="s">
        <v>589</v>
      </c>
      <c r="J48" s="109" t="s">
        <v>590</v>
      </c>
      <c r="K48" s="109" t="s">
        <v>591</v>
      </c>
      <c r="L48" s="109" t="s">
        <v>592</v>
      </c>
      <c r="M48" s="109" t="s">
        <v>591</v>
      </c>
      <c r="N48" s="109" t="s">
        <v>593</v>
      </c>
      <c r="O48" s="109" t="s">
        <v>188</v>
      </c>
      <c r="P48" s="109" t="s">
        <v>188</v>
      </c>
      <c r="Q48" s="109">
        <v>101.49</v>
      </c>
      <c r="R48" s="109">
        <v>0</v>
      </c>
      <c r="S48" s="109">
        <v>0</v>
      </c>
      <c r="T48" s="109">
        <v>940994.59</v>
      </c>
      <c r="U48" s="109">
        <v>0</v>
      </c>
      <c r="V48" s="109">
        <v>39240.15</v>
      </c>
      <c r="W48" s="109">
        <v>0</v>
      </c>
      <c r="X48" s="109">
        <v>114324.99</v>
      </c>
      <c r="Y48" s="109">
        <v>0</v>
      </c>
      <c r="Z48" s="109">
        <v>0</v>
      </c>
      <c r="AA48" s="109">
        <v>0</v>
      </c>
      <c r="AB48" s="109">
        <v>10064.4</v>
      </c>
      <c r="AC48" s="109">
        <v>5594.59</v>
      </c>
      <c r="AD48" s="109">
        <v>9940.08</v>
      </c>
      <c r="AE48" s="109">
        <v>0</v>
      </c>
      <c r="AF48" s="109">
        <v>-1293.1500000000001</v>
      </c>
      <c r="AG48" s="109">
        <v>12815.58</v>
      </c>
      <c r="AH48" s="109">
        <v>0</v>
      </c>
      <c r="AI48" s="109">
        <v>0</v>
      </c>
      <c r="AJ48" s="109">
        <v>0</v>
      </c>
      <c r="AK48" s="109">
        <v>0</v>
      </c>
      <c r="AL48" s="109">
        <v>0</v>
      </c>
      <c r="AM48" s="109">
        <v>17296.259999999998</v>
      </c>
      <c r="AN48" s="109">
        <v>26882</v>
      </c>
      <c r="AO48" s="109">
        <v>597177.76</v>
      </c>
      <c r="AP48" s="109">
        <v>0</v>
      </c>
      <c r="AQ48" s="109">
        <v>134362.26999999999</v>
      </c>
      <c r="AR48" s="109">
        <v>36387.93</v>
      </c>
      <c r="AS48" s="109">
        <v>40216.65</v>
      </c>
      <c r="AT48" s="109">
        <v>0</v>
      </c>
      <c r="AU48" s="109">
        <v>14398.73</v>
      </c>
      <c r="AV48" s="109">
        <v>2503.37</v>
      </c>
      <c r="AW48" s="109">
        <v>2204.71</v>
      </c>
      <c r="AX48" s="109">
        <v>280.44</v>
      </c>
      <c r="AY48" s="109">
        <v>0</v>
      </c>
      <c r="AZ48" s="109">
        <v>9528.9599999999991</v>
      </c>
      <c r="BA48" s="109">
        <v>6907.54</v>
      </c>
      <c r="BB48" s="109">
        <v>22306.14</v>
      </c>
      <c r="BC48" s="109">
        <v>6173.45</v>
      </c>
      <c r="BD48" s="109">
        <v>17833.75</v>
      </c>
      <c r="BE48" s="109">
        <v>2973.6</v>
      </c>
      <c r="BF48" s="109">
        <v>6240.64</v>
      </c>
      <c r="BG48" s="109">
        <v>24084.720000000001</v>
      </c>
      <c r="BH48" s="109">
        <v>11208.66</v>
      </c>
      <c r="BI48" s="109">
        <v>0</v>
      </c>
      <c r="BJ48" s="109">
        <v>8137.72</v>
      </c>
      <c r="BK48" s="109">
        <v>4765.7700000000004</v>
      </c>
      <c r="BL48" s="109">
        <v>2424.14</v>
      </c>
      <c r="BM48" s="109">
        <v>34225.17</v>
      </c>
      <c r="BN48" s="109">
        <v>20150.580000000002</v>
      </c>
      <c r="BO48" s="109">
        <v>77035.31</v>
      </c>
      <c r="BP48" s="109">
        <v>35469.760000000002</v>
      </c>
      <c r="BQ48" s="109">
        <v>0</v>
      </c>
      <c r="BR48" s="109">
        <v>0</v>
      </c>
      <c r="BS48" s="109">
        <v>0</v>
      </c>
      <c r="BT48" s="109">
        <v>0</v>
      </c>
      <c r="BU48" s="109">
        <v>0</v>
      </c>
      <c r="BV48" s="109">
        <v>0</v>
      </c>
      <c r="BW48" s="109">
        <v>0</v>
      </c>
      <c r="BX48" s="109">
        <v>0</v>
      </c>
      <c r="BY48" s="109">
        <v>1</v>
      </c>
      <c r="BZ48" s="109">
        <v>0</v>
      </c>
      <c r="CA48" s="658">
        <v>0</v>
      </c>
      <c r="CB48" s="659"/>
      <c r="CC48" s="109">
        <v>0</v>
      </c>
      <c r="CD48" s="109">
        <v>0</v>
      </c>
      <c r="CE48" s="109">
        <v>58963</v>
      </c>
      <c r="CF48" s="109">
        <v>0</v>
      </c>
      <c r="CG48" s="109">
        <v>0</v>
      </c>
      <c r="CH48" s="109">
        <v>0</v>
      </c>
      <c r="CI48" s="109">
        <v>0</v>
      </c>
      <c r="CJ48" s="110">
        <v>0</v>
      </c>
      <c r="CK48" s="111">
        <f t="shared" si="0"/>
        <v>58963</v>
      </c>
      <c r="CL48" s="111">
        <f t="shared" si="1"/>
        <v>0</v>
      </c>
    </row>
    <row r="49" spans="1:90" ht="26.4">
      <c r="A49" s="109">
        <v>302</v>
      </c>
      <c r="B49" s="109">
        <v>3302</v>
      </c>
      <c r="C49" s="109" t="s">
        <v>46</v>
      </c>
      <c r="D49" s="109" t="s">
        <v>594</v>
      </c>
      <c r="E49" s="109"/>
      <c r="F49" s="109" t="s">
        <v>588</v>
      </c>
      <c r="G49" s="109">
        <v>0</v>
      </c>
      <c r="H49" s="109">
        <v>0</v>
      </c>
      <c r="I49" s="109" t="s">
        <v>589</v>
      </c>
      <c r="J49" s="109" t="s">
        <v>590</v>
      </c>
      <c r="K49" s="109" t="s">
        <v>591</v>
      </c>
      <c r="L49" s="109" t="s">
        <v>592</v>
      </c>
      <c r="M49" s="109" t="s">
        <v>591</v>
      </c>
      <c r="N49" s="109" t="s">
        <v>593</v>
      </c>
      <c r="O49" s="109" t="s">
        <v>188</v>
      </c>
      <c r="P49" s="109" t="s">
        <v>188</v>
      </c>
      <c r="Q49" s="109">
        <v>395446.57</v>
      </c>
      <c r="R49" s="109">
        <v>0</v>
      </c>
      <c r="S49" s="109">
        <v>0</v>
      </c>
      <c r="T49" s="109">
        <v>1019879</v>
      </c>
      <c r="U49" s="109">
        <v>0</v>
      </c>
      <c r="V49" s="109">
        <v>63765.09</v>
      </c>
      <c r="W49" s="109">
        <v>0</v>
      </c>
      <c r="X49" s="109">
        <v>32934.93</v>
      </c>
      <c r="Y49" s="109">
        <v>1000</v>
      </c>
      <c r="Z49" s="109">
        <v>2100</v>
      </c>
      <c r="AA49" s="109">
        <v>10193.34</v>
      </c>
      <c r="AB49" s="109">
        <v>66437.14</v>
      </c>
      <c r="AC49" s="109">
        <v>31773.82</v>
      </c>
      <c r="AD49" s="109">
        <v>0</v>
      </c>
      <c r="AE49" s="109">
        <v>1040</v>
      </c>
      <c r="AF49" s="109">
        <v>30579.47</v>
      </c>
      <c r="AG49" s="109">
        <v>19385.07</v>
      </c>
      <c r="AH49" s="109">
        <v>0</v>
      </c>
      <c r="AI49" s="109">
        <v>0</v>
      </c>
      <c r="AJ49" s="109">
        <v>0</v>
      </c>
      <c r="AK49" s="109">
        <v>0</v>
      </c>
      <c r="AL49" s="109">
        <v>0</v>
      </c>
      <c r="AM49" s="109">
        <v>10035</v>
      </c>
      <c r="AN49" s="109">
        <v>51408</v>
      </c>
      <c r="AO49" s="109">
        <v>648208.09</v>
      </c>
      <c r="AP49" s="109">
        <v>0</v>
      </c>
      <c r="AQ49" s="109">
        <v>233587.82</v>
      </c>
      <c r="AR49" s="109">
        <v>37845.78</v>
      </c>
      <c r="AS49" s="109">
        <v>55734.29</v>
      </c>
      <c r="AT49" s="109">
        <v>0</v>
      </c>
      <c r="AU49" s="109">
        <v>59063.72</v>
      </c>
      <c r="AV49" s="109">
        <v>2722.73</v>
      </c>
      <c r="AW49" s="109">
        <v>2251.34</v>
      </c>
      <c r="AX49" s="109">
        <v>4436.76</v>
      </c>
      <c r="AY49" s="109">
        <v>2977.91</v>
      </c>
      <c r="AZ49" s="109">
        <v>35065.86</v>
      </c>
      <c r="BA49" s="109">
        <v>694.81</v>
      </c>
      <c r="BB49" s="109">
        <v>21955.15</v>
      </c>
      <c r="BC49" s="109">
        <v>2261.7600000000002</v>
      </c>
      <c r="BD49" s="109">
        <v>19042.96</v>
      </c>
      <c r="BE49" s="109">
        <v>4364</v>
      </c>
      <c r="BF49" s="109">
        <v>3033.48</v>
      </c>
      <c r="BG49" s="109">
        <v>62092.88</v>
      </c>
      <c r="BH49" s="109">
        <v>12593.64</v>
      </c>
      <c r="BI49" s="109">
        <v>0</v>
      </c>
      <c r="BJ49" s="109">
        <v>6641.17</v>
      </c>
      <c r="BK49" s="109">
        <v>6081.33</v>
      </c>
      <c r="BL49" s="109">
        <v>7837.2</v>
      </c>
      <c r="BM49" s="109">
        <v>72734.92</v>
      </c>
      <c r="BN49" s="109">
        <v>179</v>
      </c>
      <c r="BO49" s="109">
        <v>35192.300000000003</v>
      </c>
      <c r="BP49" s="109">
        <v>20408.27</v>
      </c>
      <c r="BQ49" s="109">
        <v>0</v>
      </c>
      <c r="BR49" s="109">
        <v>0</v>
      </c>
      <c r="BS49" s="109">
        <v>0</v>
      </c>
      <c r="BT49" s="109">
        <v>0</v>
      </c>
      <c r="BU49" s="109">
        <v>0</v>
      </c>
      <c r="BV49" s="109">
        <v>0</v>
      </c>
      <c r="BW49" s="109">
        <v>0</v>
      </c>
      <c r="BX49" s="109">
        <v>0</v>
      </c>
      <c r="BY49" s="109">
        <v>1</v>
      </c>
      <c r="BZ49" s="109">
        <v>0</v>
      </c>
      <c r="CA49" s="658">
        <v>0</v>
      </c>
      <c r="CB49" s="659"/>
      <c r="CC49" s="109">
        <v>0</v>
      </c>
      <c r="CD49" s="109">
        <v>0</v>
      </c>
      <c r="CE49" s="109">
        <v>20108</v>
      </c>
      <c r="CF49" s="109">
        <v>358862</v>
      </c>
      <c r="CG49" s="109">
        <v>0</v>
      </c>
      <c r="CH49" s="109">
        <v>0</v>
      </c>
      <c r="CI49" s="109">
        <v>0</v>
      </c>
      <c r="CJ49" s="110">
        <v>0</v>
      </c>
      <c r="CK49" s="111">
        <f t="shared" si="0"/>
        <v>378970</v>
      </c>
      <c r="CL49" s="111">
        <f t="shared" si="1"/>
        <v>0</v>
      </c>
    </row>
    <row r="50" spans="1:90" ht="26.4">
      <c r="A50" s="109">
        <v>302</v>
      </c>
      <c r="B50" s="109">
        <v>3304</v>
      </c>
      <c r="C50" s="109" t="s">
        <v>71</v>
      </c>
      <c r="D50" s="109" t="s">
        <v>594</v>
      </c>
      <c r="E50" s="109"/>
      <c r="F50" s="109" t="s">
        <v>588</v>
      </c>
      <c r="G50" s="109">
        <v>0</v>
      </c>
      <c r="H50" s="109">
        <v>0</v>
      </c>
      <c r="I50" s="109" t="s">
        <v>589</v>
      </c>
      <c r="J50" s="109" t="s">
        <v>590</v>
      </c>
      <c r="K50" s="109" t="s">
        <v>591</v>
      </c>
      <c r="L50" s="109" t="s">
        <v>592</v>
      </c>
      <c r="M50" s="109" t="s">
        <v>591</v>
      </c>
      <c r="N50" s="109" t="s">
        <v>593</v>
      </c>
      <c r="O50" s="109" t="s">
        <v>188</v>
      </c>
      <c r="P50" s="109" t="s">
        <v>188</v>
      </c>
      <c r="Q50" s="109">
        <v>202425.25</v>
      </c>
      <c r="R50" s="109">
        <v>0</v>
      </c>
      <c r="S50" s="109">
        <v>0</v>
      </c>
      <c r="T50" s="109">
        <v>1089069.53</v>
      </c>
      <c r="U50" s="109">
        <v>0</v>
      </c>
      <c r="V50" s="109">
        <v>78710.570000000007</v>
      </c>
      <c r="W50" s="109">
        <v>0</v>
      </c>
      <c r="X50" s="109">
        <v>73284.990000000005</v>
      </c>
      <c r="Y50" s="109">
        <v>0</v>
      </c>
      <c r="Z50" s="109">
        <v>0</v>
      </c>
      <c r="AA50" s="109">
        <v>0</v>
      </c>
      <c r="AB50" s="109">
        <v>41819.01</v>
      </c>
      <c r="AC50" s="109">
        <v>36688.22</v>
      </c>
      <c r="AD50" s="109">
        <v>16200</v>
      </c>
      <c r="AE50" s="109">
        <v>0</v>
      </c>
      <c r="AF50" s="109">
        <v>15058</v>
      </c>
      <c r="AG50" s="109">
        <v>5913.02</v>
      </c>
      <c r="AH50" s="109">
        <v>0</v>
      </c>
      <c r="AI50" s="109">
        <v>0</v>
      </c>
      <c r="AJ50" s="109">
        <v>0</v>
      </c>
      <c r="AK50" s="109">
        <v>0</v>
      </c>
      <c r="AL50" s="109">
        <v>3634.06</v>
      </c>
      <c r="AM50" s="109">
        <v>6712.81</v>
      </c>
      <c r="AN50" s="109">
        <v>47908.42</v>
      </c>
      <c r="AO50" s="109">
        <v>706121.51</v>
      </c>
      <c r="AP50" s="109">
        <v>0</v>
      </c>
      <c r="AQ50" s="109">
        <v>324175.73</v>
      </c>
      <c r="AR50" s="109">
        <v>35244.65</v>
      </c>
      <c r="AS50" s="109">
        <v>76940.34</v>
      </c>
      <c r="AT50" s="109">
        <v>0</v>
      </c>
      <c r="AU50" s="109">
        <v>20049.11</v>
      </c>
      <c r="AV50" s="109">
        <v>6877.13</v>
      </c>
      <c r="AW50" s="109">
        <v>7506.99</v>
      </c>
      <c r="AX50" s="109">
        <v>6483.97</v>
      </c>
      <c r="AY50" s="109">
        <v>0</v>
      </c>
      <c r="AZ50" s="109">
        <v>27839.58</v>
      </c>
      <c r="BA50" s="109">
        <v>0</v>
      </c>
      <c r="BB50" s="109">
        <v>17771.2</v>
      </c>
      <c r="BC50" s="109">
        <v>2931.8</v>
      </c>
      <c r="BD50" s="109">
        <v>10612.89</v>
      </c>
      <c r="BE50" s="109">
        <v>3558.4</v>
      </c>
      <c r="BF50" s="109">
        <v>11019.01</v>
      </c>
      <c r="BG50" s="109">
        <v>32659.200000000001</v>
      </c>
      <c r="BH50" s="109">
        <v>7169.5</v>
      </c>
      <c r="BI50" s="109">
        <v>0</v>
      </c>
      <c r="BJ50" s="109">
        <v>14707.19</v>
      </c>
      <c r="BK50" s="109">
        <v>5669.63</v>
      </c>
      <c r="BL50" s="109">
        <v>12302.65</v>
      </c>
      <c r="BM50" s="109">
        <v>52159.05</v>
      </c>
      <c r="BN50" s="109">
        <v>26577.9</v>
      </c>
      <c r="BO50" s="109">
        <v>99000.92</v>
      </c>
      <c r="BP50" s="109">
        <v>57884.9</v>
      </c>
      <c r="BQ50" s="109">
        <v>0</v>
      </c>
      <c r="BR50" s="109">
        <v>0</v>
      </c>
      <c r="BS50" s="109">
        <v>0</v>
      </c>
      <c r="BT50" s="109">
        <v>0</v>
      </c>
      <c r="BU50" s="109">
        <v>0</v>
      </c>
      <c r="BV50" s="109">
        <v>0</v>
      </c>
      <c r="BW50" s="109">
        <v>0</v>
      </c>
      <c r="BX50" s="109">
        <v>0</v>
      </c>
      <c r="BY50" s="109">
        <v>1</v>
      </c>
      <c r="BZ50" s="109">
        <v>0</v>
      </c>
      <c r="CA50" s="658">
        <v>0</v>
      </c>
      <c r="CB50" s="659"/>
      <c r="CC50" s="109">
        <v>0</v>
      </c>
      <c r="CD50" s="109">
        <v>0</v>
      </c>
      <c r="CE50" s="109">
        <v>0</v>
      </c>
      <c r="CF50" s="109">
        <v>52161</v>
      </c>
      <c r="CG50" s="109">
        <v>0</v>
      </c>
      <c r="CH50" s="109">
        <v>0</v>
      </c>
      <c r="CI50" s="109">
        <v>0</v>
      </c>
      <c r="CJ50" s="110">
        <v>0</v>
      </c>
      <c r="CK50" s="111">
        <f t="shared" si="0"/>
        <v>52161</v>
      </c>
      <c r="CL50" s="111">
        <f t="shared" si="1"/>
        <v>0</v>
      </c>
    </row>
    <row r="51" spans="1:90" ht="26.4">
      <c r="A51" s="109">
        <v>302</v>
      </c>
      <c r="B51" s="109">
        <v>3305</v>
      </c>
      <c r="C51" s="109" t="s">
        <v>78</v>
      </c>
      <c r="D51" s="109" t="s">
        <v>594</v>
      </c>
      <c r="E51" s="109"/>
      <c r="F51" s="109" t="s">
        <v>588</v>
      </c>
      <c r="G51" s="109">
        <v>0</v>
      </c>
      <c r="H51" s="109">
        <v>2</v>
      </c>
      <c r="I51" s="109" t="s">
        <v>589</v>
      </c>
      <c r="J51" s="109" t="s">
        <v>590</v>
      </c>
      <c r="K51" s="109" t="s">
        <v>591</v>
      </c>
      <c r="L51" s="109" t="s">
        <v>592</v>
      </c>
      <c r="M51" s="109" t="s">
        <v>591</v>
      </c>
      <c r="N51" s="109" t="s">
        <v>593</v>
      </c>
      <c r="O51" s="109" t="s">
        <v>188</v>
      </c>
      <c r="P51" s="109" t="s">
        <v>188</v>
      </c>
      <c r="Q51" s="109">
        <v>93323.839999999997</v>
      </c>
      <c r="R51" s="109">
        <v>0</v>
      </c>
      <c r="S51" s="109">
        <v>0</v>
      </c>
      <c r="T51" s="109">
        <v>723294.54</v>
      </c>
      <c r="U51" s="109">
        <v>0</v>
      </c>
      <c r="V51" s="109">
        <v>40728.97</v>
      </c>
      <c r="W51" s="109">
        <v>0</v>
      </c>
      <c r="X51" s="109">
        <v>23520</v>
      </c>
      <c r="Y51" s="109">
        <v>-10875.96</v>
      </c>
      <c r="Z51" s="109">
        <v>43014.96</v>
      </c>
      <c r="AA51" s="109">
        <v>5042</v>
      </c>
      <c r="AB51" s="109">
        <v>3876.52</v>
      </c>
      <c r="AC51" s="109">
        <v>17553.36</v>
      </c>
      <c r="AD51" s="109">
        <v>882</v>
      </c>
      <c r="AE51" s="109">
        <v>0</v>
      </c>
      <c r="AF51" s="109">
        <v>23744.92</v>
      </c>
      <c r="AG51" s="109">
        <v>9179.77</v>
      </c>
      <c r="AH51" s="109">
        <v>0</v>
      </c>
      <c r="AI51" s="109">
        <v>0</v>
      </c>
      <c r="AJ51" s="109">
        <v>0</v>
      </c>
      <c r="AK51" s="109">
        <v>0</v>
      </c>
      <c r="AL51" s="109">
        <v>0</v>
      </c>
      <c r="AM51" s="109">
        <v>7196</v>
      </c>
      <c r="AN51" s="109">
        <v>41257.17</v>
      </c>
      <c r="AO51" s="109">
        <v>511587.09</v>
      </c>
      <c r="AP51" s="109">
        <v>0</v>
      </c>
      <c r="AQ51" s="109">
        <v>125430.71</v>
      </c>
      <c r="AR51" s="109">
        <v>41541.089999999997</v>
      </c>
      <c r="AS51" s="109">
        <v>35055.9</v>
      </c>
      <c r="AT51" s="109">
        <v>0</v>
      </c>
      <c r="AU51" s="109">
        <v>35911.050000000003</v>
      </c>
      <c r="AV51" s="109">
        <v>1910.66</v>
      </c>
      <c r="AW51" s="109">
        <v>4687</v>
      </c>
      <c r="AX51" s="109">
        <v>6332.33</v>
      </c>
      <c r="AY51" s="109">
        <v>0</v>
      </c>
      <c r="AZ51" s="109">
        <v>8088.33</v>
      </c>
      <c r="BA51" s="109">
        <v>0</v>
      </c>
      <c r="BB51" s="109">
        <v>788.52</v>
      </c>
      <c r="BC51" s="109">
        <v>-829.42</v>
      </c>
      <c r="BD51" s="109">
        <v>12837.2</v>
      </c>
      <c r="BE51" s="109">
        <v>1544.06</v>
      </c>
      <c r="BF51" s="109">
        <v>4938.49</v>
      </c>
      <c r="BG51" s="109">
        <v>39523.75</v>
      </c>
      <c r="BH51" s="109">
        <v>11043.27</v>
      </c>
      <c r="BI51" s="109">
        <v>0</v>
      </c>
      <c r="BJ51" s="109">
        <v>7831.66</v>
      </c>
      <c r="BK51" s="109">
        <v>5134.96</v>
      </c>
      <c r="BL51" s="109">
        <v>4428.33</v>
      </c>
      <c r="BM51" s="109">
        <v>43805.54</v>
      </c>
      <c r="BN51" s="109">
        <v>0</v>
      </c>
      <c r="BO51" s="109">
        <v>19149.78</v>
      </c>
      <c r="BP51" s="109">
        <v>27253.360000000001</v>
      </c>
      <c r="BQ51" s="109">
        <v>0</v>
      </c>
      <c r="BR51" s="109">
        <v>0</v>
      </c>
      <c r="BS51" s="109">
        <v>0</v>
      </c>
      <c r="BT51" s="109">
        <v>0</v>
      </c>
      <c r="BU51" s="109">
        <v>0</v>
      </c>
      <c r="BV51" s="109">
        <v>0</v>
      </c>
      <c r="BW51" s="109">
        <v>0</v>
      </c>
      <c r="BX51" s="109">
        <v>0</v>
      </c>
      <c r="BY51" s="109">
        <v>1</v>
      </c>
      <c r="BZ51" s="109">
        <v>0</v>
      </c>
      <c r="CA51" s="658">
        <v>0</v>
      </c>
      <c r="CB51" s="659"/>
      <c r="CC51" s="109">
        <v>0</v>
      </c>
      <c r="CD51" s="109">
        <v>0</v>
      </c>
      <c r="CE51" s="109">
        <v>73744</v>
      </c>
      <c r="CF51" s="109">
        <v>0</v>
      </c>
      <c r="CG51" s="109">
        <v>0</v>
      </c>
      <c r="CH51" s="109">
        <v>0</v>
      </c>
      <c r="CI51" s="109">
        <v>0</v>
      </c>
      <c r="CJ51" s="110">
        <v>0</v>
      </c>
      <c r="CK51" s="111">
        <f t="shared" si="0"/>
        <v>73744</v>
      </c>
      <c r="CL51" s="111">
        <f t="shared" si="1"/>
        <v>0</v>
      </c>
    </row>
    <row r="52" spans="1:90" ht="26.4">
      <c r="A52" s="109">
        <v>302</v>
      </c>
      <c r="B52" s="109">
        <v>3307</v>
      </c>
      <c r="C52" s="109" t="s">
        <v>605</v>
      </c>
      <c r="D52" s="109" t="s">
        <v>594</v>
      </c>
      <c r="E52" s="109"/>
      <c r="F52" s="109" t="s">
        <v>588</v>
      </c>
      <c r="G52" s="109">
        <v>0</v>
      </c>
      <c r="H52" s="109">
        <v>0</v>
      </c>
      <c r="I52" s="109" t="s">
        <v>589</v>
      </c>
      <c r="J52" s="109" t="s">
        <v>590</v>
      </c>
      <c r="K52" s="109" t="s">
        <v>591</v>
      </c>
      <c r="L52" s="109" t="s">
        <v>592</v>
      </c>
      <c r="M52" s="109" t="s">
        <v>591</v>
      </c>
      <c r="N52" s="109" t="s">
        <v>593</v>
      </c>
      <c r="O52" s="109" t="s">
        <v>188</v>
      </c>
      <c r="P52" s="109" t="s">
        <v>188</v>
      </c>
      <c r="Q52" s="109">
        <v>95063.12</v>
      </c>
      <c r="R52" s="109">
        <v>0</v>
      </c>
      <c r="S52" s="109">
        <v>0</v>
      </c>
      <c r="T52" s="109">
        <v>1080868.3799999999</v>
      </c>
      <c r="U52" s="109">
        <v>0</v>
      </c>
      <c r="V52" s="109">
        <v>13533.28</v>
      </c>
      <c r="W52" s="109">
        <v>0</v>
      </c>
      <c r="X52" s="109">
        <v>27900.03</v>
      </c>
      <c r="Y52" s="109">
        <v>3475</v>
      </c>
      <c r="Z52" s="109">
        <v>250</v>
      </c>
      <c r="AA52" s="109">
        <v>50872.25</v>
      </c>
      <c r="AB52" s="109">
        <v>26887.94</v>
      </c>
      <c r="AC52" s="109">
        <v>22853.67</v>
      </c>
      <c r="AD52" s="109">
        <v>0</v>
      </c>
      <c r="AE52" s="109">
        <v>0</v>
      </c>
      <c r="AF52" s="109">
        <v>12861.8</v>
      </c>
      <c r="AG52" s="109">
        <v>10864.37</v>
      </c>
      <c r="AH52" s="109">
        <v>0</v>
      </c>
      <c r="AI52" s="109">
        <v>0</v>
      </c>
      <c r="AJ52" s="109">
        <v>0</v>
      </c>
      <c r="AK52" s="109">
        <v>0</v>
      </c>
      <c r="AL52" s="109">
        <v>0</v>
      </c>
      <c r="AM52" s="109">
        <v>9709.3799999999992</v>
      </c>
      <c r="AN52" s="109">
        <v>51022.67</v>
      </c>
      <c r="AO52" s="109">
        <v>657250.36</v>
      </c>
      <c r="AP52" s="109">
        <v>0</v>
      </c>
      <c r="AQ52" s="109">
        <v>221814.14</v>
      </c>
      <c r="AR52" s="109">
        <v>62959.19</v>
      </c>
      <c r="AS52" s="109">
        <v>40951.29</v>
      </c>
      <c r="AT52" s="109">
        <v>0</v>
      </c>
      <c r="AU52" s="109">
        <v>19963.8</v>
      </c>
      <c r="AV52" s="109">
        <v>1061.0899999999999</v>
      </c>
      <c r="AW52" s="109">
        <v>2124.3000000000002</v>
      </c>
      <c r="AX52" s="109">
        <v>342.76</v>
      </c>
      <c r="AY52" s="109">
        <v>0</v>
      </c>
      <c r="AZ52" s="109">
        <v>11911.26</v>
      </c>
      <c r="BA52" s="109">
        <v>6257.4</v>
      </c>
      <c r="BB52" s="109">
        <v>3990.16</v>
      </c>
      <c r="BC52" s="109">
        <v>4803.1000000000004</v>
      </c>
      <c r="BD52" s="109">
        <v>33691.14</v>
      </c>
      <c r="BE52" s="109">
        <v>3845.89</v>
      </c>
      <c r="BF52" s="109">
        <v>7709.62</v>
      </c>
      <c r="BG52" s="109">
        <v>45046.42</v>
      </c>
      <c r="BH52" s="109">
        <v>13118.03</v>
      </c>
      <c r="BI52" s="109">
        <v>0</v>
      </c>
      <c r="BJ52" s="109">
        <v>7931.75</v>
      </c>
      <c r="BK52" s="109">
        <v>11288.64</v>
      </c>
      <c r="BL52" s="109">
        <v>10.95</v>
      </c>
      <c r="BM52" s="109">
        <v>63437.97</v>
      </c>
      <c r="BN52" s="109">
        <v>31654.28</v>
      </c>
      <c r="BO52" s="109">
        <v>40579.370000000003</v>
      </c>
      <c r="BP52" s="109">
        <v>34661.800000000003</v>
      </c>
      <c r="BQ52" s="109">
        <v>0</v>
      </c>
      <c r="BR52" s="109">
        <v>0</v>
      </c>
      <c r="BS52" s="109">
        <v>14191.8</v>
      </c>
      <c r="BT52" s="109">
        <v>0</v>
      </c>
      <c r="BU52" s="109">
        <v>0</v>
      </c>
      <c r="BV52" s="109">
        <v>0</v>
      </c>
      <c r="BW52" s="109">
        <v>2333</v>
      </c>
      <c r="BX52" s="109">
        <v>14191.8</v>
      </c>
      <c r="BY52" s="109">
        <v>1</v>
      </c>
      <c r="BZ52" s="109">
        <v>0</v>
      </c>
      <c r="CA52" s="658">
        <v>0</v>
      </c>
      <c r="CB52" s="659"/>
      <c r="CC52" s="109">
        <v>0</v>
      </c>
      <c r="CD52" s="109">
        <v>16524.8</v>
      </c>
      <c r="CE52" s="109">
        <v>19762</v>
      </c>
      <c r="CF52" s="109">
        <v>45803</v>
      </c>
      <c r="CG52" s="109">
        <v>0</v>
      </c>
      <c r="CH52" s="109">
        <v>0</v>
      </c>
      <c r="CI52" s="109">
        <v>0</v>
      </c>
      <c r="CJ52" s="110">
        <v>0</v>
      </c>
      <c r="CK52" s="111">
        <f t="shared" si="0"/>
        <v>65565</v>
      </c>
      <c r="CL52" s="111">
        <f t="shared" si="1"/>
        <v>0</v>
      </c>
    </row>
    <row r="53" spans="1:90" ht="26.4">
      <c r="A53" s="109">
        <v>302</v>
      </c>
      <c r="B53" s="109">
        <v>3309</v>
      </c>
      <c r="C53" s="109" t="s">
        <v>606</v>
      </c>
      <c r="D53" s="109" t="s">
        <v>594</v>
      </c>
      <c r="E53" s="109"/>
      <c r="F53" s="109" t="s">
        <v>588</v>
      </c>
      <c r="G53" s="109">
        <v>0</v>
      </c>
      <c r="H53" s="109">
        <v>0</v>
      </c>
      <c r="I53" s="109" t="s">
        <v>589</v>
      </c>
      <c r="J53" s="109" t="s">
        <v>590</v>
      </c>
      <c r="K53" s="109" t="s">
        <v>591</v>
      </c>
      <c r="L53" s="109" t="s">
        <v>592</v>
      </c>
      <c r="M53" s="109" t="s">
        <v>591</v>
      </c>
      <c r="N53" s="109" t="s">
        <v>593</v>
      </c>
      <c r="O53" s="109" t="s">
        <v>188</v>
      </c>
      <c r="P53" s="109" t="s">
        <v>188</v>
      </c>
      <c r="Q53" s="109">
        <v>49494.51</v>
      </c>
      <c r="R53" s="109">
        <v>0</v>
      </c>
      <c r="S53" s="109">
        <v>0</v>
      </c>
      <c r="T53" s="109">
        <v>1066409.82</v>
      </c>
      <c r="U53" s="109">
        <v>0</v>
      </c>
      <c r="V53" s="109">
        <v>50403.09</v>
      </c>
      <c r="W53" s="109">
        <v>0</v>
      </c>
      <c r="X53" s="109">
        <v>42164.06</v>
      </c>
      <c r="Y53" s="109">
        <v>0</v>
      </c>
      <c r="Z53" s="109">
        <v>650</v>
      </c>
      <c r="AA53" s="109">
        <v>9787.5</v>
      </c>
      <c r="AB53" s="109">
        <v>87376.72</v>
      </c>
      <c r="AC53" s="109">
        <v>25370.44</v>
      </c>
      <c r="AD53" s="109">
        <v>0</v>
      </c>
      <c r="AE53" s="109">
        <v>475</v>
      </c>
      <c r="AF53" s="109">
        <v>27082.7</v>
      </c>
      <c r="AG53" s="109">
        <v>12658.11</v>
      </c>
      <c r="AH53" s="109">
        <v>0</v>
      </c>
      <c r="AI53" s="109">
        <v>0</v>
      </c>
      <c r="AJ53" s="109">
        <v>0</v>
      </c>
      <c r="AK53" s="109">
        <v>0</v>
      </c>
      <c r="AL53" s="109">
        <v>0</v>
      </c>
      <c r="AM53" s="109">
        <v>10233.120000000001</v>
      </c>
      <c r="AN53" s="109">
        <v>51982.33</v>
      </c>
      <c r="AO53" s="109">
        <v>628340.66</v>
      </c>
      <c r="AP53" s="109">
        <v>0</v>
      </c>
      <c r="AQ53" s="109">
        <v>227446.38</v>
      </c>
      <c r="AR53" s="109">
        <v>22764.65</v>
      </c>
      <c r="AS53" s="109">
        <v>48075.23</v>
      </c>
      <c r="AT53" s="109">
        <v>0</v>
      </c>
      <c r="AU53" s="109">
        <v>46202.93</v>
      </c>
      <c r="AV53" s="109">
        <v>4567.96</v>
      </c>
      <c r="AW53" s="109">
        <v>5714.68</v>
      </c>
      <c r="AX53" s="109">
        <v>346.04</v>
      </c>
      <c r="AY53" s="109">
        <v>0</v>
      </c>
      <c r="AZ53" s="109">
        <v>21416.42</v>
      </c>
      <c r="BA53" s="109">
        <v>7084.25</v>
      </c>
      <c r="BB53" s="109">
        <v>20692.14</v>
      </c>
      <c r="BC53" s="109">
        <v>3314.83</v>
      </c>
      <c r="BD53" s="109">
        <v>19716.849999999999</v>
      </c>
      <c r="BE53" s="109">
        <v>4582.3999999999996</v>
      </c>
      <c r="BF53" s="109">
        <v>6858.16</v>
      </c>
      <c r="BG53" s="109">
        <v>59790.71</v>
      </c>
      <c r="BH53" s="109">
        <v>13882.26</v>
      </c>
      <c r="BI53" s="109">
        <v>0</v>
      </c>
      <c r="BJ53" s="109">
        <v>9199.02</v>
      </c>
      <c r="BK53" s="109">
        <v>3524.79</v>
      </c>
      <c r="BL53" s="109">
        <v>5531.44</v>
      </c>
      <c r="BM53" s="109">
        <v>61906.73</v>
      </c>
      <c r="BN53" s="109">
        <v>13967.61</v>
      </c>
      <c r="BO53" s="109">
        <v>26893.5</v>
      </c>
      <c r="BP53" s="109">
        <v>34957.300000000003</v>
      </c>
      <c r="BQ53" s="109">
        <v>0</v>
      </c>
      <c r="BR53" s="109">
        <v>0</v>
      </c>
      <c r="BS53" s="109">
        <v>0</v>
      </c>
      <c r="BT53" s="109">
        <v>0</v>
      </c>
      <c r="BU53" s="109">
        <v>0</v>
      </c>
      <c r="BV53" s="109">
        <v>0</v>
      </c>
      <c r="BW53" s="109">
        <v>0</v>
      </c>
      <c r="BX53" s="109">
        <v>0</v>
      </c>
      <c r="BY53" s="109">
        <v>1</v>
      </c>
      <c r="BZ53" s="109">
        <v>0</v>
      </c>
      <c r="CA53" s="658">
        <v>0</v>
      </c>
      <c r="CB53" s="659"/>
      <c r="CC53" s="109">
        <v>0</v>
      </c>
      <c r="CD53" s="109">
        <v>0</v>
      </c>
      <c r="CE53" s="109">
        <v>25852</v>
      </c>
      <c r="CF53" s="109">
        <v>111458</v>
      </c>
      <c r="CG53" s="109">
        <v>0</v>
      </c>
      <c r="CH53" s="109">
        <v>0</v>
      </c>
      <c r="CI53" s="109">
        <v>0</v>
      </c>
      <c r="CJ53" s="110">
        <v>0</v>
      </c>
      <c r="CK53" s="111">
        <f t="shared" si="0"/>
        <v>137310</v>
      </c>
      <c r="CL53" s="111">
        <f t="shared" si="1"/>
        <v>0</v>
      </c>
    </row>
    <row r="54" spans="1:90" ht="26.4">
      <c r="A54" s="109">
        <v>302</v>
      </c>
      <c r="B54" s="109">
        <v>3311</v>
      </c>
      <c r="C54" s="109" t="s">
        <v>607</v>
      </c>
      <c r="D54" s="109" t="s">
        <v>594</v>
      </c>
      <c r="E54" s="109"/>
      <c r="F54" s="109" t="s">
        <v>588</v>
      </c>
      <c r="G54" s="109">
        <v>0</v>
      </c>
      <c r="H54" s="109">
        <v>0</v>
      </c>
      <c r="I54" s="109" t="s">
        <v>589</v>
      </c>
      <c r="J54" s="109" t="s">
        <v>590</v>
      </c>
      <c r="K54" s="109" t="s">
        <v>591</v>
      </c>
      <c r="L54" s="109" t="s">
        <v>592</v>
      </c>
      <c r="M54" s="109" t="s">
        <v>591</v>
      </c>
      <c r="N54" s="109" t="s">
        <v>593</v>
      </c>
      <c r="O54" s="109" t="s">
        <v>188</v>
      </c>
      <c r="P54" s="109" t="s">
        <v>188</v>
      </c>
      <c r="Q54" s="109">
        <v>79125.820000000007</v>
      </c>
      <c r="R54" s="109">
        <v>0</v>
      </c>
      <c r="S54" s="109">
        <v>0</v>
      </c>
      <c r="T54" s="109">
        <v>2008323.87</v>
      </c>
      <c r="U54" s="109">
        <v>0</v>
      </c>
      <c r="V54" s="109">
        <v>63984.63</v>
      </c>
      <c r="W54" s="109">
        <v>0</v>
      </c>
      <c r="X54" s="109">
        <v>101784.94</v>
      </c>
      <c r="Y54" s="109">
        <v>5600</v>
      </c>
      <c r="Z54" s="109">
        <v>0</v>
      </c>
      <c r="AA54" s="109">
        <v>11433.5</v>
      </c>
      <c r="AB54" s="109">
        <v>66843.58</v>
      </c>
      <c r="AC54" s="109">
        <v>63139.62</v>
      </c>
      <c r="AD54" s="109">
        <v>0</v>
      </c>
      <c r="AE54" s="109">
        <v>0</v>
      </c>
      <c r="AF54" s="109">
        <v>27866.62</v>
      </c>
      <c r="AG54" s="109">
        <v>16738.46</v>
      </c>
      <c r="AH54" s="109">
        <v>0</v>
      </c>
      <c r="AI54" s="109">
        <v>0</v>
      </c>
      <c r="AJ54" s="109">
        <v>0</v>
      </c>
      <c r="AK54" s="109">
        <v>0</v>
      </c>
      <c r="AL54" s="109">
        <v>3681.62</v>
      </c>
      <c r="AM54" s="109">
        <v>23046.26</v>
      </c>
      <c r="AN54" s="109">
        <v>86092.5</v>
      </c>
      <c r="AO54" s="109">
        <v>1193924.04</v>
      </c>
      <c r="AP54" s="109">
        <v>0</v>
      </c>
      <c r="AQ54" s="109">
        <v>516946.56</v>
      </c>
      <c r="AR54" s="109">
        <v>34194.35</v>
      </c>
      <c r="AS54" s="109">
        <v>75354.09</v>
      </c>
      <c r="AT54" s="109">
        <v>0</v>
      </c>
      <c r="AU54" s="109">
        <v>30387.05</v>
      </c>
      <c r="AV54" s="109">
        <v>43982.9</v>
      </c>
      <c r="AW54" s="109">
        <v>7278.96</v>
      </c>
      <c r="AX54" s="109">
        <v>674.04</v>
      </c>
      <c r="AY54" s="109">
        <v>0</v>
      </c>
      <c r="AZ54" s="109">
        <v>25159.65</v>
      </c>
      <c r="BA54" s="109">
        <v>1798.02</v>
      </c>
      <c r="BB54" s="109">
        <v>50805.18</v>
      </c>
      <c r="BC54" s="109">
        <v>7554.67</v>
      </c>
      <c r="BD54" s="109">
        <v>22824.67</v>
      </c>
      <c r="BE54" s="109">
        <v>24259.200000000001</v>
      </c>
      <c r="BF54" s="109">
        <v>11621.85</v>
      </c>
      <c r="BG54" s="109">
        <v>97102.39</v>
      </c>
      <c r="BH54" s="109">
        <v>19992.73</v>
      </c>
      <c r="BI54" s="109">
        <v>0</v>
      </c>
      <c r="BJ54" s="109">
        <v>15703.13</v>
      </c>
      <c r="BK54" s="109">
        <v>12905.87</v>
      </c>
      <c r="BL54" s="109">
        <v>1834.92</v>
      </c>
      <c r="BM54" s="109">
        <v>121058.48</v>
      </c>
      <c r="BN54" s="109">
        <v>59868.74</v>
      </c>
      <c r="BO54" s="109">
        <v>92592.61</v>
      </c>
      <c r="BP54" s="109">
        <v>31622.5</v>
      </c>
      <c r="BQ54" s="109">
        <v>0</v>
      </c>
      <c r="BR54" s="109">
        <v>0</v>
      </c>
      <c r="BS54" s="109">
        <v>0</v>
      </c>
      <c r="BT54" s="109">
        <v>0</v>
      </c>
      <c r="BU54" s="109">
        <v>0</v>
      </c>
      <c r="BV54" s="109">
        <v>0</v>
      </c>
      <c r="BW54" s="109">
        <v>0</v>
      </c>
      <c r="BX54" s="109">
        <v>0</v>
      </c>
      <c r="BY54" s="109">
        <v>1</v>
      </c>
      <c r="BZ54" s="109">
        <v>0</v>
      </c>
      <c r="CA54" s="658">
        <v>0</v>
      </c>
      <c r="CB54" s="659"/>
      <c r="CC54" s="109">
        <v>0</v>
      </c>
      <c r="CD54" s="109">
        <v>0</v>
      </c>
      <c r="CE54" s="109">
        <v>58215</v>
      </c>
      <c r="CF54" s="109">
        <v>0</v>
      </c>
      <c r="CG54" s="109">
        <v>0</v>
      </c>
      <c r="CH54" s="109">
        <v>0</v>
      </c>
      <c r="CI54" s="109">
        <v>0</v>
      </c>
      <c r="CJ54" s="110">
        <v>0</v>
      </c>
      <c r="CK54" s="111">
        <f t="shared" si="0"/>
        <v>58215</v>
      </c>
      <c r="CL54" s="111">
        <f t="shared" si="1"/>
        <v>0</v>
      </c>
    </row>
    <row r="55" spans="1:90" ht="26.4">
      <c r="A55" s="109">
        <v>302</v>
      </c>
      <c r="B55" s="109">
        <v>3312</v>
      </c>
      <c r="C55" s="109" t="s">
        <v>608</v>
      </c>
      <c r="D55" s="109" t="s">
        <v>594</v>
      </c>
      <c r="E55" s="109"/>
      <c r="F55" s="109" t="s">
        <v>588</v>
      </c>
      <c r="G55" s="109">
        <v>0</v>
      </c>
      <c r="H55" s="109">
        <v>2</v>
      </c>
      <c r="I55" s="109" t="s">
        <v>589</v>
      </c>
      <c r="J55" s="109" t="s">
        <v>590</v>
      </c>
      <c r="K55" s="109" t="s">
        <v>591</v>
      </c>
      <c r="L55" s="109" t="s">
        <v>592</v>
      </c>
      <c r="M55" s="109" t="s">
        <v>591</v>
      </c>
      <c r="N55" s="109" t="s">
        <v>593</v>
      </c>
      <c r="O55" s="109" t="s">
        <v>188</v>
      </c>
      <c r="P55" s="109" t="s">
        <v>188</v>
      </c>
      <c r="Q55" s="109">
        <v>53198.85</v>
      </c>
      <c r="R55" s="109">
        <v>0</v>
      </c>
      <c r="S55" s="109">
        <v>0</v>
      </c>
      <c r="T55" s="109">
        <v>966872.14</v>
      </c>
      <c r="U55" s="109">
        <v>0</v>
      </c>
      <c r="V55" s="109">
        <v>23363.35</v>
      </c>
      <c r="W55" s="109">
        <v>0</v>
      </c>
      <c r="X55" s="109">
        <v>28310.12</v>
      </c>
      <c r="Y55" s="109">
        <v>5354.5</v>
      </c>
      <c r="Z55" s="109">
        <v>0</v>
      </c>
      <c r="AA55" s="109">
        <v>0</v>
      </c>
      <c r="AB55" s="109">
        <v>7466.2</v>
      </c>
      <c r="AC55" s="109">
        <v>26598.77</v>
      </c>
      <c r="AD55" s="109">
        <v>0</v>
      </c>
      <c r="AE55" s="109">
        <v>0</v>
      </c>
      <c r="AF55" s="109">
        <v>18578.650000000001</v>
      </c>
      <c r="AG55" s="109">
        <v>5059.95</v>
      </c>
      <c r="AH55" s="109">
        <v>0</v>
      </c>
      <c r="AI55" s="109">
        <v>0</v>
      </c>
      <c r="AJ55" s="109">
        <v>0</v>
      </c>
      <c r="AK55" s="109">
        <v>0</v>
      </c>
      <c r="AL55" s="109">
        <v>2821.88</v>
      </c>
      <c r="AM55" s="109">
        <v>7060.2</v>
      </c>
      <c r="AN55" s="109">
        <v>55389.3</v>
      </c>
      <c r="AO55" s="109">
        <v>604770.64</v>
      </c>
      <c r="AP55" s="109">
        <v>0</v>
      </c>
      <c r="AQ55" s="109">
        <v>200164.35</v>
      </c>
      <c r="AR55" s="109">
        <v>30431.08</v>
      </c>
      <c r="AS55" s="109">
        <v>58492.29</v>
      </c>
      <c r="AT55" s="109">
        <v>0</v>
      </c>
      <c r="AU55" s="109">
        <v>1019.96</v>
      </c>
      <c r="AV55" s="109">
        <v>330</v>
      </c>
      <c r="AW55" s="109">
        <v>1920.03</v>
      </c>
      <c r="AX55" s="109">
        <v>9929.65</v>
      </c>
      <c r="AY55" s="109">
        <v>0</v>
      </c>
      <c r="AZ55" s="109">
        <v>11512.19</v>
      </c>
      <c r="BA55" s="109">
        <v>6716.36</v>
      </c>
      <c r="BB55" s="109">
        <v>23897.599999999999</v>
      </c>
      <c r="BC55" s="109">
        <v>-1120.93</v>
      </c>
      <c r="BD55" s="109">
        <v>7679.6</v>
      </c>
      <c r="BE55" s="109">
        <v>-3370</v>
      </c>
      <c r="BF55" s="109">
        <v>10012.11</v>
      </c>
      <c r="BG55" s="109">
        <v>34834.230000000003</v>
      </c>
      <c r="BH55" s="109">
        <v>12253.06</v>
      </c>
      <c r="BI55" s="109">
        <v>0</v>
      </c>
      <c r="BJ55" s="109">
        <v>8693.81</v>
      </c>
      <c r="BK55" s="109">
        <v>1880.44</v>
      </c>
      <c r="BL55" s="109">
        <v>3062.45</v>
      </c>
      <c r="BM55" s="109">
        <v>64855.12</v>
      </c>
      <c r="BN55" s="109">
        <v>0</v>
      </c>
      <c r="BO55" s="109">
        <v>28347.919999999998</v>
      </c>
      <c r="BP55" s="109">
        <v>30062</v>
      </c>
      <c r="BQ55" s="109">
        <v>0</v>
      </c>
      <c r="BR55" s="109">
        <v>0</v>
      </c>
      <c r="BS55" s="109">
        <v>0</v>
      </c>
      <c r="BT55" s="109">
        <v>0</v>
      </c>
      <c r="BU55" s="109">
        <v>0</v>
      </c>
      <c r="BV55" s="109">
        <v>0</v>
      </c>
      <c r="BW55" s="109">
        <v>0</v>
      </c>
      <c r="BX55" s="109">
        <v>0</v>
      </c>
      <c r="BY55" s="109">
        <v>1</v>
      </c>
      <c r="BZ55" s="109">
        <v>0</v>
      </c>
      <c r="CA55" s="658">
        <v>0</v>
      </c>
      <c r="CB55" s="659"/>
      <c r="CC55" s="109">
        <v>0</v>
      </c>
      <c r="CD55" s="109">
        <v>0</v>
      </c>
      <c r="CE55" s="109">
        <v>53700</v>
      </c>
      <c r="CF55" s="109">
        <v>0</v>
      </c>
      <c r="CG55" s="109">
        <v>0</v>
      </c>
      <c r="CH55" s="109">
        <v>0</v>
      </c>
      <c r="CI55" s="109">
        <v>0</v>
      </c>
      <c r="CJ55" s="110">
        <v>0</v>
      </c>
      <c r="CK55" s="111">
        <f t="shared" si="0"/>
        <v>53700</v>
      </c>
      <c r="CL55" s="111">
        <f t="shared" si="1"/>
        <v>0</v>
      </c>
    </row>
    <row r="56" spans="1:90" ht="26.4">
      <c r="A56" s="109">
        <v>302</v>
      </c>
      <c r="B56" s="109">
        <v>3313</v>
      </c>
      <c r="C56" s="109" t="s">
        <v>609</v>
      </c>
      <c r="D56" s="109" t="s">
        <v>594</v>
      </c>
      <c r="E56" s="109"/>
      <c r="F56" s="109" t="s">
        <v>588</v>
      </c>
      <c r="G56" s="109">
        <v>0</v>
      </c>
      <c r="H56" s="109">
        <v>0</v>
      </c>
      <c r="I56" s="109" t="s">
        <v>589</v>
      </c>
      <c r="J56" s="109" t="s">
        <v>590</v>
      </c>
      <c r="K56" s="109" t="s">
        <v>591</v>
      </c>
      <c r="L56" s="109" t="s">
        <v>592</v>
      </c>
      <c r="M56" s="109" t="s">
        <v>591</v>
      </c>
      <c r="N56" s="109" t="s">
        <v>593</v>
      </c>
      <c r="O56" s="109" t="s">
        <v>188</v>
      </c>
      <c r="P56" s="109" t="s">
        <v>188</v>
      </c>
      <c r="Q56" s="109">
        <v>139850.09</v>
      </c>
      <c r="R56" s="109">
        <v>0</v>
      </c>
      <c r="S56" s="109">
        <v>0</v>
      </c>
      <c r="T56" s="109">
        <v>1042288.68</v>
      </c>
      <c r="U56" s="109">
        <v>0</v>
      </c>
      <c r="V56" s="109">
        <v>41345.760000000002</v>
      </c>
      <c r="W56" s="109">
        <v>0</v>
      </c>
      <c r="X56" s="109">
        <v>71874.83</v>
      </c>
      <c r="Y56" s="109">
        <v>0</v>
      </c>
      <c r="Z56" s="109">
        <v>3475</v>
      </c>
      <c r="AA56" s="109">
        <v>365.65</v>
      </c>
      <c r="AB56" s="109">
        <v>12242.52</v>
      </c>
      <c r="AC56" s="109">
        <v>16340.96</v>
      </c>
      <c r="AD56" s="109">
        <v>4000</v>
      </c>
      <c r="AE56" s="109">
        <v>0</v>
      </c>
      <c r="AF56" s="109">
        <v>7579.52</v>
      </c>
      <c r="AG56" s="109">
        <v>9478.2199999999993</v>
      </c>
      <c r="AH56" s="109">
        <v>0</v>
      </c>
      <c r="AI56" s="109">
        <v>0</v>
      </c>
      <c r="AJ56" s="109">
        <v>0</v>
      </c>
      <c r="AK56" s="109">
        <v>0</v>
      </c>
      <c r="AL56" s="109">
        <v>442.8</v>
      </c>
      <c r="AM56" s="109">
        <v>13395.62</v>
      </c>
      <c r="AN56" s="109">
        <v>36961.17</v>
      </c>
      <c r="AO56" s="109">
        <v>555488.9</v>
      </c>
      <c r="AP56" s="109">
        <v>30889.43</v>
      </c>
      <c r="AQ56" s="109">
        <v>239323.39</v>
      </c>
      <c r="AR56" s="109">
        <v>32915.14</v>
      </c>
      <c r="AS56" s="109">
        <v>58044.56</v>
      </c>
      <c r="AT56" s="109">
        <v>0</v>
      </c>
      <c r="AU56" s="109">
        <v>12721.34</v>
      </c>
      <c r="AV56" s="109">
        <v>10690.17</v>
      </c>
      <c r="AW56" s="109">
        <v>4212.8599999999997</v>
      </c>
      <c r="AX56" s="109">
        <v>13435.87</v>
      </c>
      <c r="AY56" s="109">
        <v>0</v>
      </c>
      <c r="AZ56" s="109">
        <v>13157.84</v>
      </c>
      <c r="BA56" s="109">
        <v>8659.59</v>
      </c>
      <c r="BB56" s="109">
        <v>20503.75</v>
      </c>
      <c r="BC56" s="109">
        <v>2330.6799999999998</v>
      </c>
      <c r="BD56" s="109">
        <v>12131.94</v>
      </c>
      <c r="BE56" s="109">
        <v>3328</v>
      </c>
      <c r="BF56" s="109">
        <v>7645.96</v>
      </c>
      <c r="BG56" s="109">
        <v>41926.44</v>
      </c>
      <c r="BH56" s="109">
        <v>7995.01</v>
      </c>
      <c r="BI56" s="109">
        <v>0</v>
      </c>
      <c r="BJ56" s="109">
        <v>8371.42</v>
      </c>
      <c r="BK56" s="109">
        <v>9280.52</v>
      </c>
      <c r="BL56" s="109">
        <v>5900.58</v>
      </c>
      <c r="BM56" s="109">
        <v>49606.42</v>
      </c>
      <c r="BN56" s="109">
        <v>25454.5</v>
      </c>
      <c r="BO56" s="109">
        <v>49630.51</v>
      </c>
      <c r="BP56" s="109">
        <v>29333.52</v>
      </c>
      <c r="BQ56" s="109">
        <v>0</v>
      </c>
      <c r="BR56" s="109">
        <v>0</v>
      </c>
      <c r="BS56" s="109">
        <v>0</v>
      </c>
      <c r="BT56" s="109">
        <v>0</v>
      </c>
      <c r="BU56" s="109">
        <v>0</v>
      </c>
      <c r="BV56" s="109">
        <v>0</v>
      </c>
      <c r="BW56" s="109">
        <v>0</v>
      </c>
      <c r="BX56" s="109">
        <v>0</v>
      </c>
      <c r="BY56" s="109">
        <v>1</v>
      </c>
      <c r="BZ56" s="109">
        <v>0</v>
      </c>
      <c r="CA56" s="658">
        <v>0</v>
      </c>
      <c r="CB56" s="659"/>
      <c r="CC56" s="109">
        <v>0</v>
      </c>
      <c r="CD56" s="109">
        <v>0</v>
      </c>
      <c r="CE56" s="109">
        <v>23002</v>
      </c>
      <c r="CF56" s="109">
        <v>123660</v>
      </c>
      <c r="CG56" s="109">
        <v>0</v>
      </c>
      <c r="CH56" s="109">
        <v>0</v>
      </c>
      <c r="CI56" s="109">
        <v>0</v>
      </c>
      <c r="CJ56" s="110">
        <v>0</v>
      </c>
      <c r="CK56" s="111">
        <f t="shared" si="0"/>
        <v>146662</v>
      </c>
      <c r="CL56" s="111">
        <f t="shared" si="1"/>
        <v>0</v>
      </c>
    </row>
    <row r="57" spans="1:90" ht="26.4">
      <c r="A57" s="109">
        <v>302</v>
      </c>
      <c r="B57" s="109">
        <v>3314</v>
      </c>
      <c r="C57" s="109" t="s">
        <v>610</v>
      </c>
      <c r="D57" s="109" t="s">
        <v>594</v>
      </c>
      <c r="E57" s="109"/>
      <c r="F57" s="109" t="s">
        <v>588</v>
      </c>
      <c r="G57" s="109">
        <v>0</v>
      </c>
      <c r="H57" s="109">
        <v>0</v>
      </c>
      <c r="I57" s="109" t="s">
        <v>589</v>
      </c>
      <c r="J57" s="109" t="s">
        <v>590</v>
      </c>
      <c r="K57" s="109" t="s">
        <v>591</v>
      </c>
      <c r="L57" s="109" t="s">
        <v>592</v>
      </c>
      <c r="M57" s="109" t="s">
        <v>591</v>
      </c>
      <c r="N57" s="109" t="s">
        <v>593</v>
      </c>
      <c r="O57" s="109" t="s">
        <v>188</v>
      </c>
      <c r="P57" s="109" t="s">
        <v>188</v>
      </c>
      <c r="Q57" s="109">
        <v>24598</v>
      </c>
      <c r="R57" s="109">
        <v>0</v>
      </c>
      <c r="S57" s="109">
        <v>0</v>
      </c>
      <c r="T57" s="109">
        <v>954741.96</v>
      </c>
      <c r="U57" s="109">
        <v>0</v>
      </c>
      <c r="V57" s="109">
        <v>46929.41</v>
      </c>
      <c r="W57" s="109">
        <v>0</v>
      </c>
      <c r="X57" s="109">
        <v>51385.05</v>
      </c>
      <c r="Y57" s="109">
        <v>5000</v>
      </c>
      <c r="Z57" s="109">
        <v>87672.84</v>
      </c>
      <c r="AA57" s="109">
        <v>0</v>
      </c>
      <c r="AB57" s="109">
        <v>38106.629999999997</v>
      </c>
      <c r="AC57" s="109">
        <v>19559.169999999998</v>
      </c>
      <c r="AD57" s="109">
        <v>0</v>
      </c>
      <c r="AE57" s="109">
        <v>0</v>
      </c>
      <c r="AF57" s="109">
        <v>16012.95</v>
      </c>
      <c r="AG57" s="109">
        <v>32280.48</v>
      </c>
      <c r="AH57" s="109">
        <v>0</v>
      </c>
      <c r="AI57" s="109">
        <v>0</v>
      </c>
      <c r="AJ57" s="109">
        <v>0</v>
      </c>
      <c r="AK57" s="109">
        <v>0</v>
      </c>
      <c r="AL57" s="109">
        <v>2682.5</v>
      </c>
      <c r="AM57" s="109">
        <v>9222.5</v>
      </c>
      <c r="AN57" s="109">
        <v>47457.33</v>
      </c>
      <c r="AO57" s="109">
        <v>624593.66</v>
      </c>
      <c r="AP57" s="109">
        <v>3110.18</v>
      </c>
      <c r="AQ57" s="109">
        <v>182084.31</v>
      </c>
      <c r="AR57" s="109">
        <v>34786.559999999998</v>
      </c>
      <c r="AS57" s="109">
        <v>53578.400000000001</v>
      </c>
      <c r="AT57" s="109">
        <v>0</v>
      </c>
      <c r="AU57" s="109">
        <v>48725.02</v>
      </c>
      <c r="AV57" s="109">
        <v>3569.47</v>
      </c>
      <c r="AW57" s="109">
        <v>7634.74</v>
      </c>
      <c r="AX57" s="109">
        <v>7183.35</v>
      </c>
      <c r="AY57" s="109">
        <v>0</v>
      </c>
      <c r="AZ57" s="109">
        <v>27739.53</v>
      </c>
      <c r="BA57" s="109">
        <v>1002.72</v>
      </c>
      <c r="BB57" s="109">
        <v>18721.38</v>
      </c>
      <c r="BC57" s="109">
        <v>4168.12</v>
      </c>
      <c r="BD57" s="109">
        <v>27051.71</v>
      </c>
      <c r="BE57" s="109">
        <v>3068</v>
      </c>
      <c r="BF57" s="109">
        <v>7215.73</v>
      </c>
      <c r="BG57" s="109">
        <v>38961.46</v>
      </c>
      <c r="BH57" s="109">
        <v>20196.96</v>
      </c>
      <c r="BI57" s="109">
        <v>0</v>
      </c>
      <c r="BJ57" s="109">
        <v>16006.69</v>
      </c>
      <c r="BK57" s="109">
        <v>7966.06</v>
      </c>
      <c r="BL57" s="109">
        <v>12694.83</v>
      </c>
      <c r="BM57" s="109">
        <v>57345.22</v>
      </c>
      <c r="BN57" s="109">
        <v>11849</v>
      </c>
      <c r="BO57" s="109">
        <v>48989.35</v>
      </c>
      <c r="BP57" s="109">
        <v>35769.879999999997</v>
      </c>
      <c r="BQ57" s="109">
        <v>0</v>
      </c>
      <c r="BR57" s="109">
        <v>0</v>
      </c>
      <c r="BS57" s="109">
        <v>0</v>
      </c>
      <c r="BT57" s="109">
        <v>0</v>
      </c>
      <c r="BU57" s="109">
        <v>0</v>
      </c>
      <c r="BV57" s="109">
        <v>0</v>
      </c>
      <c r="BW57" s="109">
        <v>0</v>
      </c>
      <c r="BX57" s="109">
        <v>0</v>
      </c>
      <c r="BY57" s="109">
        <v>1</v>
      </c>
      <c r="BZ57" s="109">
        <v>0</v>
      </c>
      <c r="CA57" s="658">
        <v>0</v>
      </c>
      <c r="CB57" s="659"/>
      <c r="CC57" s="109">
        <v>0</v>
      </c>
      <c r="CD57" s="109">
        <v>0</v>
      </c>
      <c r="CE57" s="109">
        <v>12491</v>
      </c>
      <c r="CF57" s="109">
        <v>19145</v>
      </c>
      <c r="CG57" s="109">
        <v>0</v>
      </c>
      <c r="CH57" s="109">
        <v>0</v>
      </c>
      <c r="CI57" s="109">
        <v>0</v>
      </c>
      <c r="CJ57" s="110">
        <v>0</v>
      </c>
      <c r="CK57" s="111">
        <f t="shared" si="0"/>
        <v>31636</v>
      </c>
      <c r="CL57" s="111">
        <f t="shared" si="1"/>
        <v>0</v>
      </c>
    </row>
    <row r="58" spans="1:90" ht="26.4">
      <c r="A58" s="109">
        <v>302</v>
      </c>
      <c r="B58" s="109">
        <v>3315</v>
      </c>
      <c r="C58" s="109" t="s">
        <v>611</v>
      </c>
      <c r="D58" s="109" t="s">
        <v>594</v>
      </c>
      <c r="E58" s="109"/>
      <c r="F58" s="109" t="s">
        <v>588</v>
      </c>
      <c r="G58" s="109">
        <v>0</v>
      </c>
      <c r="H58" s="109">
        <v>0</v>
      </c>
      <c r="I58" s="109" t="s">
        <v>589</v>
      </c>
      <c r="J58" s="109" t="s">
        <v>590</v>
      </c>
      <c r="K58" s="109" t="s">
        <v>591</v>
      </c>
      <c r="L58" s="109" t="s">
        <v>592</v>
      </c>
      <c r="M58" s="109" t="s">
        <v>591</v>
      </c>
      <c r="N58" s="109" t="s">
        <v>593</v>
      </c>
      <c r="O58" s="109" t="s">
        <v>188</v>
      </c>
      <c r="P58" s="109" t="s">
        <v>188</v>
      </c>
      <c r="Q58" s="109">
        <v>148532.57999999999</v>
      </c>
      <c r="R58" s="109">
        <v>0</v>
      </c>
      <c r="S58" s="109">
        <v>0</v>
      </c>
      <c r="T58" s="109">
        <v>948453.48</v>
      </c>
      <c r="U58" s="109">
        <v>0</v>
      </c>
      <c r="V58" s="109">
        <v>18036.650000000001</v>
      </c>
      <c r="W58" s="109">
        <v>0</v>
      </c>
      <c r="X58" s="109">
        <v>20175</v>
      </c>
      <c r="Y58" s="109">
        <v>0</v>
      </c>
      <c r="Z58" s="109">
        <v>3000</v>
      </c>
      <c r="AA58" s="109">
        <v>11233.2</v>
      </c>
      <c r="AB58" s="109">
        <v>35690.68</v>
      </c>
      <c r="AC58" s="109">
        <v>36772.71</v>
      </c>
      <c r="AD58" s="109">
        <v>5525</v>
      </c>
      <c r="AE58" s="109">
        <v>0</v>
      </c>
      <c r="AF58" s="109">
        <v>23120.5</v>
      </c>
      <c r="AG58" s="109">
        <v>55568.98</v>
      </c>
      <c r="AH58" s="109">
        <v>0</v>
      </c>
      <c r="AI58" s="109">
        <v>0</v>
      </c>
      <c r="AJ58" s="109">
        <v>0</v>
      </c>
      <c r="AK58" s="109">
        <v>0</v>
      </c>
      <c r="AL58" s="109">
        <v>2032.5</v>
      </c>
      <c r="AM58" s="109">
        <v>6930</v>
      </c>
      <c r="AN58" s="109">
        <v>52624.5</v>
      </c>
      <c r="AO58" s="109">
        <v>631330.71</v>
      </c>
      <c r="AP58" s="109">
        <v>0</v>
      </c>
      <c r="AQ58" s="109">
        <v>188790.23</v>
      </c>
      <c r="AR58" s="109">
        <v>36634.160000000003</v>
      </c>
      <c r="AS58" s="109">
        <v>56219</v>
      </c>
      <c r="AT58" s="109">
        <v>0</v>
      </c>
      <c r="AU58" s="109">
        <v>71825.5</v>
      </c>
      <c r="AV58" s="109">
        <v>118.45</v>
      </c>
      <c r="AW58" s="109">
        <v>1729.98</v>
      </c>
      <c r="AX58" s="109">
        <v>6404.79</v>
      </c>
      <c r="AY58" s="109">
        <v>2337.3000000000002</v>
      </c>
      <c r="AZ58" s="109">
        <v>7784.89</v>
      </c>
      <c r="BA58" s="109">
        <v>0</v>
      </c>
      <c r="BB58" s="109">
        <v>3878.64</v>
      </c>
      <c r="BC58" s="109">
        <v>2776.78</v>
      </c>
      <c r="BD58" s="109">
        <v>14029</v>
      </c>
      <c r="BE58" s="109">
        <v>3430.4</v>
      </c>
      <c r="BF58" s="109">
        <v>15017.27</v>
      </c>
      <c r="BG58" s="109">
        <v>59827.41</v>
      </c>
      <c r="BH58" s="109">
        <v>10220.66</v>
      </c>
      <c r="BI58" s="109">
        <v>0</v>
      </c>
      <c r="BJ58" s="109">
        <v>6031.07</v>
      </c>
      <c r="BK58" s="109">
        <v>4496.96</v>
      </c>
      <c r="BL58" s="109">
        <v>11148.53</v>
      </c>
      <c r="BM58" s="109">
        <v>61710.19</v>
      </c>
      <c r="BN58" s="109">
        <v>5784.46</v>
      </c>
      <c r="BO58" s="109">
        <v>8570.9699999999993</v>
      </c>
      <c r="BP58" s="109">
        <v>28023.01</v>
      </c>
      <c r="BQ58" s="109">
        <v>0</v>
      </c>
      <c r="BR58" s="109">
        <v>0</v>
      </c>
      <c r="BS58" s="109">
        <v>35766.33</v>
      </c>
      <c r="BT58" s="109">
        <v>0</v>
      </c>
      <c r="BU58" s="109">
        <v>0</v>
      </c>
      <c r="BV58" s="109">
        <v>0</v>
      </c>
      <c r="BW58" s="109">
        <v>0</v>
      </c>
      <c r="BX58" s="109">
        <v>6245</v>
      </c>
      <c r="BY58" s="109">
        <v>1</v>
      </c>
      <c r="BZ58" s="109">
        <v>0</v>
      </c>
      <c r="CA58" s="658">
        <v>0</v>
      </c>
      <c r="CB58" s="659"/>
      <c r="CC58" s="109">
        <v>0</v>
      </c>
      <c r="CD58" s="109">
        <v>6245.4</v>
      </c>
      <c r="CE58" s="109">
        <v>10980</v>
      </c>
      <c r="CF58" s="109">
        <v>82829</v>
      </c>
      <c r="CG58" s="109">
        <v>0</v>
      </c>
      <c r="CH58" s="109">
        <v>0</v>
      </c>
      <c r="CI58" s="109">
        <v>0</v>
      </c>
      <c r="CJ58" s="110">
        <v>0</v>
      </c>
      <c r="CK58" s="111">
        <f t="shared" si="0"/>
        <v>93809</v>
      </c>
      <c r="CL58" s="111">
        <f t="shared" si="1"/>
        <v>0</v>
      </c>
    </row>
    <row r="59" spans="1:90" ht="26.4">
      <c r="A59" s="109">
        <v>302</v>
      </c>
      <c r="B59" s="109">
        <v>3316</v>
      </c>
      <c r="C59" s="109" t="s">
        <v>106</v>
      </c>
      <c r="D59" s="109" t="s">
        <v>594</v>
      </c>
      <c r="E59" s="109"/>
      <c r="F59" s="109" t="s">
        <v>588</v>
      </c>
      <c r="G59" s="109">
        <v>0</v>
      </c>
      <c r="H59" s="109">
        <v>0</v>
      </c>
      <c r="I59" s="109" t="s">
        <v>589</v>
      </c>
      <c r="J59" s="109" t="s">
        <v>590</v>
      </c>
      <c r="K59" s="109" t="s">
        <v>591</v>
      </c>
      <c r="L59" s="109" t="s">
        <v>592</v>
      </c>
      <c r="M59" s="109" t="s">
        <v>591</v>
      </c>
      <c r="N59" s="109" t="s">
        <v>593</v>
      </c>
      <c r="O59" s="109" t="s">
        <v>188</v>
      </c>
      <c r="P59" s="109" t="s">
        <v>188</v>
      </c>
      <c r="Q59" s="109">
        <v>47709.62</v>
      </c>
      <c r="R59" s="109">
        <v>0</v>
      </c>
      <c r="S59" s="109">
        <v>0</v>
      </c>
      <c r="T59" s="109">
        <v>968920.29</v>
      </c>
      <c r="U59" s="109">
        <v>0</v>
      </c>
      <c r="V59" s="109">
        <v>56311.09</v>
      </c>
      <c r="W59" s="109">
        <v>0</v>
      </c>
      <c r="X59" s="109">
        <v>31519.98</v>
      </c>
      <c r="Y59" s="109">
        <v>1449</v>
      </c>
      <c r="Z59" s="109">
        <v>35180.9</v>
      </c>
      <c r="AA59" s="109">
        <v>0</v>
      </c>
      <c r="AB59" s="109">
        <v>29265.29</v>
      </c>
      <c r="AC59" s="109">
        <v>20033.55</v>
      </c>
      <c r="AD59" s="109">
        <v>0</v>
      </c>
      <c r="AE59" s="109">
        <v>0</v>
      </c>
      <c r="AF59" s="109">
        <v>20844.21</v>
      </c>
      <c r="AG59" s="109">
        <v>3449</v>
      </c>
      <c r="AH59" s="109">
        <v>0</v>
      </c>
      <c r="AI59" s="109">
        <v>0</v>
      </c>
      <c r="AJ59" s="109">
        <v>0</v>
      </c>
      <c r="AK59" s="109">
        <v>0</v>
      </c>
      <c r="AL59" s="109">
        <v>4673.83</v>
      </c>
      <c r="AM59" s="109">
        <v>7060</v>
      </c>
      <c r="AN59" s="109">
        <v>54190.57</v>
      </c>
      <c r="AO59" s="109">
        <v>618049.97</v>
      </c>
      <c r="AP59" s="109">
        <v>0</v>
      </c>
      <c r="AQ59" s="109">
        <v>170981.2</v>
      </c>
      <c r="AR59" s="109">
        <v>26919.88</v>
      </c>
      <c r="AS59" s="109">
        <v>47865.82</v>
      </c>
      <c r="AT59" s="109">
        <v>0</v>
      </c>
      <c r="AU59" s="109">
        <v>22148.91</v>
      </c>
      <c r="AV59" s="109">
        <v>3782.5</v>
      </c>
      <c r="AW59" s="109">
        <v>3617.57</v>
      </c>
      <c r="AX59" s="109">
        <v>347.68</v>
      </c>
      <c r="AY59" s="109">
        <v>900</v>
      </c>
      <c r="AZ59" s="109">
        <v>11109.93</v>
      </c>
      <c r="BA59" s="109">
        <v>245.74</v>
      </c>
      <c r="BB59" s="109">
        <v>10686.52</v>
      </c>
      <c r="BC59" s="109">
        <v>2163.96</v>
      </c>
      <c r="BD59" s="109">
        <v>17968.919999999998</v>
      </c>
      <c r="BE59" s="109">
        <v>0</v>
      </c>
      <c r="BF59" s="109">
        <v>10873.71</v>
      </c>
      <c r="BG59" s="109">
        <v>58388.17</v>
      </c>
      <c r="BH59" s="109">
        <v>9407.6200000000008</v>
      </c>
      <c r="BI59" s="109">
        <v>0</v>
      </c>
      <c r="BJ59" s="109">
        <v>7197.05</v>
      </c>
      <c r="BK59" s="109">
        <v>10181.25</v>
      </c>
      <c r="BL59" s="109">
        <v>8781.36</v>
      </c>
      <c r="BM59" s="109">
        <v>53202.66</v>
      </c>
      <c r="BN59" s="109">
        <v>28957.5</v>
      </c>
      <c r="BO59" s="109">
        <v>61692.54</v>
      </c>
      <c r="BP59" s="109">
        <v>59964.15</v>
      </c>
      <c r="BQ59" s="109">
        <v>0</v>
      </c>
      <c r="BR59" s="109">
        <v>0</v>
      </c>
      <c r="BS59" s="109">
        <v>0</v>
      </c>
      <c r="BT59" s="109">
        <v>0</v>
      </c>
      <c r="BU59" s="109">
        <v>0</v>
      </c>
      <c r="BV59" s="109">
        <v>0</v>
      </c>
      <c r="BW59" s="109">
        <v>0</v>
      </c>
      <c r="BX59" s="109">
        <v>0</v>
      </c>
      <c r="BY59" s="109">
        <v>1</v>
      </c>
      <c r="BZ59" s="109">
        <v>0</v>
      </c>
      <c r="CA59" s="658">
        <v>0</v>
      </c>
      <c r="CB59" s="659"/>
      <c r="CC59" s="109">
        <v>0</v>
      </c>
      <c r="CD59" s="109">
        <v>0</v>
      </c>
      <c r="CE59" s="109">
        <v>35173</v>
      </c>
      <c r="CF59" s="109">
        <v>0</v>
      </c>
      <c r="CG59" s="109">
        <v>0</v>
      </c>
      <c r="CH59" s="109">
        <v>0</v>
      </c>
      <c r="CI59" s="109">
        <v>0</v>
      </c>
      <c r="CJ59" s="110">
        <v>0</v>
      </c>
      <c r="CK59" s="111">
        <f t="shared" si="0"/>
        <v>35173</v>
      </c>
      <c r="CL59" s="111">
        <f t="shared" si="1"/>
        <v>0</v>
      </c>
    </row>
    <row r="60" spans="1:90" ht="26.4">
      <c r="A60" s="109">
        <v>302</v>
      </c>
      <c r="B60" s="109">
        <v>3317</v>
      </c>
      <c r="C60" s="109" t="s">
        <v>612</v>
      </c>
      <c r="D60" s="109" t="s">
        <v>594</v>
      </c>
      <c r="E60" s="109"/>
      <c r="F60" s="109" t="s">
        <v>588</v>
      </c>
      <c r="G60" s="109">
        <v>0</v>
      </c>
      <c r="H60" s="109">
        <v>1</v>
      </c>
      <c r="I60" s="109" t="s">
        <v>589</v>
      </c>
      <c r="J60" s="109" t="s">
        <v>590</v>
      </c>
      <c r="K60" s="109" t="s">
        <v>591</v>
      </c>
      <c r="L60" s="109" t="s">
        <v>592</v>
      </c>
      <c r="M60" s="109" t="s">
        <v>591</v>
      </c>
      <c r="N60" s="109" t="s">
        <v>593</v>
      </c>
      <c r="O60" s="109" t="s">
        <v>188</v>
      </c>
      <c r="P60" s="109" t="s">
        <v>188</v>
      </c>
      <c r="Q60" s="109">
        <v>151052</v>
      </c>
      <c r="R60" s="109">
        <v>0</v>
      </c>
      <c r="S60" s="109">
        <v>0</v>
      </c>
      <c r="T60" s="109">
        <v>1179831.7</v>
      </c>
      <c r="U60" s="109">
        <v>0</v>
      </c>
      <c r="V60" s="109">
        <v>69021.350000000006</v>
      </c>
      <c r="W60" s="109">
        <v>0</v>
      </c>
      <c r="X60" s="109">
        <v>70559.94</v>
      </c>
      <c r="Y60" s="109">
        <v>3475</v>
      </c>
      <c r="Z60" s="109">
        <v>3950</v>
      </c>
      <c r="AA60" s="109">
        <v>2347.5</v>
      </c>
      <c r="AB60" s="109">
        <v>34744.980000000003</v>
      </c>
      <c r="AC60" s="109">
        <v>35613.599999999999</v>
      </c>
      <c r="AD60" s="109">
        <v>7896</v>
      </c>
      <c r="AE60" s="109">
        <v>2760</v>
      </c>
      <c r="AF60" s="109">
        <v>4091</v>
      </c>
      <c r="AG60" s="109">
        <v>30177.07</v>
      </c>
      <c r="AH60" s="109">
        <v>0</v>
      </c>
      <c r="AI60" s="109">
        <v>0</v>
      </c>
      <c r="AJ60" s="109">
        <v>0</v>
      </c>
      <c r="AK60" s="109">
        <v>483.35</v>
      </c>
      <c r="AL60" s="109">
        <v>6105.62</v>
      </c>
      <c r="AM60" s="109">
        <v>7060</v>
      </c>
      <c r="AN60" s="109">
        <v>41702.83</v>
      </c>
      <c r="AO60" s="109">
        <v>622264.31999999995</v>
      </c>
      <c r="AP60" s="109">
        <v>57875.35</v>
      </c>
      <c r="AQ60" s="109">
        <v>365804.38</v>
      </c>
      <c r="AR60" s="109">
        <v>28052.21</v>
      </c>
      <c r="AS60" s="109">
        <v>57814.31</v>
      </c>
      <c r="AT60" s="109">
        <v>0</v>
      </c>
      <c r="AU60" s="109">
        <v>39941.89</v>
      </c>
      <c r="AV60" s="109">
        <v>13304.11</v>
      </c>
      <c r="AW60" s="109">
        <v>3613.55</v>
      </c>
      <c r="AX60" s="109">
        <v>6704.74</v>
      </c>
      <c r="AY60" s="109">
        <v>0</v>
      </c>
      <c r="AZ60" s="109">
        <v>21742.68</v>
      </c>
      <c r="BA60" s="109">
        <v>7678.66</v>
      </c>
      <c r="BB60" s="109">
        <v>40894.089999999997</v>
      </c>
      <c r="BC60" s="109">
        <v>1010.22</v>
      </c>
      <c r="BD60" s="109">
        <v>27555.91</v>
      </c>
      <c r="BE60" s="109">
        <v>-3900</v>
      </c>
      <c r="BF60" s="109">
        <v>10301.719999999999</v>
      </c>
      <c r="BG60" s="109">
        <v>33872.269999999997</v>
      </c>
      <c r="BH60" s="109">
        <v>12440.87</v>
      </c>
      <c r="BI60" s="109">
        <v>0</v>
      </c>
      <c r="BJ60" s="109">
        <v>10090.93</v>
      </c>
      <c r="BK60" s="109">
        <v>7457.47</v>
      </c>
      <c r="BL60" s="109">
        <v>7096.95</v>
      </c>
      <c r="BM60" s="109">
        <v>80426.17</v>
      </c>
      <c r="BN60" s="109">
        <v>28597.37</v>
      </c>
      <c r="BO60" s="109">
        <v>43604.24</v>
      </c>
      <c r="BP60" s="109">
        <v>23373</v>
      </c>
      <c r="BQ60" s="109">
        <v>0</v>
      </c>
      <c r="BR60" s="109">
        <v>0</v>
      </c>
      <c r="BS60" s="109">
        <v>0</v>
      </c>
      <c r="BT60" s="109">
        <v>2791</v>
      </c>
      <c r="BU60" s="109">
        <v>0</v>
      </c>
      <c r="BV60" s="109">
        <v>0</v>
      </c>
      <c r="BW60" s="109">
        <v>0</v>
      </c>
      <c r="BX60" s="109">
        <v>0</v>
      </c>
      <c r="BY60" s="109">
        <v>1</v>
      </c>
      <c r="BZ60" s="109">
        <v>0</v>
      </c>
      <c r="CA60" s="658">
        <v>0</v>
      </c>
      <c r="CB60" s="659"/>
      <c r="CC60" s="109">
        <v>0</v>
      </c>
      <c r="CD60" s="109">
        <v>0</v>
      </c>
      <c r="CE60" s="109">
        <v>103254</v>
      </c>
      <c r="CF60" s="109">
        <v>0</v>
      </c>
      <c r="CG60" s="109">
        <v>0</v>
      </c>
      <c r="CH60" s="109">
        <v>0</v>
      </c>
      <c r="CI60" s="109">
        <v>-2791</v>
      </c>
      <c r="CJ60" s="110">
        <v>0</v>
      </c>
      <c r="CK60" s="111">
        <f t="shared" si="0"/>
        <v>100463</v>
      </c>
      <c r="CL60" s="111">
        <f t="shared" si="1"/>
        <v>0</v>
      </c>
    </row>
    <row r="61" spans="1:90" ht="26.4">
      <c r="A61" s="109">
        <v>302</v>
      </c>
      <c r="B61" s="109">
        <v>3500</v>
      </c>
      <c r="C61" s="109" t="s">
        <v>613</v>
      </c>
      <c r="D61" s="109" t="s">
        <v>594</v>
      </c>
      <c r="E61" s="109"/>
      <c r="F61" s="109" t="s">
        <v>588</v>
      </c>
      <c r="G61" s="109">
        <v>0</v>
      </c>
      <c r="H61" s="109">
        <v>0</v>
      </c>
      <c r="I61" s="109" t="s">
        <v>589</v>
      </c>
      <c r="J61" s="109" t="s">
        <v>590</v>
      </c>
      <c r="K61" s="109" t="s">
        <v>591</v>
      </c>
      <c r="L61" s="109" t="s">
        <v>592</v>
      </c>
      <c r="M61" s="109" t="s">
        <v>591</v>
      </c>
      <c r="N61" s="109" t="s">
        <v>593</v>
      </c>
      <c r="O61" s="109" t="s">
        <v>188</v>
      </c>
      <c r="P61" s="109" t="s">
        <v>188</v>
      </c>
      <c r="Q61" s="109">
        <v>112882.12</v>
      </c>
      <c r="R61" s="109">
        <v>0</v>
      </c>
      <c r="S61" s="109">
        <v>0</v>
      </c>
      <c r="T61" s="109">
        <v>808949.72</v>
      </c>
      <c r="U61" s="109">
        <v>0</v>
      </c>
      <c r="V61" s="109">
        <v>19566.98</v>
      </c>
      <c r="W61" s="109">
        <v>0</v>
      </c>
      <c r="X61" s="109">
        <v>19139.97</v>
      </c>
      <c r="Y61" s="109">
        <v>6667</v>
      </c>
      <c r="Z61" s="109">
        <v>2340</v>
      </c>
      <c r="AA61" s="109">
        <v>0</v>
      </c>
      <c r="AB61" s="109">
        <v>16603.38</v>
      </c>
      <c r="AC61" s="109">
        <v>0</v>
      </c>
      <c r="AD61" s="109">
        <v>0</v>
      </c>
      <c r="AE61" s="109">
        <v>3325</v>
      </c>
      <c r="AF61" s="109">
        <v>1212</v>
      </c>
      <c r="AG61" s="109">
        <v>585.5</v>
      </c>
      <c r="AH61" s="109">
        <v>0</v>
      </c>
      <c r="AI61" s="109">
        <v>0</v>
      </c>
      <c r="AJ61" s="109">
        <v>0</v>
      </c>
      <c r="AK61" s="109">
        <v>0</v>
      </c>
      <c r="AL61" s="109">
        <v>0</v>
      </c>
      <c r="AM61" s="109">
        <v>6141.88</v>
      </c>
      <c r="AN61" s="109">
        <v>57971.17</v>
      </c>
      <c r="AO61" s="109">
        <v>603387.81999999995</v>
      </c>
      <c r="AP61" s="109">
        <v>0</v>
      </c>
      <c r="AQ61" s="109">
        <v>187590.99</v>
      </c>
      <c r="AR61" s="109">
        <v>15262.91</v>
      </c>
      <c r="AS61" s="109">
        <v>39998.160000000003</v>
      </c>
      <c r="AT61" s="109">
        <v>0</v>
      </c>
      <c r="AU61" s="109">
        <v>1922.77</v>
      </c>
      <c r="AV61" s="109">
        <v>418.75</v>
      </c>
      <c r="AW61" s="109">
        <v>224.17</v>
      </c>
      <c r="AX61" s="109">
        <v>211.56</v>
      </c>
      <c r="AY61" s="109">
        <v>0</v>
      </c>
      <c r="AZ61" s="109">
        <v>14727.1</v>
      </c>
      <c r="BA61" s="109">
        <v>0</v>
      </c>
      <c r="BB61" s="109">
        <v>13491.91</v>
      </c>
      <c r="BC61" s="109">
        <v>1297.25</v>
      </c>
      <c r="BD61" s="109">
        <v>12041.88</v>
      </c>
      <c r="BE61" s="109">
        <v>2457.6</v>
      </c>
      <c r="BF61" s="109">
        <v>3441.38</v>
      </c>
      <c r="BG61" s="109">
        <v>10105.17</v>
      </c>
      <c r="BH61" s="109">
        <v>8439.58</v>
      </c>
      <c r="BI61" s="109">
        <v>0</v>
      </c>
      <c r="BJ61" s="109">
        <v>7055.22</v>
      </c>
      <c r="BK61" s="109">
        <v>6128.79</v>
      </c>
      <c r="BL61" s="109">
        <v>4573.99</v>
      </c>
      <c r="BM61" s="109">
        <v>38833.199999999997</v>
      </c>
      <c r="BN61" s="109">
        <v>14530.82</v>
      </c>
      <c r="BO61" s="109">
        <v>45000.800000000003</v>
      </c>
      <c r="BP61" s="109">
        <v>14898.85</v>
      </c>
      <c r="BQ61" s="109">
        <v>0</v>
      </c>
      <c r="BR61" s="109">
        <v>0</v>
      </c>
      <c r="BS61" s="109">
        <v>0</v>
      </c>
      <c r="BT61" s="109">
        <v>0</v>
      </c>
      <c r="BU61" s="109">
        <v>0</v>
      </c>
      <c r="BV61" s="109">
        <v>0</v>
      </c>
      <c r="BW61" s="109">
        <v>0</v>
      </c>
      <c r="BX61" s="109">
        <v>0</v>
      </c>
      <c r="BY61" s="109">
        <v>1</v>
      </c>
      <c r="BZ61" s="109">
        <v>0</v>
      </c>
      <c r="CA61" s="658">
        <v>0</v>
      </c>
      <c r="CB61" s="659"/>
      <c r="CC61" s="109">
        <v>0</v>
      </c>
      <c r="CD61" s="109">
        <v>0</v>
      </c>
      <c r="CE61" s="109">
        <v>9344</v>
      </c>
      <c r="CF61" s="109">
        <v>0</v>
      </c>
      <c r="CG61" s="109">
        <v>0</v>
      </c>
      <c r="CH61" s="109">
        <v>0</v>
      </c>
      <c r="CI61" s="109">
        <v>0</v>
      </c>
      <c r="CJ61" s="110">
        <v>0</v>
      </c>
      <c r="CK61" s="111">
        <f t="shared" si="0"/>
        <v>9344</v>
      </c>
      <c r="CL61" s="111">
        <f t="shared" si="1"/>
        <v>0</v>
      </c>
    </row>
    <row r="62" spans="1:90" ht="26.4">
      <c r="A62" s="109">
        <v>302</v>
      </c>
      <c r="B62" s="109">
        <v>3501</v>
      </c>
      <c r="C62" s="109" t="s">
        <v>614</v>
      </c>
      <c r="D62" s="109" t="s">
        <v>594</v>
      </c>
      <c r="E62" s="109"/>
      <c r="F62" s="109" t="s">
        <v>588</v>
      </c>
      <c r="G62" s="109">
        <v>0</v>
      </c>
      <c r="H62" s="109">
        <v>1</v>
      </c>
      <c r="I62" s="109" t="s">
        <v>589</v>
      </c>
      <c r="J62" s="109" t="s">
        <v>590</v>
      </c>
      <c r="K62" s="109" t="s">
        <v>591</v>
      </c>
      <c r="L62" s="109" t="s">
        <v>592</v>
      </c>
      <c r="M62" s="109" t="s">
        <v>591</v>
      </c>
      <c r="N62" s="109" t="s">
        <v>593</v>
      </c>
      <c r="O62" s="109" t="s">
        <v>188</v>
      </c>
      <c r="P62" s="109" t="s">
        <v>188</v>
      </c>
      <c r="Q62" s="109">
        <v>60000.26</v>
      </c>
      <c r="R62" s="109">
        <v>0</v>
      </c>
      <c r="S62" s="109">
        <v>0</v>
      </c>
      <c r="T62" s="109">
        <v>1094521.6299999999</v>
      </c>
      <c r="U62" s="109">
        <v>0</v>
      </c>
      <c r="V62" s="109">
        <v>45077.56</v>
      </c>
      <c r="W62" s="109">
        <v>0</v>
      </c>
      <c r="X62" s="109">
        <v>48664.85</v>
      </c>
      <c r="Y62" s="109">
        <v>0</v>
      </c>
      <c r="Z62" s="109">
        <v>52761.32</v>
      </c>
      <c r="AA62" s="109">
        <v>754.66</v>
      </c>
      <c r="AB62" s="109">
        <v>27409.38</v>
      </c>
      <c r="AC62" s="109">
        <v>21203.23</v>
      </c>
      <c r="AD62" s="109">
        <v>3495</v>
      </c>
      <c r="AE62" s="109">
        <v>535</v>
      </c>
      <c r="AF62" s="109">
        <v>19311.240000000002</v>
      </c>
      <c r="AG62" s="109">
        <v>21304.34</v>
      </c>
      <c r="AH62" s="109">
        <v>0</v>
      </c>
      <c r="AI62" s="109">
        <v>0</v>
      </c>
      <c r="AJ62" s="109">
        <v>0</v>
      </c>
      <c r="AK62" s="109">
        <v>0</v>
      </c>
      <c r="AL62" s="109">
        <v>0</v>
      </c>
      <c r="AM62" s="109">
        <v>0</v>
      </c>
      <c r="AN62" s="109">
        <v>56715.45</v>
      </c>
      <c r="AO62" s="109">
        <v>715235.4</v>
      </c>
      <c r="AP62" s="109">
        <v>0</v>
      </c>
      <c r="AQ62" s="109">
        <v>214774.01</v>
      </c>
      <c r="AR62" s="109">
        <v>69522.09</v>
      </c>
      <c r="AS62" s="109">
        <v>72505.47</v>
      </c>
      <c r="AT62" s="109">
        <v>0</v>
      </c>
      <c r="AU62" s="109">
        <v>35425.39</v>
      </c>
      <c r="AV62" s="109">
        <v>7389.97</v>
      </c>
      <c r="AW62" s="109">
        <v>7752.78</v>
      </c>
      <c r="AX62" s="109">
        <v>7982.25</v>
      </c>
      <c r="AY62" s="109">
        <v>0</v>
      </c>
      <c r="AZ62" s="109">
        <v>14950.65</v>
      </c>
      <c r="BA62" s="109">
        <v>1596.85</v>
      </c>
      <c r="BB62" s="109">
        <v>1786.35</v>
      </c>
      <c r="BC62" s="109">
        <v>8681.33</v>
      </c>
      <c r="BD62" s="109">
        <v>24306.85</v>
      </c>
      <c r="BE62" s="109">
        <v>3826</v>
      </c>
      <c r="BF62" s="109">
        <v>7736.48</v>
      </c>
      <c r="BG62" s="109">
        <v>49082.6</v>
      </c>
      <c r="BH62" s="109">
        <v>15731.16</v>
      </c>
      <c r="BI62" s="109">
        <v>0</v>
      </c>
      <c r="BJ62" s="109">
        <v>24038.21</v>
      </c>
      <c r="BK62" s="109">
        <v>9005.41</v>
      </c>
      <c r="BL62" s="109">
        <v>4273.8</v>
      </c>
      <c r="BM62" s="109">
        <v>58620.12</v>
      </c>
      <c r="BN62" s="109">
        <v>61138.38</v>
      </c>
      <c r="BO62" s="109">
        <v>50738.44</v>
      </c>
      <c r="BP62" s="109">
        <v>34792.43</v>
      </c>
      <c r="BQ62" s="109">
        <v>0</v>
      </c>
      <c r="BR62" s="109">
        <v>0</v>
      </c>
      <c r="BS62" s="109">
        <v>0</v>
      </c>
      <c r="BT62" s="109">
        <v>0</v>
      </c>
      <c r="BU62" s="109">
        <v>0</v>
      </c>
      <c r="BV62" s="109">
        <v>0</v>
      </c>
      <c r="BW62" s="109">
        <v>0</v>
      </c>
      <c r="BX62" s="109">
        <v>19335</v>
      </c>
      <c r="BY62" s="109">
        <v>1</v>
      </c>
      <c r="BZ62" s="109">
        <v>0</v>
      </c>
      <c r="CA62" s="658">
        <v>19335.3</v>
      </c>
      <c r="CB62" s="659"/>
      <c r="CC62" s="109">
        <v>0</v>
      </c>
      <c r="CD62" s="109">
        <v>0</v>
      </c>
      <c r="CE62" s="109">
        <v>0</v>
      </c>
      <c r="CF62" s="109">
        <v>-49139</v>
      </c>
      <c r="CG62" s="109">
        <v>0</v>
      </c>
      <c r="CH62" s="109">
        <v>0</v>
      </c>
      <c r="CI62" s="109">
        <v>0</v>
      </c>
      <c r="CJ62" s="110">
        <v>0</v>
      </c>
      <c r="CK62" s="111">
        <f t="shared" si="0"/>
        <v>-49139</v>
      </c>
      <c r="CL62" s="111">
        <f t="shared" si="1"/>
        <v>0</v>
      </c>
    </row>
    <row r="63" spans="1:90" ht="26.4">
      <c r="A63" s="109">
        <v>302</v>
      </c>
      <c r="B63" s="109">
        <v>3502</v>
      </c>
      <c r="C63" s="109" t="s">
        <v>615</v>
      </c>
      <c r="D63" s="109" t="s">
        <v>594</v>
      </c>
      <c r="E63" s="109"/>
      <c r="F63" s="109" t="s">
        <v>588</v>
      </c>
      <c r="G63" s="109">
        <v>0</v>
      </c>
      <c r="H63" s="109">
        <v>0</v>
      </c>
      <c r="I63" s="109" t="s">
        <v>589</v>
      </c>
      <c r="J63" s="109" t="s">
        <v>590</v>
      </c>
      <c r="K63" s="109" t="s">
        <v>591</v>
      </c>
      <c r="L63" s="109" t="s">
        <v>592</v>
      </c>
      <c r="M63" s="109" t="s">
        <v>591</v>
      </c>
      <c r="N63" s="109" t="s">
        <v>593</v>
      </c>
      <c r="O63" s="109" t="s">
        <v>188</v>
      </c>
      <c r="P63" s="109" t="s">
        <v>188</v>
      </c>
      <c r="Q63" s="109">
        <v>566880.97</v>
      </c>
      <c r="R63" s="109">
        <v>0</v>
      </c>
      <c r="S63" s="109">
        <v>1</v>
      </c>
      <c r="T63" s="109">
        <v>1932398</v>
      </c>
      <c r="U63" s="109">
        <v>0</v>
      </c>
      <c r="V63" s="109">
        <v>145316</v>
      </c>
      <c r="W63" s="109">
        <v>0</v>
      </c>
      <c r="X63" s="109">
        <v>121050</v>
      </c>
      <c r="Y63" s="109">
        <v>0</v>
      </c>
      <c r="Z63" s="109">
        <v>1081</v>
      </c>
      <c r="AA63" s="109">
        <v>195</v>
      </c>
      <c r="AB63" s="109">
        <v>20659</v>
      </c>
      <c r="AC63" s="109">
        <v>25475</v>
      </c>
      <c r="AD63" s="109">
        <v>0</v>
      </c>
      <c r="AE63" s="109">
        <v>0</v>
      </c>
      <c r="AF63" s="109">
        <v>19669</v>
      </c>
      <c r="AG63" s="109">
        <v>16543</v>
      </c>
      <c r="AH63" s="109">
        <v>0</v>
      </c>
      <c r="AI63" s="109">
        <v>0</v>
      </c>
      <c r="AJ63" s="109">
        <v>0</v>
      </c>
      <c r="AK63" s="109">
        <v>0</v>
      </c>
      <c r="AL63" s="109">
        <v>0</v>
      </c>
      <c r="AM63" s="109">
        <v>0</v>
      </c>
      <c r="AN63" s="109">
        <v>95511</v>
      </c>
      <c r="AO63" s="109">
        <v>1115677</v>
      </c>
      <c r="AP63" s="109">
        <v>0</v>
      </c>
      <c r="AQ63" s="109">
        <v>529074</v>
      </c>
      <c r="AR63" s="109">
        <v>72431</v>
      </c>
      <c r="AS63" s="109">
        <v>57172</v>
      </c>
      <c r="AT63" s="109">
        <v>0</v>
      </c>
      <c r="AU63" s="109">
        <v>20781</v>
      </c>
      <c r="AV63" s="109">
        <v>3609</v>
      </c>
      <c r="AW63" s="109">
        <v>3319</v>
      </c>
      <c r="AX63" s="109">
        <v>602</v>
      </c>
      <c r="AY63" s="109">
        <v>0</v>
      </c>
      <c r="AZ63" s="109">
        <v>14231</v>
      </c>
      <c r="BA63" s="109">
        <v>23</v>
      </c>
      <c r="BB63" s="109">
        <v>2377</v>
      </c>
      <c r="BC63" s="109">
        <v>6542</v>
      </c>
      <c r="BD63" s="109">
        <v>24581</v>
      </c>
      <c r="BE63" s="109">
        <v>6093</v>
      </c>
      <c r="BF63" s="109">
        <v>10488</v>
      </c>
      <c r="BG63" s="109">
        <v>48144</v>
      </c>
      <c r="BH63" s="109">
        <v>15849</v>
      </c>
      <c r="BI63" s="109">
        <v>0</v>
      </c>
      <c r="BJ63" s="109">
        <v>19792</v>
      </c>
      <c r="BK63" s="109">
        <v>13248</v>
      </c>
      <c r="BL63" s="109">
        <v>6109</v>
      </c>
      <c r="BM63" s="109">
        <v>102378</v>
      </c>
      <c r="BN63" s="109">
        <v>3325</v>
      </c>
      <c r="BO63" s="109">
        <v>133032</v>
      </c>
      <c r="BP63" s="109">
        <v>43376</v>
      </c>
      <c r="BQ63" s="109">
        <v>0</v>
      </c>
      <c r="BR63" s="109">
        <v>0</v>
      </c>
      <c r="BS63" s="109">
        <v>72167</v>
      </c>
      <c r="BT63" s="109">
        <v>0</v>
      </c>
      <c r="BU63" s="109">
        <v>0</v>
      </c>
      <c r="BV63" s="109">
        <v>0</v>
      </c>
      <c r="BW63" s="109">
        <v>0</v>
      </c>
      <c r="BX63" s="109">
        <v>20181</v>
      </c>
      <c r="BY63" s="109">
        <v>1</v>
      </c>
      <c r="BZ63" s="109">
        <v>0</v>
      </c>
      <c r="CA63" s="658">
        <v>0</v>
      </c>
      <c r="CB63" s="659"/>
      <c r="CC63" s="109">
        <v>0</v>
      </c>
      <c r="CD63" s="109">
        <v>20181</v>
      </c>
      <c r="CE63" s="109">
        <v>50000</v>
      </c>
      <c r="CF63" s="109">
        <v>570358</v>
      </c>
      <c r="CG63" s="109">
        <v>0</v>
      </c>
      <c r="CH63" s="109">
        <v>0</v>
      </c>
      <c r="CI63" s="109">
        <v>0</v>
      </c>
      <c r="CJ63" s="110">
        <v>0</v>
      </c>
      <c r="CK63" s="111">
        <f t="shared" si="0"/>
        <v>620358</v>
      </c>
      <c r="CL63" s="111">
        <f t="shared" si="1"/>
        <v>0</v>
      </c>
    </row>
    <row r="64" spans="1:90" ht="26.4">
      <c r="A64" s="109">
        <v>302</v>
      </c>
      <c r="B64" s="109">
        <v>3504</v>
      </c>
      <c r="C64" s="109" t="s">
        <v>287</v>
      </c>
      <c r="D64" s="109" t="s">
        <v>594</v>
      </c>
      <c r="E64" s="109"/>
      <c r="F64" s="109" t="s">
        <v>588</v>
      </c>
      <c r="G64" s="109">
        <v>0</v>
      </c>
      <c r="H64" s="109">
        <v>0</v>
      </c>
      <c r="I64" s="109" t="s">
        <v>589</v>
      </c>
      <c r="J64" s="109" t="s">
        <v>590</v>
      </c>
      <c r="K64" s="109" t="s">
        <v>591</v>
      </c>
      <c r="L64" s="109" t="s">
        <v>592</v>
      </c>
      <c r="M64" s="109" t="s">
        <v>591</v>
      </c>
      <c r="N64" s="109" t="s">
        <v>593</v>
      </c>
      <c r="O64" s="109" t="s">
        <v>188</v>
      </c>
      <c r="P64" s="109" t="s">
        <v>188</v>
      </c>
      <c r="Q64" s="109">
        <v>72412.039999999994</v>
      </c>
      <c r="R64" s="109">
        <v>0</v>
      </c>
      <c r="S64" s="109">
        <v>0</v>
      </c>
      <c r="T64" s="109">
        <v>2017750.72</v>
      </c>
      <c r="U64" s="109">
        <v>0</v>
      </c>
      <c r="V64" s="109">
        <v>68902.399999999994</v>
      </c>
      <c r="W64" s="109">
        <v>0</v>
      </c>
      <c r="X64" s="109">
        <v>60140</v>
      </c>
      <c r="Y64" s="109">
        <v>8500</v>
      </c>
      <c r="Z64" s="109">
        <v>1000</v>
      </c>
      <c r="AA64" s="109">
        <v>1820</v>
      </c>
      <c r="AB64" s="109">
        <v>181158.89</v>
      </c>
      <c r="AC64" s="109">
        <v>48690.63</v>
      </c>
      <c r="AD64" s="109">
        <v>3150</v>
      </c>
      <c r="AE64" s="109">
        <v>0</v>
      </c>
      <c r="AF64" s="109">
        <v>18267.79</v>
      </c>
      <c r="AG64" s="109">
        <v>39669.43</v>
      </c>
      <c r="AH64" s="109">
        <v>0</v>
      </c>
      <c r="AI64" s="109">
        <v>0</v>
      </c>
      <c r="AJ64" s="109">
        <v>0</v>
      </c>
      <c r="AK64" s="109">
        <v>0</v>
      </c>
      <c r="AL64" s="109">
        <v>0</v>
      </c>
      <c r="AM64" s="109">
        <v>19661.88</v>
      </c>
      <c r="AN64" s="109">
        <v>89268.33</v>
      </c>
      <c r="AO64" s="109">
        <v>1193401.3999999999</v>
      </c>
      <c r="AP64" s="109">
        <v>0</v>
      </c>
      <c r="AQ64" s="109">
        <v>481752.81</v>
      </c>
      <c r="AR64" s="109">
        <v>27042.14</v>
      </c>
      <c r="AS64" s="109">
        <v>146660.78</v>
      </c>
      <c r="AT64" s="109">
        <v>0</v>
      </c>
      <c r="AU64" s="109">
        <v>67532.3</v>
      </c>
      <c r="AV64" s="109">
        <v>2008.92</v>
      </c>
      <c r="AW64" s="109">
        <v>8616.5</v>
      </c>
      <c r="AX64" s="109">
        <v>11652.6</v>
      </c>
      <c r="AY64" s="109">
        <v>0</v>
      </c>
      <c r="AZ64" s="109">
        <v>16448.150000000001</v>
      </c>
      <c r="BA64" s="109">
        <v>12119.92</v>
      </c>
      <c r="BB64" s="109">
        <v>33189.629999999997</v>
      </c>
      <c r="BC64" s="109">
        <v>6836.64</v>
      </c>
      <c r="BD64" s="109">
        <v>20987.51</v>
      </c>
      <c r="BE64" s="109">
        <v>6668.4</v>
      </c>
      <c r="BF64" s="109">
        <v>13653.27</v>
      </c>
      <c r="BG64" s="109">
        <v>94122.67</v>
      </c>
      <c r="BH64" s="109">
        <v>20985.48</v>
      </c>
      <c r="BI64" s="109">
        <v>0</v>
      </c>
      <c r="BJ64" s="109">
        <v>18322.919999999998</v>
      </c>
      <c r="BK64" s="109">
        <v>15350.87</v>
      </c>
      <c r="BL64" s="109">
        <v>26977.41</v>
      </c>
      <c r="BM64" s="109">
        <v>129112.85</v>
      </c>
      <c r="BN64" s="109">
        <v>18348.02</v>
      </c>
      <c r="BO64" s="109">
        <v>59912.53</v>
      </c>
      <c r="BP64" s="109">
        <v>60496.88</v>
      </c>
      <c r="BQ64" s="109">
        <v>0</v>
      </c>
      <c r="BR64" s="109">
        <v>0</v>
      </c>
      <c r="BS64" s="109">
        <v>23381</v>
      </c>
      <c r="BT64" s="109">
        <v>0</v>
      </c>
      <c r="BU64" s="109">
        <v>0</v>
      </c>
      <c r="BV64" s="109">
        <v>0</v>
      </c>
      <c r="BW64" s="109">
        <v>23381</v>
      </c>
      <c r="BX64" s="109">
        <v>0</v>
      </c>
      <c r="BY64" s="109">
        <v>1</v>
      </c>
      <c r="BZ64" s="109">
        <v>0</v>
      </c>
      <c r="CA64" s="658">
        <v>0</v>
      </c>
      <c r="CB64" s="659"/>
      <c r="CC64" s="109">
        <v>0</v>
      </c>
      <c r="CD64" s="109">
        <v>23381.4</v>
      </c>
      <c r="CE64" s="109">
        <v>40600</v>
      </c>
      <c r="CF64" s="109">
        <v>74210</v>
      </c>
      <c r="CG64" s="109">
        <v>0</v>
      </c>
      <c r="CH64" s="109">
        <v>0</v>
      </c>
      <c r="CI64" s="109">
        <v>0</v>
      </c>
      <c r="CJ64" s="110">
        <v>0</v>
      </c>
      <c r="CK64" s="111">
        <f t="shared" si="0"/>
        <v>114810</v>
      </c>
      <c r="CL64" s="111">
        <f t="shared" si="1"/>
        <v>0</v>
      </c>
    </row>
    <row r="65" spans="1:90" ht="26.4">
      <c r="A65" s="109">
        <v>302</v>
      </c>
      <c r="B65" s="109">
        <v>3506</v>
      </c>
      <c r="C65" s="109" t="s">
        <v>616</v>
      </c>
      <c r="D65" s="109" t="s">
        <v>594</v>
      </c>
      <c r="E65" s="109"/>
      <c r="F65" s="109" t="s">
        <v>588</v>
      </c>
      <c r="G65" s="109">
        <v>0</v>
      </c>
      <c r="H65" s="109">
        <v>0</v>
      </c>
      <c r="I65" s="109" t="s">
        <v>589</v>
      </c>
      <c r="J65" s="109" t="s">
        <v>590</v>
      </c>
      <c r="K65" s="109" t="s">
        <v>591</v>
      </c>
      <c r="L65" s="109" t="s">
        <v>592</v>
      </c>
      <c r="M65" s="109" t="s">
        <v>591</v>
      </c>
      <c r="N65" s="109" t="s">
        <v>593</v>
      </c>
      <c r="O65" s="109" t="s">
        <v>188</v>
      </c>
      <c r="P65" s="109" t="s">
        <v>188</v>
      </c>
      <c r="Q65" s="109">
        <v>198417.17</v>
      </c>
      <c r="R65" s="109">
        <v>0</v>
      </c>
      <c r="S65" s="109">
        <v>0</v>
      </c>
      <c r="T65" s="109">
        <v>1285154.52</v>
      </c>
      <c r="U65" s="109">
        <v>0</v>
      </c>
      <c r="V65" s="109">
        <v>90608.07</v>
      </c>
      <c r="W65" s="109">
        <v>0</v>
      </c>
      <c r="X65" s="109">
        <v>23519.97</v>
      </c>
      <c r="Y65" s="109">
        <v>0</v>
      </c>
      <c r="Z65" s="109">
        <v>2006.02</v>
      </c>
      <c r="AA65" s="109">
        <v>21484.25</v>
      </c>
      <c r="AB65" s="109">
        <v>11297.82</v>
      </c>
      <c r="AC65" s="109">
        <v>20913.48</v>
      </c>
      <c r="AD65" s="109">
        <v>0</v>
      </c>
      <c r="AE65" s="109">
        <v>0</v>
      </c>
      <c r="AF65" s="109">
        <v>6003</v>
      </c>
      <c r="AG65" s="109">
        <v>15750.24</v>
      </c>
      <c r="AH65" s="109">
        <v>0</v>
      </c>
      <c r="AI65" s="109">
        <v>0</v>
      </c>
      <c r="AJ65" s="109">
        <v>0</v>
      </c>
      <c r="AK65" s="109">
        <v>0</v>
      </c>
      <c r="AL65" s="109">
        <v>0</v>
      </c>
      <c r="AM65" s="109">
        <v>12883.12</v>
      </c>
      <c r="AN65" s="109">
        <v>61730.33</v>
      </c>
      <c r="AO65" s="109">
        <v>745444.9</v>
      </c>
      <c r="AP65" s="109">
        <v>0</v>
      </c>
      <c r="AQ65" s="109">
        <v>352083.82</v>
      </c>
      <c r="AR65" s="109">
        <v>73204.240000000005</v>
      </c>
      <c r="AS65" s="109">
        <v>78778.62</v>
      </c>
      <c r="AT65" s="109">
        <v>0</v>
      </c>
      <c r="AU65" s="109">
        <v>0</v>
      </c>
      <c r="AV65" s="109">
        <v>2291.9899999999998</v>
      </c>
      <c r="AW65" s="109">
        <v>7522.07</v>
      </c>
      <c r="AX65" s="109">
        <v>465.76</v>
      </c>
      <c r="AY65" s="109">
        <v>0</v>
      </c>
      <c r="AZ65" s="109">
        <v>40248.129999999997</v>
      </c>
      <c r="BA65" s="109">
        <v>5018.75</v>
      </c>
      <c r="BB65" s="109">
        <v>5619.08</v>
      </c>
      <c r="BC65" s="109">
        <v>1750.05</v>
      </c>
      <c r="BD65" s="109">
        <v>17115.84</v>
      </c>
      <c r="BE65" s="109">
        <v>3628.2</v>
      </c>
      <c r="BF65" s="109">
        <v>8457.5499999999993</v>
      </c>
      <c r="BG65" s="109">
        <v>23883.09</v>
      </c>
      <c r="BH65" s="109">
        <v>13481.65</v>
      </c>
      <c r="BI65" s="109">
        <v>0</v>
      </c>
      <c r="BJ65" s="109">
        <v>11740.21</v>
      </c>
      <c r="BK65" s="109">
        <v>14970.02</v>
      </c>
      <c r="BL65" s="109">
        <v>11604.1</v>
      </c>
      <c r="BM65" s="109">
        <v>61601.16</v>
      </c>
      <c r="BN65" s="109">
        <v>21398</v>
      </c>
      <c r="BO65" s="109">
        <v>59298.32</v>
      </c>
      <c r="BP65" s="109">
        <v>47782</v>
      </c>
      <c r="BQ65" s="109">
        <v>0</v>
      </c>
      <c r="BR65" s="109">
        <v>0</v>
      </c>
      <c r="BS65" s="109">
        <v>10780</v>
      </c>
      <c r="BT65" s="109">
        <v>0</v>
      </c>
      <c r="BU65" s="109">
        <v>0</v>
      </c>
      <c r="BV65" s="109">
        <v>0</v>
      </c>
      <c r="BW65" s="109">
        <v>18309.95</v>
      </c>
      <c r="BX65" s="109">
        <v>10780</v>
      </c>
      <c r="BY65" s="109">
        <v>1</v>
      </c>
      <c r="BZ65" s="109">
        <v>0</v>
      </c>
      <c r="CA65" s="658">
        <v>0</v>
      </c>
      <c r="CB65" s="659"/>
      <c r="CC65" s="109">
        <v>0</v>
      </c>
      <c r="CD65" s="109">
        <v>29089.95</v>
      </c>
      <c r="CE65" s="109">
        <v>47775</v>
      </c>
      <c r="CF65" s="109">
        <v>83825</v>
      </c>
      <c r="CG65" s="109">
        <v>0</v>
      </c>
      <c r="CH65" s="109">
        <v>0</v>
      </c>
      <c r="CI65" s="109">
        <v>0</v>
      </c>
      <c r="CJ65" s="110">
        <v>0</v>
      </c>
      <c r="CK65" s="111">
        <f t="shared" si="0"/>
        <v>131600</v>
      </c>
      <c r="CL65" s="111">
        <f t="shared" si="1"/>
        <v>0</v>
      </c>
    </row>
    <row r="66" spans="1:90" ht="26.4">
      <c r="A66" s="109">
        <v>302</v>
      </c>
      <c r="B66" s="109">
        <v>3507</v>
      </c>
      <c r="C66" s="109" t="s">
        <v>617</v>
      </c>
      <c r="D66" s="109" t="s">
        <v>594</v>
      </c>
      <c r="E66" s="109"/>
      <c r="F66" s="109" t="s">
        <v>588</v>
      </c>
      <c r="G66" s="109">
        <v>0</v>
      </c>
      <c r="H66" s="109">
        <v>1</v>
      </c>
      <c r="I66" s="109" t="s">
        <v>589</v>
      </c>
      <c r="J66" s="109" t="s">
        <v>590</v>
      </c>
      <c r="K66" s="109" t="s">
        <v>591</v>
      </c>
      <c r="L66" s="109" t="s">
        <v>592</v>
      </c>
      <c r="M66" s="109" t="s">
        <v>591</v>
      </c>
      <c r="N66" s="109" t="s">
        <v>593</v>
      </c>
      <c r="O66" s="109" t="s">
        <v>188</v>
      </c>
      <c r="P66" s="109" t="s">
        <v>188</v>
      </c>
      <c r="Q66" s="109">
        <v>37217.629999999997</v>
      </c>
      <c r="R66" s="109">
        <v>0</v>
      </c>
      <c r="S66" s="109">
        <v>0</v>
      </c>
      <c r="T66" s="109">
        <v>830684</v>
      </c>
      <c r="U66" s="109">
        <v>0</v>
      </c>
      <c r="V66" s="109">
        <v>74976</v>
      </c>
      <c r="W66" s="109">
        <v>0</v>
      </c>
      <c r="X66" s="109">
        <v>33745</v>
      </c>
      <c r="Y66" s="109">
        <v>0</v>
      </c>
      <c r="Z66" s="109">
        <v>0</v>
      </c>
      <c r="AA66" s="109">
        <v>370</v>
      </c>
      <c r="AB66" s="109">
        <v>6509</v>
      </c>
      <c r="AC66" s="109">
        <v>13218</v>
      </c>
      <c r="AD66" s="109">
        <v>148</v>
      </c>
      <c r="AE66" s="109">
        <v>0</v>
      </c>
      <c r="AF66" s="109">
        <v>15053</v>
      </c>
      <c r="AG66" s="109">
        <v>10452</v>
      </c>
      <c r="AH66" s="109">
        <v>0</v>
      </c>
      <c r="AI66" s="109">
        <v>0</v>
      </c>
      <c r="AJ66" s="109">
        <v>0</v>
      </c>
      <c r="AK66" s="109">
        <v>0</v>
      </c>
      <c r="AL66" s="109">
        <v>0</v>
      </c>
      <c r="AM66" s="109">
        <v>0</v>
      </c>
      <c r="AN66" s="109">
        <v>49312</v>
      </c>
      <c r="AO66" s="109">
        <v>580771</v>
      </c>
      <c r="AP66" s="109">
        <v>0</v>
      </c>
      <c r="AQ66" s="109">
        <v>135946</v>
      </c>
      <c r="AR66" s="109">
        <v>32254</v>
      </c>
      <c r="AS66" s="109">
        <v>43207</v>
      </c>
      <c r="AT66" s="109">
        <v>0</v>
      </c>
      <c r="AU66" s="109">
        <v>18472</v>
      </c>
      <c r="AV66" s="109">
        <v>1428</v>
      </c>
      <c r="AW66" s="109">
        <v>3552</v>
      </c>
      <c r="AX66" s="109">
        <v>5634</v>
      </c>
      <c r="AY66" s="109">
        <v>0</v>
      </c>
      <c r="AZ66" s="109">
        <v>15030</v>
      </c>
      <c r="BA66" s="109">
        <v>436</v>
      </c>
      <c r="BB66" s="109">
        <v>27242</v>
      </c>
      <c r="BC66" s="109">
        <v>2810</v>
      </c>
      <c r="BD66" s="109">
        <v>14970</v>
      </c>
      <c r="BE66" s="109">
        <v>3804</v>
      </c>
      <c r="BF66" s="109">
        <v>6229</v>
      </c>
      <c r="BG66" s="109">
        <v>38054</v>
      </c>
      <c r="BH66" s="109">
        <v>14665</v>
      </c>
      <c r="BI66" s="109">
        <v>0</v>
      </c>
      <c r="BJ66" s="109">
        <v>14491</v>
      </c>
      <c r="BK66" s="109">
        <v>7173</v>
      </c>
      <c r="BL66" s="109">
        <v>3698</v>
      </c>
      <c r="BM66" s="109">
        <v>37121</v>
      </c>
      <c r="BN66" s="109">
        <v>48513</v>
      </c>
      <c r="BO66" s="109">
        <v>112589</v>
      </c>
      <c r="BP66" s="109">
        <v>40502</v>
      </c>
      <c r="BQ66" s="109">
        <v>0</v>
      </c>
      <c r="BR66" s="109">
        <v>0</v>
      </c>
      <c r="BS66" s="109">
        <v>0</v>
      </c>
      <c r="BT66" s="109">
        <v>0</v>
      </c>
      <c r="BU66" s="109">
        <v>0</v>
      </c>
      <c r="BV66" s="109">
        <v>0</v>
      </c>
      <c r="BW66" s="109">
        <v>0</v>
      </c>
      <c r="BX66" s="109">
        <v>0</v>
      </c>
      <c r="BY66" s="109">
        <v>1</v>
      </c>
      <c r="BZ66" s="109">
        <v>0</v>
      </c>
      <c r="CA66" s="658">
        <v>0</v>
      </c>
      <c r="CB66" s="659"/>
      <c r="CC66" s="109">
        <v>0</v>
      </c>
      <c r="CD66" s="109">
        <v>0</v>
      </c>
      <c r="CE66" s="109">
        <v>0</v>
      </c>
      <c r="CF66" s="109">
        <v>-136906</v>
      </c>
      <c r="CG66" s="109">
        <v>0</v>
      </c>
      <c r="CH66" s="109">
        <v>0</v>
      </c>
      <c r="CI66" s="109">
        <v>0</v>
      </c>
      <c r="CJ66" s="110">
        <v>0</v>
      </c>
      <c r="CK66" s="111">
        <f t="shared" si="0"/>
        <v>-136906</v>
      </c>
      <c r="CL66" s="111">
        <f t="shared" si="1"/>
        <v>0</v>
      </c>
    </row>
    <row r="67" spans="1:90" ht="26.4">
      <c r="A67" s="109">
        <v>302</v>
      </c>
      <c r="B67" s="109">
        <v>3509</v>
      </c>
      <c r="C67" s="109" t="s">
        <v>618</v>
      </c>
      <c r="D67" s="109" t="s">
        <v>594</v>
      </c>
      <c r="E67" s="109"/>
      <c r="F67" s="109" t="s">
        <v>588</v>
      </c>
      <c r="G67" s="109">
        <v>0</v>
      </c>
      <c r="H67" s="109">
        <v>1</v>
      </c>
      <c r="I67" s="109" t="s">
        <v>589</v>
      </c>
      <c r="J67" s="109" t="s">
        <v>590</v>
      </c>
      <c r="K67" s="109" t="s">
        <v>591</v>
      </c>
      <c r="L67" s="109" t="s">
        <v>592</v>
      </c>
      <c r="M67" s="109" t="s">
        <v>591</v>
      </c>
      <c r="N67" s="109" t="s">
        <v>593</v>
      </c>
      <c r="O67" s="109" t="s">
        <v>188</v>
      </c>
      <c r="P67" s="109" t="s">
        <v>188</v>
      </c>
      <c r="Q67" s="109">
        <v>-254468.62</v>
      </c>
      <c r="R67" s="109">
        <v>0</v>
      </c>
      <c r="S67" s="109">
        <v>0</v>
      </c>
      <c r="T67" s="109">
        <v>2305083.38</v>
      </c>
      <c r="U67" s="109">
        <v>0</v>
      </c>
      <c r="V67" s="109">
        <v>102435.7</v>
      </c>
      <c r="W67" s="109">
        <v>0</v>
      </c>
      <c r="X67" s="109">
        <v>123739.95</v>
      </c>
      <c r="Y67" s="109">
        <v>0</v>
      </c>
      <c r="Z67" s="109">
        <v>1.06</v>
      </c>
      <c r="AA67" s="109">
        <v>0</v>
      </c>
      <c r="AB67" s="109">
        <v>47556.24</v>
      </c>
      <c r="AC67" s="109">
        <v>49525.43</v>
      </c>
      <c r="AD67" s="109">
        <v>7560</v>
      </c>
      <c r="AE67" s="109">
        <v>0</v>
      </c>
      <c r="AF67" s="109">
        <v>9007.59</v>
      </c>
      <c r="AG67" s="109">
        <v>3415.04</v>
      </c>
      <c r="AH67" s="109">
        <v>0</v>
      </c>
      <c r="AI67" s="109">
        <v>0</v>
      </c>
      <c r="AJ67" s="109">
        <v>0</v>
      </c>
      <c r="AK67" s="109">
        <v>0</v>
      </c>
      <c r="AL67" s="109">
        <v>0</v>
      </c>
      <c r="AM67" s="109">
        <v>0</v>
      </c>
      <c r="AN67" s="109">
        <v>101462.5</v>
      </c>
      <c r="AO67" s="109">
        <v>1275967.72</v>
      </c>
      <c r="AP67" s="109">
        <v>0</v>
      </c>
      <c r="AQ67" s="109">
        <v>492938.95</v>
      </c>
      <c r="AR67" s="109">
        <v>125795.45</v>
      </c>
      <c r="AS67" s="109">
        <v>125649.31</v>
      </c>
      <c r="AT67" s="109">
        <v>0</v>
      </c>
      <c r="AU67" s="109">
        <v>87312.56</v>
      </c>
      <c r="AV67" s="109">
        <v>6264.27</v>
      </c>
      <c r="AW67" s="109">
        <v>502.5</v>
      </c>
      <c r="AX67" s="109">
        <v>10911.1</v>
      </c>
      <c r="AY67" s="109">
        <v>0</v>
      </c>
      <c r="AZ67" s="109">
        <v>30068.13</v>
      </c>
      <c r="BA67" s="109">
        <v>0</v>
      </c>
      <c r="BB67" s="109">
        <v>2226.56</v>
      </c>
      <c r="BC67" s="109">
        <v>7136.42</v>
      </c>
      <c r="BD67" s="109">
        <v>59822</v>
      </c>
      <c r="BE67" s="109">
        <v>12781.19</v>
      </c>
      <c r="BF67" s="109">
        <v>16396.57</v>
      </c>
      <c r="BG67" s="109">
        <v>61427.5</v>
      </c>
      <c r="BH67" s="109">
        <v>20070.759999999998</v>
      </c>
      <c r="BI67" s="109">
        <v>0</v>
      </c>
      <c r="BJ67" s="109">
        <v>19536.09</v>
      </c>
      <c r="BK67" s="109">
        <v>17269.599999999999</v>
      </c>
      <c r="BL67" s="109">
        <v>14765.19</v>
      </c>
      <c r="BM67" s="109">
        <v>135369.32999999999</v>
      </c>
      <c r="BN67" s="109">
        <v>120869</v>
      </c>
      <c r="BO67" s="109">
        <v>179716.42</v>
      </c>
      <c r="BP67" s="109">
        <v>36445.040000000001</v>
      </c>
      <c r="BQ67" s="109">
        <v>0</v>
      </c>
      <c r="BR67" s="109">
        <v>0</v>
      </c>
      <c r="BS67" s="109">
        <v>0</v>
      </c>
      <c r="BT67" s="109">
        <v>0</v>
      </c>
      <c r="BU67" s="109">
        <v>0</v>
      </c>
      <c r="BV67" s="109">
        <v>0</v>
      </c>
      <c r="BW67" s="109">
        <v>0</v>
      </c>
      <c r="BX67" s="109">
        <v>0</v>
      </c>
      <c r="BY67" s="109">
        <v>1</v>
      </c>
      <c r="BZ67" s="109">
        <v>0</v>
      </c>
      <c r="CA67" s="658">
        <v>0</v>
      </c>
      <c r="CB67" s="659"/>
      <c r="CC67" s="109">
        <v>0</v>
      </c>
      <c r="CD67" s="109">
        <v>0</v>
      </c>
      <c r="CE67" s="109">
        <v>0</v>
      </c>
      <c r="CF67" s="109">
        <v>-363924</v>
      </c>
      <c r="CG67" s="109">
        <v>0</v>
      </c>
      <c r="CH67" s="109">
        <v>0</v>
      </c>
      <c r="CI67" s="109">
        <v>0</v>
      </c>
      <c r="CJ67" s="110">
        <v>0</v>
      </c>
      <c r="CK67" s="111">
        <f t="shared" si="0"/>
        <v>-363924</v>
      </c>
      <c r="CL67" s="111">
        <f t="shared" si="1"/>
        <v>0</v>
      </c>
    </row>
    <row r="68" spans="1:90" ht="26.4">
      <c r="A68" s="109">
        <v>302</v>
      </c>
      <c r="B68" s="109">
        <v>3510</v>
      </c>
      <c r="C68" s="109" t="s">
        <v>90</v>
      </c>
      <c r="D68" s="109" t="s">
        <v>594</v>
      </c>
      <c r="E68" s="109"/>
      <c r="F68" s="109" t="s">
        <v>588</v>
      </c>
      <c r="G68" s="109">
        <v>0</v>
      </c>
      <c r="H68" s="109">
        <v>0</v>
      </c>
      <c r="I68" s="109" t="s">
        <v>589</v>
      </c>
      <c r="J68" s="109" t="s">
        <v>590</v>
      </c>
      <c r="K68" s="109" t="s">
        <v>591</v>
      </c>
      <c r="L68" s="109" t="s">
        <v>592</v>
      </c>
      <c r="M68" s="109" t="s">
        <v>591</v>
      </c>
      <c r="N68" s="109" t="s">
        <v>593</v>
      </c>
      <c r="O68" s="109" t="s">
        <v>188</v>
      </c>
      <c r="P68" s="109" t="s">
        <v>188</v>
      </c>
      <c r="Q68" s="109">
        <v>285064.61</v>
      </c>
      <c r="R68" s="109">
        <v>0</v>
      </c>
      <c r="S68" s="109">
        <v>0</v>
      </c>
      <c r="T68" s="109">
        <v>1693164</v>
      </c>
      <c r="U68" s="109">
        <v>0</v>
      </c>
      <c r="V68" s="109">
        <v>87868</v>
      </c>
      <c r="W68" s="109">
        <v>0</v>
      </c>
      <c r="X68" s="109">
        <v>58835</v>
      </c>
      <c r="Y68" s="109">
        <v>2955</v>
      </c>
      <c r="Z68" s="109">
        <v>15901</v>
      </c>
      <c r="AA68" s="109">
        <v>1580</v>
      </c>
      <c r="AB68" s="109">
        <v>34329</v>
      </c>
      <c r="AC68" s="109">
        <v>47274</v>
      </c>
      <c r="AD68" s="109">
        <v>0</v>
      </c>
      <c r="AE68" s="109">
        <v>0</v>
      </c>
      <c r="AF68" s="109">
        <v>30983</v>
      </c>
      <c r="AG68" s="109">
        <v>63269</v>
      </c>
      <c r="AH68" s="109">
        <v>0</v>
      </c>
      <c r="AI68" s="109">
        <v>0</v>
      </c>
      <c r="AJ68" s="109">
        <v>0</v>
      </c>
      <c r="AK68" s="109">
        <v>0</v>
      </c>
      <c r="AL68" s="109">
        <v>0</v>
      </c>
      <c r="AM68" s="109">
        <v>0</v>
      </c>
      <c r="AN68" s="109">
        <v>89775</v>
      </c>
      <c r="AO68" s="109">
        <v>1102947</v>
      </c>
      <c r="AP68" s="109">
        <v>0</v>
      </c>
      <c r="AQ68" s="109">
        <v>276790</v>
      </c>
      <c r="AR68" s="109">
        <v>39063</v>
      </c>
      <c r="AS68" s="109">
        <v>93076</v>
      </c>
      <c r="AT68" s="109">
        <v>0</v>
      </c>
      <c r="AU68" s="109">
        <v>8829</v>
      </c>
      <c r="AV68" s="109">
        <v>10311</v>
      </c>
      <c r="AW68" s="109">
        <v>3058</v>
      </c>
      <c r="AX68" s="109">
        <v>649</v>
      </c>
      <c r="AY68" s="109">
        <v>0</v>
      </c>
      <c r="AZ68" s="109">
        <v>15388</v>
      </c>
      <c r="BA68" s="109">
        <v>4697</v>
      </c>
      <c r="BB68" s="109">
        <v>29770</v>
      </c>
      <c r="BC68" s="109">
        <v>6208</v>
      </c>
      <c r="BD68" s="109">
        <v>24790</v>
      </c>
      <c r="BE68" s="109">
        <v>9499</v>
      </c>
      <c r="BF68" s="109">
        <v>8310</v>
      </c>
      <c r="BG68" s="109">
        <v>79035</v>
      </c>
      <c r="BH68" s="109">
        <v>14696</v>
      </c>
      <c r="BI68" s="109">
        <v>0</v>
      </c>
      <c r="BJ68" s="109">
        <v>14074</v>
      </c>
      <c r="BK68" s="109">
        <v>14342</v>
      </c>
      <c r="BL68" s="109">
        <v>2096</v>
      </c>
      <c r="BM68" s="109">
        <v>111733</v>
      </c>
      <c r="BN68" s="109">
        <v>6860</v>
      </c>
      <c r="BO68" s="109">
        <v>210434</v>
      </c>
      <c r="BP68" s="109">
        <v>35324</v>
      </c>
      <c r="BQ68" s="109">
        <v>0</v>
      </c>
      <c r="BR68" s="109">
        <v>0</v>
      </c>
      <c r="BS68" s="109">
        <v>41350</v>
      </c>
      <c r="BT68" s="109">
        <v>0</v>
      </c>
      <c r="BU68" s="109">
        <v>0</v>
      </c>
      <c r="BV68" s="109">
        <v>0</v>
      </c>
      <c r="BW68" s="109">
        <v>0</v>
      </c>
      <c r="BX68" s="109">
        <v>41350</v>
      </c>
      <c r="BY68" s="109">
        <v>1</v>
      </c>
      <c r="BZ68" s="109">
        <v>0</v>
      </c>
      <c r="CA68" s="658">
        <v>0</v>
      </c>
      <c r="CB68" s="659"/>
      <c r="CC68" s="109">
        <v>0</v>
      </c>
      <c r="CD68" s="109">
        <v>41350</v>
      </c>
      <c r="CE68" s="109">
        <v>247669</v>
      </c>
      <c r="CF68" s="109">
        <v>0</v>
      </c>
      <c r="CG68" s="109">
        <v>0</v>
      </c>
      <c r="CH68" s="109">
        <v>0</v>
      </c>
      <c r="CI68" s="109">
        <v>0</v>
      </c>
      <c r="CJ68" s="110">
        <v>0</v>
      </c>
      <c r="CK68" s="111">
        <f t="shared" si="0"/>
        <v>247669</v>
      </c>
      <c r="CL68" s="111">
        <f t="shared" si="1"/>
        <v>0</v>
      </c>
    </row>
    <row r="69" spans="1:90" ht="26.4">
      <c r="A69" s="109">
        <v>302</v>
      </c>
      <c r="B69" s="109">
        <v>3511</v>
      </c>
      <c r="C69" s="109" t="s">
        <v>619</v>
      </c>
      <c r="D69" s="109" t="s">
        <v>594</v>
      </c>
      <c r="E69" s="109"/>
      <c r="F69" s="109" t="s">
        <v>588</v>
      </c>
      <c r="G69" s="109">
        <v>0</v>
      </c>
      <c r="H69" s="109">
        <v>0</v>
      </c>
      <c r="I69" s="109" t="s">
        <v>589</v>
      </c>
      <c r="J69" s="109" t="s">
        <v>590</v>
      </c>
      <c r="K69" s="109" t="s">
        <v>591</v>
      </c>
      <c r="L69" s="109" t="s">
        <v>592</v>
      </c>
      <c r="M69" s="109" t="s">
        <v>591</v>
      </c>
      <c r="N69" s="109" t="s">
        <v>593</v>
      </c>
      <c r="O69" s="109" t="s">
        <v>188</v>
      </c>
      <c r="P69" s="109" t="s">
        <v>188</v>
      </c>
      <c r="Q69" s="109">
        <v>203966.84</v>
      </c>
      <c r="R69" s="109">
        <v>0</v>
      </c>
      <c r="S69" s="109">
        <v>1</v>
      </c>
      <c r="T69" s="109">
        <v>2225972.39</v>
      </c>
      <c r="U69" s="109">
        <v>0</v>
      </c>
      <c r="V69" s="109">
        <v>27825.09</v>
      </c>
      <c r="W69" s="109">
        <v>0</v>
      </c>
      <c r="X69" s="109">
        <v>148914.85</v>
      </c>
      <c r="Y69" s="109">
        <v>0</v>
      </c>
      <c r="Z69" s="109">
        <v>16212.8</v>
      </c>
      <c r="AA69" s="109">
        <v>0</v>
      </c>
      <c r="AB69" s="109">
        <v>45703.76</v>
      </c>
      <c r="AC69" s="109">
        <v>35592.31</v>
      </c>
      <c r="AD69" s="109">
        <v>0</v>
      </c>
      <c r="AE69" s="109">
        <v>1900</v>
      </c>
      <c r="AF69" s="109">
        <v>40331.85</v>
      </c>
      <c r="AG69" s="109">
        <v>6441.12</v>
      </c>
      <c r="AH69" s="109">
        <v>0</v>
      </c>
      <c r="AI69" s="109">
        <v>0</v>
      </c>
      <c r="AJ69" s="109">
        <v>0</v>
      </c>
      <c r="AK69" s="109">
        <v>0</v>
      </c>
      <c r="AL69" s="109">
        <v>0</v>
      </c>
      <c r="AM69" s="109">
        <v>28226.880000000001</v>
      </c>
      <c r="AN69" s="109">
        <v>66725.67</v>
      </c>
      <c r="AO69" s="109">
        <v>1103654.4099999999</v>
      </c>
      <c r="AP69" s="109">
        <v>0</v>
      </c>
      <c r="AQ69" s="109">
        <v>510122.64</v>
      </c>
      <c r="AR69" s="109">
        <v>41267.629999999997</v>
      </c>
      <c r="AS69" s="109">
        <v>155337.68</v>
      </c>
      <c r="AT69" s="109">
        <v>0</v>
      </c>
      <c r="AU69" s="109">
        <v>11671.73</v>
      </c>
      <c r="AV69" s="109">
        <v>1756.47</v>
      </c>
      <c r="AW69" s="109">
        <v>11143.61</v>
      </c>
      <c r="AX69" s="109">
        <v>13199.96</v>
      </c>
      <c r="AY69" s="109">
        <v>0</v>
      </c>
      <c r="AZ69" s="109">
        <v>9296.17</v>
      </c>
      <c r="BA69" s="109">
        <v>1281.1300000000001</v>
      </c>
      <c r="BB69" s="109">
        <v>48524.21</v>
      </c>
      <c r="BC69" s="109">
        <v>4005.4</v>
      </c>
      <c r="BD69" s="109">
        <v>30779.07</v>
      </c>
      <c r="BE69" s="109">
        <v>4214</v>
      </c>
      <c r="BF69" s="109">
        <v>9874.4699999999993</v>
      </c>
      <c r="BG69" s="109">
        <v>76991.78</v>
      </c>
      <c r="BH69" s="109">
        <v>25271.56</v>
      </c>
      <c r="BI69" s="109">
        <v>0</v>
      </c>
      <c r="BJ69" s="109">
        <v>19343.509999999998</v>
      </c>
      <c r="BK69" s="109">
        <v>20226.59</v>
      </c>
      <c r="BL69" s="109">
        <v>35067.980000000003</v>
      </c>
      <c r="BM69" s="109">
        <v>121137.07</v>
      </c>
      <c r="BN69" s="109">
        <v>136219.22</v>
      </c>
      <c r="BO69" s="109">
        <v>155748.4</v>
      </c>
      <c r="BP69" s="109">
        <v>30527.52</v>
      </c>
      <c r="BQ69" s="109">
        <v>27</v>
      </c>
      <c r="BR69" s="109">
        <v>0</v>
      </c>
      <c r="BS69" s="109">
        <v>0</v>
      </c>
      <c r="BT69" s="109">
        <v>0</v>
      </c>
      <c r="BU69" s="109">
        <v>0</v>
      </c>
      <c r="BV69" s="109">
        <v>0</v>
      </c>
      <c r="BW69" s="109">
        <v>0</v>
      </c>
      <c r="BX69" s="109">
        <v>0</v>
      </c>
      <c r="BY69" s="109">
        <v>1</v>
      </c>
      <c r="BZ69" s="109">
        <v>0</v>
      </c>
      <c r="CA69" s="658">
        <v>0</v>
      </c>
      <c r="CB69" s="659"/>
      <c r="CC69" s="109">
        <v>0</v>
      </c>
      <c r="CD69" s="109">
        <v>0</v>
      </c>
      <c r="CE69" s="109">
        <v>19744</v>
      </c>
      <c r="CF69" s="109">
        <v>251380</v>
      </c>
      <c r="CG69" s="109">
        <v>0</v>
      </c>
      <c r="CH69" s="109">
        <v>0</v>
      </c>
      <c r="CI69" s="109">
        <v>0</v>
      </c>
      <c r="CJ69" s="110">
        <v>0</v>
      </c>
      <c r="CK69" s="111">
        <f t="shared" ref="CK69:CK90" si="2">CE69+CF69+CI69</f>
        <v>271124</v>
      </c>
      <c r="CL69" s="111">
        <f t="shared" ref="CL69:CL90" si="3">CG69+CH69</f>
        <v>0</v>
      </c>
    </row>
    <row r="70" spans="1:90" ht="26.4">
      <c r="A70" s="109">
        <v>302</v>
      </c>
      <c r="B70" s="109">
        <v>3512</v>
      </c>
      <c r="C70" s="109" t="s">
        <v>89</v>
      </c>
      <c r="D70" s="109" t="s">
        <v>594</v>
      </c>
      <c r="E70" s="109"/>
      <c r="F70" s="109" t="s">
        <v>588</v>
      </c>
      <c r="G70" s="109">
        <v>0</v>
      </c>
      <c r="H70" s="109">
        <v>0</v>
      </c>
      <c r="I70" s="109" t="s">
        <v>589</v>
      </c>
      <c r="J70" s="109" t="s">
        <v>590</v>
      </c>
      <c r="K70" s="109" t="s">
        <v>591</v>
      </c>
      <c r="L70" s="109" t="s">
        <v>592</v>
      </c>
      <c r="M70" s="109" t="s">
        <v>591</v>
      </c>
      <c r="N70" s="109" t="s">
        <v>593</v>
      </c>
      <c r="O70" s="109" t="s">
        <v>188</v>
      </c>
      <c r="P70" s="109" t="s">
        <v>188</v>
      </c>
      <c r="Q70" s="109">
        <v>400324.92</v>
      </c>
      <c r="R70" s="109">
        <v>0</v>
      </c>
      <c r="S70" s="109">
        <v>0</v>
      </c>
      <c r="T70" s="109">
        <v>1615271.15</v>
      </c>
      <c r="U70" s="109">
        <v>0</v>
      </c>
      <c r="V70" s="109">
        <v>40749.53</v>
      </c>
      <c r="W70" s="109">
        <v>0</v>
      </c>
      <c r="X70" s="109">
        <v>13450.02</v>
      </c>
      <c r="Y70" s="109">
        <v>0</v>
      </c>
      <c r="Z70" s="109">
        <v>4764.6400000000003</v>
      </c>
      <c r="AA70" s="109">
        <v>0</v>
      </c>
      <c r="AB70" s="109">
        <v>53636.28</v>
      </c>
      <c r="AC70" s="109">
        <v>144553.92000000001</v>
      </c>
      <c r="AD70" s="109">
        <v>11166</v>
      </c>
      <c r="AE70" s="109">
        <v>0</v>
      </c>
      <c r="AF70" s="109">
        <v>23676.44</v>
      </c>
      <c r="AG70" s="109">
        <v>346383.64</v>
      </c>
      <c r="AH70" s="109">
        <v>0</v>
      </c>
      <c r="AI70" s="109">
        <v>0</v>
      </c>
      <c r="AJ70" s="109">
        <v>0</v>
      </c>
      <c r="AK70" s="109">
        <v>0</v>
      </c>
      <c r="AL70" s="109">
        <v>0</v>
      </c>
      <c r="AM70" s="109">
        <v>0</v>
      </c>
      <c r="AN70" s="109">
        <v>98778.25</v>
      </c>
      <c r="AO70" s="109">
        <v>1120364.6000000001</v>
      </c>
      <c r="AP70" s="109">
        <v>17168.28</v>
      </c>
      <c r="AQ70" s="109">
        <v>363516.4</v>
      </c>
      <c r="AR70" s="109">
        <v>65191.46</v>
      </c>
      <c r="AS70" s="109">
        <v>117474.79</v>
      </c>
      <c r="AT70" s="109">
        <v>0</v>
      </c>
      <c r="AU70" s="109">
        <v>71268.03</v>
      </c>
      <c r="AV70" s="109">
        <v>7400.42</v>
      </c>
      <c r="AW70" s="109">
        <v>3415.6</v>
      </c>
      <c r="AX70" s="109">
        <v>18926.59</v>
      </c>
      <c r="AY70" s="109">
        <v>0</v>
      </c>
      <c r="AZ70" s="109">
        <v>29015.31</v>
      </c>
      <c r="BA70" s="109">
        <v>0</v>
      </c>
      <c r="BB70" s="109">
        <v>49730.87</v>
      </c>
      <c r="BC70" s="109">
        <v>2744.46</v>
      </c>
      <c r="BD70" s="109">
        <v>35538.99</v>
      </c>
      <c r="BE70" s="109">
        <v>13300</v>
      </c>
      <c r="BF70" s="109">
        <v>9559.6200000000008</v>
      </c>
      <c r="BG70" s="109">
        <v>47558.59</v>
      </c>
      <c r="BH70" s="109">
        <v>9629.66</v>
      </c>
      <c r="BI70" s="109">
        <v>0</v>
      </c>
      <c r="BJ70" s="109">
        <v>11815.21</v>
      </c>
      <c r="BK70" s="109">
        <v>11345.49</v>
      </c>
      <c r="BL70" s="109">
        <v>11043.72</v>
      </c>
      <c r="BM70" s="109">
        <v>228283.92</v>
      </c>
      <c r="BN70" s="109">
        <v>26514.25</v>
      </c>
      <c r="BO70" s="109">
        <v>87986.240000000005</v>
      </c>
      <c r="BP70" s="109">
        <v>37569</v>
      </c>
      <c r="BQ70" s="109">
        <v>0</v>
      </c>
      <c r="BR70" s="109">
        <v>0</v>
      </c>
      <c r="BS70" s="109">
        <v>7199.6</v>
      </c>
      <c r="BT70" s="109">
        <v>0</v>
      </c>
      <c r="BU70" s="109">
        <v>0</v>
      </c>
      <c r="BV70" s="109">
        <v>0</v>
      </c>
      <c r="BW70" s="109">
        <v>0</v>
      </c>
      <c r="BX70" s="109">
        <v>7200</v>
      </c>
      <c r="BY70" s="109">
        <v>1</v>
      </c>
      <c r="BZ70" s="109">
        <v>0</v>
      </c>
      <c r="CA70" s="658">
        <v>0</v>
      </c>
      <c r="CB70" s="659"/>
      <c r="CC70" s="109">
        <v>0</v>
      </c>
      <c r="CD70" s="109">
        <v>7199.6</v>
      </c>
      <c r="CE70" s="109">
        <v>109000</v>
      </c>
      <c r="CF70" s="109">
        <v>240194</v>
      </c>
      <c r="CG70" s="109">
        <v>0</v>
      </c>
      <c r="CH70" s="109">
        <v>0</v>
      </c>
      <c r="CI70" s="109">
        <v>0</v>
      </c>
      <c r="CJ70" s="110">
        <v>0</v>
      </c>
      <c r="CK70" s="111">
        <f t="shared" si="2"/>
        <v>349194</v>
      </c>
      <c r="CL70" s="111">
        <f t="shared" si="3"/>
        <v>0</v>
      </c>
    </row>
    <row r="71" spans="1:90" ht="26.4">
      <c r="A71" s="109">
        <v>302</v>
      </c>
      <c r="B71" s="109">
        <v>3513</v>
      </c>
      <c r="C71" s="109" t="s">
        <v>77</v>
      </c>
      <c r="D71" s="109" t="s">
        <v>594</v>
      </c>
      <c r="E71" s="109"/>
      <c r="F71" s="109" t="s">
        <v>588</v>
      </c>
      <c r="G71" s="109">
        <v>0</v>
      </c>
      <c r="H71" s="109">
        <v>2</v>
      </c>
      <c r="I71" s="109" t="s">
        <v>589</v>
      </c>
      <c r="J71" s="109" t="s">
        <v>590</v>
      </c>
      <c r="K71" s="109" t="s">
        <v>591</v>
      </c>
      <c r="L71" s="109" t="s">
        <v>592</v>
      </c>
      <c r="M71" s="109" t="s">
        <v>591</v>
      </c>
      <c r="N71" s="109" t="s">
        <v>593</v>
      </c>
      <c r="O71" s="109" t="s">
        <v>188</v>
      </c>
      <c r="P71" s="109" t="s">
        <v>188</v>
      </c>
      <c r="Q71" s="109">
        <v>26098.49</v>
      </c>
      <c r="R71" s="109">
        <v>0</v>
      </c>
      <c r="S71" s="109">
        <v>0</v>
      </c>
      <c r="T71" s="109">
        <v>1763557.4</v>
      </c>
      <c r="U71" s="109">
        <v>0</v>
      </c>
      <c r="V71" s="109">
        <v>69114.539999999994</v>
      </c>
      <c r="W71" s="109">
        <v>0</v>
      </c>
      <c r="X71" s="109">
        <v>20175</v>
      </c>
      <c r="Y71" s="109">
        <v>61702.400000000001</v>
      </c>
      <c r="Z71" s="109">
        <v>0</v>
      </c>
      <c r="AA71" s="109">
        <v>1900</v>
      </c>
      <c r="AB71" s="109">
        <v>1687.87</v>
      </c>
      <c r="AC71" s="109">
        <v>23992.35</v>
      </c>
      <c r="AD71" s="109">
        <v>0</v>
      </c>
      <c r="AE71" s="109">
        <v>0</v>
      </c>
      <c r="AF71" s="109">
        <v>20969.419999999998</v>
      </c>
      <c r="AG71" s="109">
        <v>238808.76</v>
      </c>
      <c r="AH71" s="109">
        <v>0</v>
      </c>
      <c r="AI71" s="109">
        <v>0</v>
      </c>
      <c r="AJ71" s="109">
        <v>0</v>
      </c>
      <c r="AK71" s="109">
        <v>0</v>
      </c>
      <c r="AL71" s="109">
        <v>0</v>
      </c>
      <c r="AM71" s="109">
        <v>14810.62</v>
      </c>
      <c r="AN71" s="109">
        <v>92602.33</v>
      </c>
      <c r="AO71" s="109">
        <v>1278883.73</v>
      </c>
      <c r="AP71" s="109">
        <v>0</v>
      </c>
      <c r="AQ71" s="109">
        <v>183152.82</v>
      </c>
      <c r="AR71" s="109">
        <v>36701.760000000002</v>
      </c>
      <c r="AS71" s="109">
        <v>145673.19</v>
      </c>
      <c r="AT71" s="109">
        <v>0</v>
      </c>
      <c r="AU71" s="109">
        <v>34692.199999999997</v>
      </c>
      <c r="AV71" s="109">
        <v>-1897.68</v>
      </c>
      <c r="AW71" s="109">
        <v>3140</v>
      </c>
      <c r="AX71" s="109">
        <v>623.20000000000005</v>
      </c>
      <c r="AY71" s="109">
        <v>0</v>
      </c>
      <c r="AZ71" s="109">
        <v>10446.200000000001</v>
      </c>
      <c r="BA71" s="109">
        <v>120</v>
      </c>
      <c r="BB71" s="109">
        <v>34201.82</v>
      </c>
      <c r="BC71" s="109">
        <v>8413.36</v>
      </c>
      <c r="BD71" s="109">
        <v>39267.14</v>
      </c>
      <c r="BE71" s="109">
        <v>4787.2</v>
      </c>
      <c r="BF71" s="109">
        <v>81069.960000000006</v>
      </c>
      <c r="BG71" s="109">
        <v>109900.26</v>
      </c>
      <c r="BH71" s="109">
        <v>12934.31</v>
      </c>
      <c r="BI71" s="109">
        <v>0</v>
      </c>
      <c r="BJ71" s="109">
        <v>11579.84</v>
      </c>
      <c r="BK71" s="109">
        <v>3370.6</v>
      </c>
      <c r="BL71" s="109">
        <v>94451.13</v>
      </c>
      <c r="BM71" s="109">
        <v>84748.85</v>
      </c>
      <c r="BN71" s="109">
        <v>0</v>
      </c>
      <c r="BO71" s="109">
        <v>192703.86</v>
      </c>
      <c r="BP71" s="109">
        <v>28005.52</v>
      </c>
      <c r="BQ71" s="109">
        <v>0</v>
      </c>
      <c r="BR71" s="109">
        <v>0</v>
      </c>
      <c r="BS71" s="109">
        <v>0</v>
      </c>
      <c r="BT71" s="109">
        <v>0</v>
      </c>
      <c r="BU71" s="109">
        <v>0</v>
      </c>
      <c r="BV71" s="109">
        <v>0</v>
      </c>
      <c r="BW71" s="109">
        <v>0</v>
      </c>
      <c r="BX71" s="109">
        <v>0</v>
      </c>
      <c r="BY71" s="109">
        <v>1</v>
      </c>
      <c r="BZ71" s="109">
        <v>0</v>
      </c>
      <c r="CA71" s="658">
        <v>0</v>
      </c>
      <c r="CB71" s="659"/>
      <c r="CC71" s="109">
        <v>0</v>
      </c>
      <c r="CD71" s="109">
        <v>0</v>
      </c>
      <c r="CE71" s="109">
        <v>0</v>
      </c>
      <c r="CF71" s="109">
        <v>-61550</v>
      </c>
      <c r="CG71" s="109">
        <v>0</v>
      </c>
      <c r="CH71" s="109">
        <v>0</v>
      </c>
      <c r="CI71" s="109">
        <v>0</v>
      </c>
      <c r="CJ71" s="110">
        <v>0</v>
      </c>
      <c r="CK71" s="111">
        <f t="shared" si="2"/>
        <v>-61550</v>
      </c>
      <c r="CL71" s="111">
        <f t="shared" si="3"/>
        <v>0</v>
      </c>
    </row>
    <row r="72" spans="1:90" ht="26.4">
      <c r="A72" s="109">
        <v>302</v>
      </c>
      <c r="B72" s="109">
        <v>3514</v>
      </c>
      <c r="C72" s="109" t="s">
        <v>620</v>
      </c>
      <c r="D72" s="109" t="s">
        <v>594</v>
      </c>
      <c r="E72" s="109"/>
      <c r="F72" s="109" t="s">
        <v>588</v>
      </c>
      <c r="G72" s="109">
        <v>0</v>
      </c>
      <c r="H72" s="109">
        <v>0</v>
      </c>
      <c r="I72" s="109" t="s">
        <v>589</v>
      </c>
      <c r="J72" s="109" t="s">
        <v>590</v>
      </c>
      <c r="K72" s="109" t="s">
        <v>591</v>
      </c>
      <c r="L72" s="109" t="s">
        <v>592</v>
      </c>
      <c r="M72" s="109" t="s">
        <v>591</v>
      </c>
      <c r="N72" s="109" t="s">
        <v>593</v>
      </c>
      <c r="O72" s="109" t="s">
        <v>188</v>
      </c>
      <c r="P72" s="109" t="s">
        <v>188</v>
      </c>
      <c r="Q72" s="109">
        <v>78573.2</v>
      </c>
      <c r="R72" s="109">
        <v>0</v>
      </c>
      <c r="S72" s="109">
        <v>0</v>
      </c>
      <c r="T72" s="109">
        <v>1024994.39</v>
      </c>
      <c r="U72" s="109">
        <v>0</v>
      </c>
      <c r="V72" s="109">
        <v>18477.080000000002</v>
      </c>
      <c r="W72" s="109">
        <v>0</v>
      </c>
      <c r="X72" s="109">
        <v>69940.02</v>
      </c>
      <c r="Y72" s="109">
        <v>0</v>
      </c>
      <c r="Z72" s="109">
        <v>0</v>
      </c>
      <c r="AA72" s="109">
        <v>8492</v>
      </c>
      <c r="AB72" s="109">
        <v>0</v>
      </c>
      <c r="AC72" s="109">
        <v>19033.2</v>
      </c>
      <c r="AD72" s="109">
        <v>0</v>
      </c>
      <c r="AE72" s="109">
        <v>0</v>
      </c>
      <c r="AF72" s="109">
        <v>33882.53</v>
      </c>
      <c r="AG72" s="109">
        <v>6796.48</v>
      </c>
      <c r="AH72" s="109">
        <v>0</v>
      </c>
      <c r="AI72" s="109">
        <v>0</v>
      </c>
      <c r="AJ72" s="109">
        <v>0</v>
      </c>
      <c r="AK72" s="109">
        <v>0</v>
      </c>
      <c r="AL72" s="109">
        <v>37434.04</v>
      </c>
      <c r="AM72" s="109">
        <v>8932.64</v>
      </c>
      <c r="AN72" s="109">
        <v>0</v>
      </c>
      <c r="AO72" s="109">
        <v>682241.22</v>
      </c>
      <c r="AP72" s="109">
        <v>3260.46</v>
      </c>
      <c r="AQ72" s="109">
        <v>123322.75</v>
      </c>
      <c r="AR72" s="109">
        <v>53335.360000000001</v>
      </c>
      <c r="AS72" s="109">
        <v>39887.35</v>
      </c>
      <c r="AT72" s="109">
        <v>0</v>
      </c>
      <c r="AU72" s="109">
        <v>3343.8</v>
      </c>
      <c r="AV72" s="109">
        <v>1917.49</v>
      </c>
      <c r="AW72" s="109">
        <v>2837.05</v>
      </c>
      <c r="AX72" s="109">
        <v>339.48</v>
      </c>
      <c r="AY72" s="109">
        <v>0</v>
      </c>
      <c r="AZ72" s="109">
        <v>9736.7199999999993</v>
      </c>
      <c r="BA72" s="109">
        <v>5199.6899999999996</v>
      </c>
      <c r="BB72" s="109">
        <v>8441.6200000000008</v>
      </c>
      <c r="BC72" s="109">
        <v>860.7</v>
      </c>
      <c r="BD72" s="109">
        <v>8026.96</v>
      </c>
      <c r="BE72" s="109">
        <v>8857.6</v>
      </c>
      <c r="BF72" s="109">
        <v>6315.17</v>
      </c>
      <c r="BG72" s="109">
        <v>55757.03</v>
      </c>
      <c r="BH72" s="109">
        <v>11764.18</v>
      </c>
      <c r="BI72" s="109">
        <v>0</v>
      </c>
      <c r="BJ72" s="109">
        <v>14051.86</v>
      </c>
      <c r="BK72" s="109">
        <v>11009.13</v>
      </c>
      <c r="BL72" s="109">
        <v>7459.5</v>
      </c>
      <c r="BM72" s="109">
        <v>27575.73</v>
      </c>
      <c r="BN72" s="109">
        <v>23140.5</v>
      </c>
      <c r="BO72" s="109">
        <v>91219.25</v>
      </c>
      <c r="BP72" s="109">
        <v>36172.230000000003</v>
      </c>
      <c r="BQ72" s="109">
        <v>0</v>
      </c>
      <c r="BR72" s="109">
        <v>0</v>
      </c>
      <c r="BS72" s="109">
        <v>0</v>
      </c>
      <c r="BT72" s="109">
        <v>0</v>
      </c>
      <c r="BU72" s="109">
        <v>0</v>
      </c>
      <c r="BV72" s="109">
        <v>0</v>
      </c>
      <c r="BW72" s="109">
        <v>0</v>
      </c>
      <c r="BX72" s="109">
        <v>0</v>
      </c>
      <c r="BY72" s="109">
        <v>1</v>
      </c>
      <c r="BZ72" s="109">
        <v>0</v>
      </c>
      <c r="CA72" s="658">
        <v>0</v>
      </c>
      <c r="CB72" s="659"/>
      <c r="CC72" s="109">
        <v>0</v>
      </c>
      <c r="CD72" s="109">
        <v>0</v>
      </c>
      <c r="CE72" s="109">
        <v>0</v>
      </c>
      <c r="CF72" s="109">
        <v>70483</v>
      </c>
      <c r="CG72" s="109">
        <v>0</v>
      </c>
      <c r="CH72" s="109">
        <v>0</v>
      </c>
      <c r="CI72" s="109">
        <v>0</v>
      </c>
      <c r="CJ72" s="110">
        <v>0</v>
      </c>
      <c r="CK72" s="111">
        <f t="shared" si="2"/>
        <v>70483</v>
      </c>
      <c r="CL72" s="111">
        <f t="shared" si="3"/>
        <v>0</v>
      </c>
    </row>
    <row r="73" spans="1:90" ht="26.4">
      <c r="A73" s="109">
        <v>302</v>
      </c>
      <c r="B73" s="109">
        <v>3516</v>
      </c>
      <c r="C73" s="109" t="s">
        <v>68</v>
      </c>
      <c r="D73" s="109" t="s">
        <v>594</v>
      </c>
      <c r="E73" s="109"/>
      <c r="F73" s="109" t="s">
        <v>588</v>
      </c>
      <c r="G73" s="109">
        <v>0</v>
      </c>
      <c r="H73" s="109">
        <v>1</v>
      </c>
      <c r="I73" s="109" t="s">
        <v>589</v>
      </c>
      <c r="J73" s="109" t="s">
        <v>590</v>
      </c>
      <c r="K73" s="109" t="s">
        <v>591</v>
      </c>
      <c r="L73" s="109" t="s">
        <v>592</v>
      </c>
      <c r="M73" s="109" t="s">
        <v>591</v>
      </c>
      <c r="N73" s="109" t="s">
        <v>593</v>
      </c>
      <c r="O73" s="109" t="s">
        <v>188</v>
      </c>
      <c r="P73" s="109" t="s">
        <v>188</v>
      </c>
      <c r="Q73" s="109">
        <v>-13176.67</v>
      </c>
      <c r="R73" s="109">
        <v>0</v>
      </c>
      <c r="S73" s="109">
        <v>0</v>
      </c>
      <c r="T73" s="109">
        <v>1045210.35</v>
      </c>
      <c r="U73" s="109">
        <v>0</v>
      </c>
      <c r="V73" s="109">
        <v>70641.600000000006</v>
      </c>
      <c r="W73" s="109">
        <v>0</v>
      </c>
      <c r="X73" s="109">
        <v>34625.07</v>
      </c>
      <c r="Y73" s="109">
        <v>51525</v>
      </c>
      <c r="Z73" s="109">
        <v>0</v>
      </c>
      <c r="AA73" s="109">
        <v>0</v>
      </c>
      <c r="AB73" s="109">
        <v>4240</v>
      </c>
      <c r="AC73" s="109">
        <v>114</v>
      </c>
      <c r="AD73" s="109">
        <v>0</v>
      </c>
      <c r="AE73" s="109">
        <v>0</v>
      </c>
      <c r="AF73" s="109">
        <v>449</v>
      </c>
      <c r="AG73" s="109">
        <v>294175.53000000003</v>
      </c>
      <c r="AH73" s="109">
        <v>0</v>
      </c>
      <c r="AI73" s="109">
        <v>0</v>
      </c>
      <c r="AJ73" s="109">
        <v>0</v>
      </c>
      <c r="AK73" s="109">
        <v>0</v>
      </c>
      <c r="AL73" s="109">
        <v>0</v>
      </c>
      <c r="AM73" s="109">
        <v>10128.120000000001</v>
      </c>
      <c r="AN73" s="109">
        <v>46138.67</v>
      </c>
      <c r="AO73" s="109">
        <v>837270.51</v>
      </c>
      <c r="AP73" s="109">
        <v>4009.47</v>
      </c>
      <c r="AQ73" s="109">
        <v>274091.28000000003</v>
      </c>
      <c r="AR73" s="109">
        <v>64063.39</v>
      </c>
      <c r="AS73" s="109">
        <v>103196.9</v>
      </c>
      <c r="AT73" s="109">
        <v>0</v>
      </c>
      <c r="AU73" s="109">
        <v>33756.07</v>
      </c>
      <c r="AV73" s="109">
        <v>2399.5</v>
      </c>
      <c r="AW73" s="109">
        <v>3105</v>
      </c>
      <c r="AX73" s="109">
        <v>7182.26</v>
      </c>
      <c r="AY73" s="109">
        <v>778.27</v>
      </c>
      <c r="AZ73" s="109">
        <v>5120.8900000000003</v>
      </c>
      <c r="BA73" s="109">
        <v>47.78</v>
      </c>
      <c r="BB73" s="109">
        <v>869.31</v>
      </c>
      <c r="BC73" s="109">
        <v>3664.97</v>
      </c>
      <c r="BD73" s="109">
        <v>16847.560000000001</v>
      </c>
      <c r="BE73" s="109">
        <v>16598.400000000001</v>
      </c>
      <c r="BF73" s="109">
        <v>57628.43</v>
      </c>
      <c r="BG73" s="109">
        <v>33449.730000000003</v>
      </c>
      <c r="BH73" s="109">
        <v>15322.23</v>
      </c>
      <c r="BI73" s="109">
        <v>0</v>
      </c>
      <c r="BJ73" s="109">
        <v>7057.54</v>
      </c>
      <c r="BK73" s="109">
        <v>5376.25</v>
      </c>
      <c r="BL73" s="109">
        <v>45.99</v>
      </c>
      <c r="BM73" s="109">
        <v>29398.41</v>
      </c>
      <c r="BN73" s="109">
        <v>13721.17</v>
      </c>
      <c r="BO73" s="109">
        <v>17645.78</v>
      </c>
      <c r="BP73" s="109">
        <v>17214.22</v>
      </c>
      <c r="BQ73" s="109">
        <v>0</v>
      </c>
      <c r="BR73" s="109">
        <v>0</v>
      </c>
      <c r="BS73" s="109">
        <v>0</v>
      </c>
      <c r="BT73" s="109">
        <v>0</v>
      </c>
      <c r="BU73" s="109">
        <v>0</v>
      </c>
      <c r="BV73" s="109">
        <v>0</v>
      </c>
      <c r="BW73" s="109">
        <v>0</v>
      </c>
      <c r="BX73" s="109">
        <v>0</v>
      </c>
      <c r="BY73" s="109">
        <v>1</v>
      </c>
      <c r="BZ73" s="109">
        <v>0</v>
      </c>
      <c r="CA73" s="658">
        <v>0</v>
      </c>
      <c r="CB73" s="659"/>
      <c r="CC73" s="109">
        <v>0</v>
      </c>
      <c r="CD73" s="109">
        <v>0</v>
      </c>
      <c r="CE73" s="109">
        <v>0</v>
      </c>
      <c r="CF73" s="109">
        <v>-25791</v>
      </c>
      <c r="CG73" s="109">
        <v>0</v>
      </c>
      <c r="CH73" s="109">
        <v>0</v>
      </c>
      <c r="CI73" s="109">
        <v>0</v>
      </c>
      <c r="CJ73" s="110">
        <v>0</v>
      </c>
      <c r="CK73" s="111">
        <f t="shared" si="2"/>
        <v>-25791</v>
      </c>
      <c r="CL73" s="111">
        <f t="shared" si="3"/>
        <v>0</v>
      </c>
    </row>
    <row r="74" spans="1:90">
      <c r="A74" s="109">
        <v>302</v>
      </c>
      <c r="B74" s="109">
        <v>3518</v>
      </c>
      <c r="C74" s="109" t="s">
        <v>621</v>
      </c>
      <c r="D74" s="109" t="s">
        <v>594</v>
      </c>
      <c r="E74" s="109"/>
      <c r="F74" s="109" t="s">
        <v>588</v>
      </c>
      <c r="G74" s="109">
        <v>0</v>
      </c>
      <c r="H74" s="109">
        <v>1</v>
      </c>
      <c r="I74" s="109" t="s">
        <v>589</v>
      </c>
      <c r="J74" s="109" t="s">
        <v>590</v>
      </c>
      <c r="K74" s="109" t="s">
        <v>591</v>
      </c>
      <c r="L74" s="109" t="s">
        <v>592</v>
      </c>
      <c r="M74" s="109" t="s">
        <v>591</v>
      </c>
      <c r="N74" s="109" t="s">
        <v>593</v>
      </c>
      <c r="O74" s="109" t="s">
        <v>188</v>
      </c>
      <c r="P74" s="109" t="s">
        <v>188</v>
      </c>
      <c r="Q74" s="109">
        <v>59900.14</v>
      </c>
      <c r="R74" s="109">
        <v>0</v>
      </c>
      <c r="S74" s="109">
        <v>883.24</v>
      </c>
      <c r="T74" s="109">
        <v>2197899.89</v>
      </c>
      <c r="U74" s="109">
        <v>0</v>
      </c>
      <c r="V74" s="109">
        <v>30654.41</v>
      </c>
      <c r="W74" s="109">
        <v>0</v>
      </c>
      <c r="X74" s="109">
        <v>199396.04</v>
      </c>
      <c r="Y74" s="109">
        <v>4348.42</v>
      </c>
      <c r="Z74" s="109">
        <v>0</v>
      </c>
      <c r="AA74" s="109">
        <v>7200</v>
      </c>
      <c r="AB74" s="109">
        <v>17043</v>
      </c>
      <c r="AC74" s="109">
        <v>15281.3</v>
      </c>
      <c r="AD74" s="109">
        <v>6900</v>
      </c>
      <c r="AE74" s="109">
        <v>0</v>
      </c>
      <c r="AF74" s="109">
        <v>13050</v>
      </c>
      <c r="AG74" s="109">
        <v>3716.45</v>
      </c>
      <c r="AH74" s="109">
        <v>0</v>
      </c>
      <c r="AI74" s="109">
        <v>0</v>
      </c>
      <c r="AJ74" s="109">
        <v>0</v>
      </c>
      <c r="AK74" s="109">
        <v>0</v>
      </c>
      <c r="AL74" s="109">
        <v>0</v>
      </c>
      <c r="AM74" s="109">
        <v>33035</v>
      </c>
      <c r="AN74" s="109">
        <v>56713.83</v>
      </c>
      <c r="AO74" s="109">
        <v>1205112.29</v>
      </c>
      <c r="AP74" s="109">
        <v>6875.78</v>
      </c>
      <c r="AQ74" s="109">
        <v>627131.76</v>
      </c>
      <c r="AR74" s="109">
        <v>15781.86</v>
      </c>
      <c r="AS74" s="109">
        <v>35846.46</v>
      </c>
      <c r="AT74" s="109">
        <v>0</v>
      </c>
      <c r="AU74" s="109">
        <v>130398.41</v>
      </c>
      <c r="AV74" s="109">
        <v>14121.14</v>
      </c>
      <c r="AW74" s="109">
        <v>8159.45</v>
      </c>
      <c r="AX74" s="109">
        <v>13830.34</v>
      </c>
      <c r="AY74" s="109">
        <v>0</v>
      </c>
      <c r="AZ74" s="109">
        <v>17246.669999999998</v>
      </c>
      <c r="BA74" s="109">
        <v>2249.7600000000002</v>
      </c>
      <c r="BB74" s="109">
        <v>52853.67</v>
      </c>
      <c r="BC74" s="109">
        <v>1704.1</v>
      </c>
      <c r="BD74" s="109">
        <v>38511.86</v>
      </c>
      <c r="BE74" s="109">
        <v>35328</v>
      </c>
      <c r="BF74" s="109">
        <v>9426.75</v>
      </c>
      <c r="BG74" s="109">
        <v>40032.449999999997</v>
      </c>
      <c r="BH74" s="109">
        <v>17411.41</v>
      </c>
      <c r="BI74" s="109">
        <v>0</v>
      </c>
      <c r="BJ74" s="109">
        <v>18087.810000000001</v>
      </c>
      <c r="BK74" s="109">
        <v>11287.3</v>
      </c>
      <c r="BL74" s="109">
        <v>5529.49</v>
      </c>
      <c r="BM74" s="109">
        <v>88796.21</v>
      </c>
      <c r="BN74" s="109">
        <v>84192.48</v>
      </c>
      <c r="BO74" s="109">
        <v>135265.09</v>
      </c>
      <c r="BP74" s="109">
        <v>42339.77</v>
      </c>
      <c r="BQ74" s="109">
        <v>0</v>
      </c>
      <c r="BR74" s="109">
        <v>0</v>
      </c>
      <c r="BS74" s="109">
        <v>3964</v>
      </c>
      <c r="BT74" s="109">
        <v>0</v>
      </c>
      <c r="BU74" s="109">
        <v>0</v>
      </c>
      <c r="BV74" s="109">
        <v>8761</v>
      </c>
      <c r="BW74" s="109">
        <v>0</v>
      </c>
      <c r="BX74" s="109">
        <v>3964</v>
      </c>
      <c r="BY74" s="109">
        <v>1</v>
      </c>
      <c r="BZ74" s="109">
        <v>0</v>
      </c>
      <c r="CA74" s="658">
        <v>5615</v>
      </c>
      <c r="CB74" s="659"/>
      <c r="CC74" s="109">
        <v>0</v>
      </c>
      <c r="CD74" s="109">
        <v>7306.88</v>
      </c>
      <c r="CE74" s="109">
        <v>0</v>
      </c>
      <c r="CF74" s="109">
        <v>-16346</v>
      </c>
      <c r="CG74" s="109">
        <v>686</v>
      </c>
      <c r="CH74" s="109">
        <v>0</v>
      </c>
      <c r="CI74" s="109">
        <v>0</v>
      </c>
      <c r="CJ74" s="110">
        <v>0</v>
      </c>
      <c r="CK74" s="111">
        <f t="shared" si="2"/>
        <v>-16346</v>
      </c>
      <c r="CL74" s="111">
        <f t="shared" si="3"/>
        <v>686</v>
      </c>
    </row>
    <row r="75" spans="1:90">
      <c r="A75" s="109">
        <v>302</v>
      </c>
      <c r="B75" s="109">
        <v>3520</v>
      </c>
      <c r="C75" s="109" t="s">
        <v>248</v>
      </c>
      <c r="D75" s="109" t="s">
        <v>594</v>
      </c>
      <c r="E75" s="109"/>
      <c r="F75" s="109" t="s">
        <v>588</v>
      </c>
      <c r="G75" s="109">
        <v>0</v>
      </c>
      <c r="H75" s="109">
        <v>0</v>
      </c>
      <c r="I75" s="109" t="s">
        <v>589</v>
      </c>
      <c r="J75" s="109" t="s">
        <v>590</v>
      </c>
      <c r="K75" s="109" t="s">
        <v>591</v>
      </c>
      <c r="L75" s="109" t="s">
        <v>592</v>
      </c>
      <c r="M75" s="109" t="s">
        <v>591</v>
      </c>
      <c r="N75" s="109" t="s">
        <v>593</v>
      </c>
      <c r="O75" s="109" t="s">
        <v>188</v>
      </c>
      <c r="P75" s="109" t="s">
        <v>188</v>
      </c>
      <c r="Q75" s="109">
        <v>138410.47</v>
      </c>
      <c r="R75" s="109">
        <v>0</v>
      </c>
      <c r="S75" s="109">
        <v>0</v>
      </c>
      <c r="T75" s="109">
        <v>1767768</v>
      </c>
      <c r="U75" s="109">
        <v>0</v>
      </c>
      <c r="V75" s="109">
        <v>103625</v>
      </c>
      <c r="W75" s="109">
        <v>0</v>
      </c>
      <c r="X75" s="109">
        <v>1410</v>
      </c>
      <c r="Y75" s="109">
        <v>53782</v>
      </c>
      <c r="Z75" s="109">
        <v>0</v>
      </c>
      <c r="AA75" s="109">
        <v>29056</v>
      </c>
      <c r="AB75" s="109">
        <v>6021</v>
      </c>
      <c r="AC75" s="109">
        <v>84935</v>
      </c>
      <c r="AD75" s="109">
        <v>4900</v>
      </c>
      <c r="AE75" s="109">
        <v>0</v>
      </c>
      <c r="AF75" s="109">
        <v>94840</v>
      </c>
      <c r="AG75" s="109">
        <v>452166</v>
      </c>
      <c r="AH75" s="109">
        <v>0</v>
      </c>
      <c r="AI75" s="109">
        <v>0</v>
      </c>
      <c r="AJ75" s="109">
        <v>0</v>
      </c>
      <c r="AK75" s="109">
        <v>0</v>
      </c>
      <c r="AL75" s="109">
        <v>0</v>
      </c>
      <c r="AM75" s="109">
        <v>14179</v>
      </c>
      <c r="AN75" s="109">
        <v>100245</v>
      </c>
      <c r="AO75" s="109">
        <v>1166438</v>
      </c>
      <c r="AP75" s="109">
        <v>1400</v>
      </c>
      <c r="AQ75" s="109">
        <v>442342</v>
      </c>
      <c r="AR75" s="109">
        <v>45481</v>
      </c>
      <c r="AS75" s="109">
        <v>153432</v>
      </c>
      <c r="AT75" s="109">
        <v>0</v>
      </c>
      <c r="AU75" s="109">
        <v>23767</v>
      </c>
      <c r="AV75" s="109">
        <v>1060</v>
      </c>
      <c r="AW75" s="109">
        <v>1374</v>
      </c>
      <c r="AX75" s="109">
        <v>12283</v>
      </c>
      <c r="AY75" s="109">
        <v>0</v>
      </c>
      <c r="AZ75" s="109">
        <v>50726</v>
      </c>
      <c r="BA75" s="109">
        <v>1185</v>
      </c>
      <c r="BB75" s="109">
        <v>43163</v>
      </c>
      <c r="BC75" s="109">
        <v>15922</v>
      </c>
      <c r="BD75" s="109">
        <v>21139</v>
      </c>
      <c r="BE75" s="109">
        <v>12449</v>
      </c>
      <c r="BF75" s="109">
        <v>86022</v>
      </c>
      <c r="BG75" s="109">
        <v>186432</v>
      </c>
      <c r="BH75" s="109">
        <v>23719</v>
      </c>
      <c r="BI75" s="109">
        <v>0</v>
      </c>
      <c r="BJ75" s="109">
        <v>11308</v>
      </c>
      <c r="BK75" s="109">
        <v>39634</v>
      </c>
      <c r="BL75" s="109">
        <v>3715</v>
      </c>
      <c r="BM75" s="109">
        <v>175836</v>
      </c>
      <c r="BN75" s="109">
        <v>100457</v>
      </c>
      <c r="BO75" s="109">
        <v>46444</v>
      </c>
      <c r="BP75" s="109">
        <v>37299</v>
      </c>
      <c r="BQ75" s="109">
        <v>0</v>
      </c>
      <c r="BR75" s="109">
        <v>0</v>
      </c>
      <c r="BS75" s="109">
        <v>0</v>
      </c>
      <c r="BT75" s="109">
        <v>0</v>
      </c>
      <c r="BU75" s="109">
        <v>0</v>
      </c>
      <c r="BV75" s="109">
        <v>0</v>
      </c>
      <c r="BW75" s="109">
        <v>0</v>
      </c>
      <c r="BX75" s="109">
        <v>0</v>
      </c>
      <c r="BY75" s="109">
        <v>1</v>
      </c>
      <c r="BZ75" s="109">
        <v>0</v>
      </c>
      <c r="CA75" s="658">
        <v>0</v>
      </c>
      <c r="CB75" s="659"/>
      <c r="CC75" s="109">
        <v>0</v>
      </c>
      <c r="CD75" s="109">
        <v>0</v>
      </c>
      <c r="CE75" s="109">
        <v>23612</v>
      </c>
      <c r="CF75" s="109">
        <v>124698</v>
      </c>
      <c r="CG75" s="109">
        <v>0</v>
      </c>
      <c r="CH75" s="109">
        <v>0</v>
      </c>
      <c r="CI75" s="109">
        <v>0</v>
      </c>
      <c r="CJ75" s="110">
        <v>0</v>
      </c>
      <c r="CK75" s="111">
        <f t="shared" si="2"/>
        <v>148310</v>
      </c>
      <c r="CL75" s="111">
        <f t="shared" si="3"/>
        <v>0</v>
      </c>
    </row>
    <row r="76" spans="1:90" ht="39.6">
      <c r="A76" s="109">
        <v>302</v>
      </c>
      <c r="B76" s="109">
        <v>3521</v>
      </c>
      <c r="C76" s="109" t="s">
        <v>415</v>
      </c>
      <c r="D76" s="109" t="s">
        <v>594</v>
      </c>
      <c r="E76" s="109"/>
      <c r="F76" s="109" t="s">
        <v>588</v>
      </c>
      <c r="G76" s="109">
        <v>0</v>
      </c>
      <c r="H76" s="109">
        <v>2</v>
      </c>
      <c r="I76" s="109" t="s">
        <v>589</v>
      </c>
      <c r="J76" s="109" t="s">
        <v>590</v>
      </c>
      <c r="K76" s="109" t="s">
        <v>591</v>
      </c>
      <c r="L76" s="109" t="s">
        <v>592</v>
      </c>
      <c r="M76" s="109" t="s">
        <v>591</v>
      </c>
      <c r="N76" s="109" t="s">
        <v>593</v>
      </c>
      <c r="O76" s="109" t="s">
        <v>188</v>
      </c>
      <c r="P76" s="109" t="s">
        <v>188</v>
      </c>
      <c r="Q76" s="109">
        <v>1028875</v>
      </c>
      <c r="R76" s="109">
        <v>0</v>
      </c>
      <c r="S76" s="109">
        <v>0</v>
      </c>
      <c r="T76" s="109">
        <v>8344058.6900000004</v>
      </c>
      <c r="U76" s="109">
        <v>399027.98</v>
      </c>
      <c r="V76" s="109">
        <v>253222.18</v>
      </c>
      <c r="W76" s="109">
        <v>0</v>
      </c>
      <c r="X76" s="109">
        <v>529650.03</v>
      </c>
      <c r="Y76" s="109">
        <v>1500</v>
      </c>
      <c r="Z76" s="109">
        <v>17168.75</v>
      </c>
      <c r="AA76" s="109">
        <v>26154.36</v>
      </c>
      <c r="AB76" s="109">
        <v>60588.46</v>
      </c>
      <c r="AC76" s="109">
        <v>205401.39</v>
      </c>
      <c r="AD76" s="109">
        <v>0</v>
      </c>
      <c r="AE76" s="109">
        <v>0</v>
      </c>
      <c r="AF76" s="109">
        <v>12456.69</v>
      </c>
      <c r="AG76" s="109">
        <v>10849.41</v>
      </c>
      <c r="AH76" s="109">
        <v>0</v>
      </c>
      <c r="AI76" s="109">
        <v>0</v>
      </c>
      <c r="AJ76" s="109">
        <v>0</v>
      </c>
      <c r="AK76" s="109">
        <v>0</v>
      </c>
      <c r="AL76" s="109">
        <v>33900</v>
      </c>
      <c r="AM76" s="109">
        <v>47430</v>
      </c>
      <c r="AN76" s="109">
        <v>196007.36</v>
      </c>
      <c r="AO76" s="109">
        <v>5245359.7300000004</v>
      </c>
      <c r="AP76" s="109">
        <v>0</v>
      </c>
      <c r="AQ76" s="109">
        <v>1101677.72</v>
      </c>
      <c r="AR76" s="109">
        <v>215025.46</v>
      </c>
      <c r="AS76" s="109">
        <v>676298.01</v>
      </c>
      <c r="AT76" s="109">
        <v>0</v>
      </c>
      <c r="AU76" s="109">
        <v>82706.86</v>
      </c>
      <c r="AV76" s="109">
        <v>157364.97</v>
      </c>
      <c r="AW76" s="109">
        <v>20582.8</v>
      </c>
      <c r="AX76" s="109">
        <v>2248.52</v>
      </c>
      <c r="AY76" s="109">
        <v>100</v>
      </c>
      <c r="AZ76" s="109">
        <v>58006.83</v>
      </c>
      <c r="BA76" s="109">
        <v>15148.75</v>
      </c>
      <c r="BB76" s="109">
        <v>165144.04</v>
      </c>
      <c r="BC76" s="109">
        <v>29433.599999999999</v>
      </c>
      <c r="BD76" s="109">
        <v>127265.95</v>
      </c>
      <c r="BE76" s="109">
        <v>43198.400000000001</v>
      </c>
      <c r="BF76" s="109">
        <v>59357.84</v>
      </c>
      <c r="BG76" s="109">
        <v>213596.78</v>
      </c>
      <c r="BH76" s="109">
        <v>84116.69</v>
      </c>
      <c r="BI76" s="109">
        <v>48753.2</v>
      </c>
      <c r="BJ76" s="109">
        <v>102045.41</v>
      </c>
      <c r="BK76" s="109">
        <v>43993.77</v>
      </c>
      <c r="BL76" s="109">
        <v>37143.269999999997</v>
      </c>
      <c r="BM76" s="109">
        <v>381177.55</v>
      </c>
      <c r="BN76" s="109">
        <v>423193.49</v>
      </c>
      <c r="BO76" s="109">
        <v>407080.07</v>
      </c>
      <c r="BP76" s="109">
        <v>107617.36</v>
      </c>
      <c r="BQ76" s="109">
        <v>0</v>
      </c>
      <c r="BR76" s="109">
        <v>0</v>
      </c>
      <c r="BS76" s="109">
        <v>53620.98</v>
      </c>
      <c r="BT76" s="109">
        <v>0</v>
      </c>
      <c r="BU76" s="109">
        <v>0</v>
      </c>
      <c r="BV76" s="109">
        <v>0</v>
      </c>
      <c r="BW76" s="109">
        <v>0</v>
      </c>
      <c r="BX76" s="109">
        <v>0</v>
      </c>
      <c r="BY76" s="109">
        <v>1</v>
      </c>
      <c r="BZ76" s="109">
        <v>0</v>
      </c>
      <c r="CA76" s="658">
        <v>0</v>
      </c>
      <c r="CB76" s="659"/>
      <c r="CC76" s="109">
        <v>0</v>
      </c>
      <c r="CD76" s="109">
        <v>0</v>
      </c>
      <c r="CE76" s="109">
        <v>19717</v>
      </c>
      <c r="CF76" s="109">
        <v>1245315</v>
      </c>
      <c r="CG76" s="109">
        <v>0</v>
      </c>
      <c r="CH76" s="109">
        <v>0</v>
      </c>
      <c r="CI76" s="109">
        <v>0</v>
      </c>
      <c r="CJ76" s="110">
        <v>0</v>
      </c>
      <c r="CK76" s="111">
        <f t="shared" si="2"/>
        <v>1265032</v>
      </c>
      <c r="CL76" s="111">
        <f t="shared" si="3"/>
        <v>0</v>
      </c>
    </row>
    <row r="77" spans="1:90">
      <c r="A77" s="109">
        <v>302</v>
      </c>
      <c r="B77" s="109">
        <v>3523</v>
      </c>
      <c r="C77" s="109" t="s">
        <v>249</v>
      </c>
      <c r="D77" s="109" t="s">
        <v>594</v>
      </c>
      <c r="E77" s="109"/>
      <c r="F77" s="109" t="s">
        <v>588</v>
      </c>
      <c r="G77" s="109">
        <v>0</v>
      </c>
      <c r="H77" s="109">
        <v>0</v>
      </c>
      <c r="I77" s="109" t="s">
        <v>589</v>
      </c>
      <c r="J77" s="109" t="s">
        <v>590</v>
      </c>
      <c r="K77" s="109" t="s">
        <v>591</v>
      </c>
      <c r="L77" s="109" t="s">
        <v>592</v>
      </c>
      <c r="M77" s="109" t="s">
        <v>591</v>
      </c>
      <c r="N77" s="109" t="s">
        <v>593</v>
      </c>
      <c r="O77" s="109" t="s">
        <v>188</v>
      </c>
      <c r="P77" s="109" t="s">
        <v>188</v>
      </c>
      <c r="Q77" s="109">
        <v>138754.47</v>
      </c>
      <c r="R77" s="109">
        <v>0</v>
      </c>
      <c r="S77" s="109">
        <v>13494</v>
      </c>
      <c r="T77" s="109">
        <v>3136477.4</v>
      </c>
      <c r="U77" s="109">
        <v>0</v>
      </c>
      <c r="V77" s="109">
        <v>106515.43</v>
      </c>
      <c r="W77" s="109">
        <v>0</v>
      </c>
      <c r="X77" s="109">
        <v>147331.92000000001</v>
      </c>
      <c r="Y77" s="109">
        <v>0</v>
      </c>
      <c r="Z77" s="109">
        <v>3000</v>
      </c>
      <c r="AA77" s="109">
        <v>82823.759999999995</v>
      </c>
      <c r="AB77" s="109">
        <v>99295.01</v>
      </c>
      <c r="AC77" s="109">
        <v>58725.64</v>
      </c>
      <c r="AD77" s="109">
        <v>1350</v>
      </c>
      <c r="AE77" s="109">
        <v>0</v>
      </c>
      <c r="AF77" s="109">
        <v>55297.85</v>
      </c>
      <c r="AG77" s="109">
        <v>23809.83</v>
      </c>
      <c r="AH77" s="109">
        <v>0</v>
      </c>
      <c r="AI77" s="109">
        <v>0</v>
      </c>
      <c r="AJ77" s="109">
        <v>0</v>
      </c>
      <c r="AK77" s="109">
        <v>0</v>
      </c>
      <c r="AL77" s="109">
        <v>0</v>
      </c>
      <c r="AM77" s="109">
        <v>0</v>
      </c>
      <c r="AN77" s="109">
        <v>141409.71</v>
      </c>
      <c r="AO77" s="109">
        <v>1765709.69</v>
      </c>
      <c r="AP77" s="109">
        <v>0</v>
      </c>
      <c r="AQ77" s="109">
        <v>938973.26</v>
      </c>
      <c r="AR77" s="109">
        <v>166934.07</v>
      </c>
      <c r="AS77" s="109">
        <v>133235.15</v>
      </c>
      <c r="AT77" s="109">
        <v>0</v>
      </c>
      <c r="AU77" s="109">
        <v>154380.74</v>
      </c>
      <c r="AV77" s="109">
        <v>21634.02</v>
      </c>
      <c r="AW77" s="109">
        <v>697.5</v>
      </c>
      <c r="AX77" s="109">
        <v>8277.52</v>
      </c>
      <c r="AY77" s="109">
        <v>0</v>
      </c>
      <c r="AZ77" s="109">
        <v>13193.71</v>
      </c>
      <c r="BA77" s="109">
        <v>262.5</v>
      </c>
      <c r="BB77" s="109">
        <v>9128.7099999999991</v>
      </c>
      <c r="BC77" s="109">
        <v>1777.16</v>
      </c>
      <c r="BD77" s="109">
        <v>41680.53</v>
      </c>
      <c r="BE77" s="109">
        <v>56924</v>
      </c>
      <c r="BF77" s="109">
        <v>12362.54</v>
      </c>
      <c r="BG77" s="109">
        <v>110514.21</v>
      </c>
      <c r="BH77" s="109">
        <v>12388.22</v>
      </c>
      <c r="BI77" s="109">
        <v>0</v>
      </c>
      <c r="BJ77" s="109">
        <v>11060.91</v>
      </c>
      <c r="BK77" s="109">
        <v>18542.27</v>
      </c>
      <c r="BL77" s="109">
        <v>641.77</v>
      </c>
      <c r="BM77" s="109">
        <v>161938.43</v>
      </c>
      <c r="BN77" s="109">
        <v>26549.58</v>
      </c>
      <c r="BO77" s="109">
        <v>118247.62</v>
      </c>
      <c r="BP77" s="109">
        <v>39744.04</v>
      </c>
      <c r="BQ77" s="109">
        <v>0</v>
      </c>
      <c r="BR77" s="109">
        <v>0</v>
      </c>
      <c r="BS77" s="109">
        <v>0</v>
      </c>
      <c r="BT77" s="109">
        <v>0</v>
      </c>
      <c r="BU77" s="109">
        <v>0</v>
      </c>
      <c r="BV77" s="109">
        <v>11461</v>
      </c>
      <c r="BW77" s="109">
        <v>0</v>
      </c>
      <c r="BX77" s="109">
        <v>0</v>
      </c>
      <c r="BY77" s="109">
        <v>1</v>
      </c>
      <c r="BZ77" s="109">
        <v>0</v>
      </c>
      <c r="CA77" s="658">
        <v>0</v>
      </c>
      <c r="CB77" s="659"/>
      <c r="CC77" s="109">
        <v>0</v>
      </c>
      <c r="CD77" s="109">
        <v>0</v>
      </c>
      <c r="CE77" s="109">
        <v>41681</v>
      </c>
      <c r="CF77" s="109">
        <v>128312</v>
      </c>
      <c r="CG77" s="109">
        <v>24955</v>
      </c>
      <c r="CH77" s="109">
        <v>0</v>
      </c>
      <c r="CI77" s="109">
        <v>0</v>
      </c>
      <c r="CJ77" s="110">
        <v>0</v>
      </c>
      <c r="CK77" s="111">
        <f t="shared" si="2"/>
        <v>169993</v>
      </c>
      <c r="CL77" s="111">
        <f t="shared" si="3"/>
        <v>24955</v>
      </c>
    </row>
    <row r="78" spans="1:90">
      <c r="A78" s="109">
        <v>302</v>
      </c>
      <c r="B78" s="109">
        <v>3524</v>
      </c>
      <c r="C78" s="109" t="s">
        <v>330</v>
      </c>
      <c r="D78" s="109" t="s">
        <v>594</v>
      </c>
      <c r="E78" s="109"/>
      <c r="F78" s="109" t="s">
        <v>588</v>
      </c>
      <c r="G78" s="109">
        <v>0</v>
      </c>
      <c r="H78" s="109">
        <v>0</v>
      </c>
      <c r="I78" s="109" t="s">
        <v>589</v>
      </c>
      <c r="J78" s="109" t="s">
        <v>590</v>
      </c>
      <c r="K78" s="109" t="s">
        <v>591</v>
      </c>
      <c r="L78" s="109" t="s">
        <v>592</v>
      </c>
      <c r="M78" s="109" t="s">
        <v>591</v>
      </c>
      <c r="N78" s="109" t="s">
        <v>593</v>
      </c>
      <c r="O78" s="109" t="s">
        <v>188</v>
      </c>
      <c r="P78" s="109" t="s">
        <v>188</v>
      </c>
      <c r="Q78" s="109">
        <v>-205818.78</v>
      </c>
      <c r="R78" s="109">
        <v>0</v>
      </c>
      <c r="S78" s="109">
        <v>0</v>
      </c>
      <c r="T78" s="109">
        <v>1002197.73</v>
      </c>
      <c r="U78" s="109">
        <v>0</v>
      </c>
      <c r="V78" s="109">
        <v>73799.179999999993</v>
      </c>
      <c r="W78" s="109">
        <v>0</v>
      </c>
      <c r="X78" s="109">
        <v>17484.96</v>
      </c>
      <c r="Y78" s="109">
        <v>65738.820000000007</v>
      </c>
      <c r="Z78" s="109">
        <v>16484.77</v>
      </c>
      <c r="AA78" s="109">
        <v>0</v>
      </c>
      <c r="AB78" s="109">
        <v>31967.41</v>
      </c>
      <c r="AC78" s="109">
        <v>19980.14</v>
      </c>
      <c r="AD78" s="109">
        <v>0</v>
      </c>
      <c r="AE78" s="109">
        <v>0</v>
      </c>
      <c r="AF78" s="109">
        <v>7313.74</v>
      </c>
      <c r="AG78" s="109">
        <v>626350.82999999996</v>
      </c>
      <c r="AH78" s="109">
        <v>0</v>
      </c>
      <c r="AI78" s="109">
        <v>0</v>
      </c>
      <c r="AJ78" s="109">
        <v>0</v>
      </c>
      <c r="AK78" s="109">
        <v>0</v>
      </c>
      <c r="AL78" s="109">
        <v>1826.88</v>
      </c>
      <c r="AM78" s="109">
        <v>6260</v>
      </c>
      <c r="AN78" s="109">
        <v>57983.33</v>
      </c>
      <c r="AO78" s="109">
        <v>854041.88</v>
      </c>
      <c r="AP78" s="109">
        <v>0</v>
      </c>
      <c r="AQ78" s="109">
        <v>225498.21</v>
      </c>
      <c r="AR78" s="109">
        <v>28075.86</v>
      </c>
      <c r="AS78" s="109">
        <v>88565.89</v>
      </c>
      <c r="AT78" s="109">
        <v>0</v>
      </c>
      <c r="AU78" s="109">
        <v>2586.85</v>
      </c>
      <c r="AV78" s="109">
        <v>6207.33</v>
      </c>
      <c r="AW78" s="109">
        <v>2158.0300000000002</v>
      </c>
      <c r="AX78" s="109">
        <v>308.32</v>
      </c>
      <c r="AY78" s="109">
        <v>0</v>
      </c>
      <c r="AZ78" s="109">
        <v>36301.199999999997</v>
      </c>
      <c r="BA78" s="109">
        <v>27.03</v>
      </c>
      <c r="BB78" s="109">
        <v>29751.63</v>
      </c>
      <c r="BC78" s="109">
        <v>4575.28</v>
      </c>
      <c r="BD78" s="109">
        <v>25670.959999999999</v>
      </c>
      <c r="BE78" s="109">
        <v>7714</v>
      </c>
      <c r="BF78" s="109">
        <v>65641.84</v>
      </c>
      <c r="BG78" s="109">
        <v>55424.74</v>
      </c>
      <c r="BH78" s="109">
        <v>11232.25</v>
      </c>
      <c r="BI78" s="109">
        <v>0</v>
      </c>
      <c r="BJ78" s="109">
        <v>15972.39</v>
      </c>
      <c r="BK78" s="109">
        <v>19364.11</v>
      </c>
      <c r="BL78" s="109">
        <v>44.14</v>
      </c>
      <c r="BM78" s="109">
        <v>60851.08</v>
      </c>
      <c r="BN78" s="109">
        <v>34918.160000000003</v>
      </c>
      <c r="BO78" s="109">
        <v>16990.48</v>
      </c>
      <c r="BP78" s="109">
        <v>26892.41</v>
      </c>
      <c r="BQ78" s="109">
        <v>0</v>
      </c>
      <c r="BR78" s="109">
        <v>0</v>
      </c>
      <c r="BS78" s="109">
        <v>0</v>
      </c>
      <c r="BT78" s="109">
        <v>0</v>
      </c>
      <c r="BU78" s="109">
        <v>0</v>
      </c>
      <c r="BV78" s="109">
        <v>0</v>
      </c>
      <c r="BW78" s="109">
        <v>0</v>
      </c>
      <c r="BX78" s="109">
        <v>0</v>
      </c>
      <c r="BY78" s="109">
        <v>1</v>
      </c>
      <c r="BZ78" s="109">
        <v>0</v>
      </c>
      <c r="CA78" s="658">
        <v>0</v>
      </c>
      <c r="CB78" s="659"/>
      <c r="CC78" s="109">
        <v>0</v>
      </c>
      <c r="CD78" s="109">
        <v>0</v>
      </c>
      <c r="CE78" s="109">
        <v>102755</v>
      </c>
      <c r="CF78" s="109">
        <v>0</v>
      </c>
      <c r="CG78" s="109">
        <v>0</v>
      </c>
      <c r="CH78" s="109">
        <v>0</v>
      </c>
      <c r="CI78" s="109">
        <v>0</v>
      </c>
      <c r="CJ78" s="110">
        <v>0</v>
      </c>
      <c r="CK78" s="111">
        <f t="shared" si="2"/>
        <v>102755</v>
      </c>
      <c r="CL78" s="111">
        <f t="shared" si="3"/>
        <v>0</v>
      </c>
    </row>
    <row r="79" spans="1:90" ht="26.4">
      <c r="A79" s="109">
        <v>302</v>
      </c>
      <c r="B79" s="109">
        <v>4003</v>
      </c>
      <c r="C79" s="109" t="s">
        <v>116</v>
      </c>
      <c r="D79" s="109" t="s">
        <v>594</v>
      </c>
      <c r="E79" s="109"/>
      <c r="F79" s="109" t="s">
        <v>588</v>
      </c>
      <c r="G79" s="109">
        <v>0</v>
      </c>
      <c r="H79" s="109">
        <v>0</v>
      </c>
      <c r="I79" s="109" t="s">
        <v>589</v>
      </c>
      <c r="J79" s="109" t="s">
        <v>590</v>
      </c>
      <c r="K79" s="109" t="s">
        <v>591</v>
      </c>
      <c r="L79" s="109" t="s">
        <v>592</v>
      </c>
      <c r="M79" s="109" t="s">
        <v>591</v>
      </c>
      <c r="N79" s="109" t="s">
        <v>593</v>
      </c>
      <c r="O79" s="109" t="s">
        <v>188</v>
      </c>
      <c r="P79" s="109" t="s">
        <v>188</v>
      </c>
      <c r="Q79" s="109">
        <v>246879.14</v>
      </c>
      <c r="R79" s="109">
        <v>0</v>
      </c>
      <c r="S79" s="109">
        <v>31538</v>
      </c>
      <c r="T79" s="109">
        <v>5132965</v>
      </c>
      <c r="U79" s="109">
        <v>0</v>
      </c>
      <c r="V79" s="109">
        <v>255950.44</v>
      </c>
      <c r="W79" s="109">
        <v>0</v>
      </c>
      <c r="X79" s="109">
        <v>319141.56</v>
      </c>
      <c r="Y79" s="109">
        <v>95900</v>
      </c>
      <c r="Z79" s="109">
        <v>2000</v>
      </c>
      <c r="AA79" s="109">
        <v>16360.64</v>
      </c>
      <c r="AB79" s="109">
        <v>537.83000000000004</v>
      </c>
      <c r="AC79" s="109">
        <v>118173.96</v>
      </c>
      <c r="AD79" s="109">
        <v>0</v>
      </c>
      <c r="AE79" s="109">
        <v>18357.009999999998</v>
      </c>
      <c r="AF79" s="109">
        <v>24855.95</v>
      </c>
      <c r="AG79" s="109">
        <v>6893.06</v>
      </c>
      <c r="AH79" s="109">
        <v>0</v>
      </c>
      <c r="AI79" s="109">
        <v>0</v>
      </c>
      <c r="AJ79" s="109">
        <v>0</v>
      </c>
      <c r="AK79" s="109">
        <v>22207.5</v>
      </c>
      <c r="AL79" s="109">
        <v>45130</v>
      </c>
      <c r="AM79" s="109">
        <v>47966.5</v>
      </c>
      <c r="AN79" s="109">
        <v>0</v>
      </c>
      <c r="AO79" s="109">
        <v>3530873.74</v>
      </c>
      <c r="AP79" s="109">
        <v>0</v>
      </c>
      <c r="AQ79" s="109">
        <v>845483.94</v>
      </c>
      <c r="AR79" s="109">
        <v>92619.29</v>
      </c>
      <c r="AS79" s="109">
        <v>441487.87</v>
      </c>
      <c r="AT79" s="109">
        <v>0</v>
      </c>
      <c r="AU79" s="109">
        <v>44655.66</v>
      </c>
      <c r="AV79" s="109">
        <v>41369.06</v>
      </c>
      <c r="AW79" s="109">
        <v>8089.73</v>
      </c>
      <c r="AX79" s="109">
        <v>1117.2</v>
      </c>
      <c r="AY79" s="109">
        <v>0</v>
      </c>
      <c r="AZ79" s="109">
        <v>75829.52</v>
      </c>
      <c r="BA79" s="109">
        <v>11535.32</v>
      </c>
      <c r="BB79" s="109">
        <v>79793.600000000006</v>
      </c>
      <c r="BC79" s="109">
        <v>4154.6899999999996</v>
      </c>
      <c r="BD79" s="109">
        <v>74679.039999999994</v>
      </c>
      <c r="BE79" s="109">
        <v>60648</v>
      </c>
      <c r="BF79" s="109">
        <v>38950.85</v>
      </c>
      <c r="BG79" s="109">
        <v>117001.7</v>
      </c>
      <c r="BH79" s="109">
        <v>93125.54</v>
      </c>
      <c r="BI79" s="109">
        <v>41858.36</v>
      </c>
      <c r="BJ79" s="109">
        <v>21662.09</v>
      </c>
      <c r="BK79" s="109">
        <v>14309.9</v>
      </c>
      <c r="BL79" s="109">
        <v>0</v>
      </c>
      <c r="BM79" s="109">
        <v>177899.38</v>
      </c>
      <c r="BN79" s="109">
        <v>135266.71</v>
      </c>
      <c r="BO79" s="109">
        <v>82895.98</v>
      </c>
      <c r="BP79" s="109">
        <v>12337.5</v>
      </c>
      <c r="BQ79" s="109">
        <v>0</v>
      </c>
      <c r="BR79" s="109">
        <v>0</v>
      </c>
      <c r="BS79" s="109">
        <v>132000</v>
      </c>
      <c r="BT79" s="109">
        <v>0</v>
      </c>
      <c r="BU79" s="109">
        <v>0</v>
      </c>
      <c r="BV79" s="109">
        <v>17289.060000000001</v>
      </c>
      <c r="BW79" s="109">
        <v>0</v>
      </c>
      <c r="BX79" s="109">
        <v>132000</v>
      </c>
      <c r="BY79" s="109">
        <v>1</v>
      </c>
      <c r="BZ79" s="109">
        <v>0</v>
      </c>
      <c r="CA79" s="658">
        <v>169694.78</v>
      </c>
      <c r="CB79" s="659"/>
      <c r="CC79" s="109">
        <v>0</v>
      </c>
      <c r="CD79" s="109">
        <v>6090</v>
      </c>
      <c r="CE79" s="109">
        <v>56562</v>
      </c>
      <c r="CF79" s="109">
        <v>117112</v>
      </c>
      <c r="CG79" s="109">
        <v>0</v>
      </c>
      <c r="CH79" s="109">
        <v>5042</v>
      </c>
      <c r="CI79" s="109">
        <v>0</v>
      </c>
      <c r="CJ79" s="110">
        <v>0</v>
      </c>
      <c r="CK79" s="111">
        <f t="shared" si="2"/>
        <v>173674</v>
      </c>
      <c r="CL79" s="111">
        <f t="shared" si="3"/>
        <v>5042</v>
      </c>
    </row>
    <row r="80" spans="1:90" ht="26.4">
      <c r="A80" s="109">
        <v>302</v>
      </c>
      <c r="B80" s="109">
        <v>4004</v>
      </c>
      <c r="C80" s="109" t="s">
        <v>622</v>
      </c>
      <c r="D80" s="109" t="s">
        <v>594</v>
      </c>
      <c r="E80" s="109"/>
      <c r="F80" s="109" t="s">
        <v>588</v>
      </c>
      <c r="G80" s="109">
        <v>0</v>
      </c>
      <c r="H80" s="109">
        <v>0</v>
      </c>
      <c r="I80" s="109" t="s">
        <v>589</v>
      </c>
      <c r="J80" s="109" t="s">
        <v>590</v>
      </c>
      <c r="K80" s="109" t="s">
        <v>591</v>
      </c>
      <c r="L80" s="109" t="s">
        <v>592</v>
      </c>
      <c r="M80" s="109" t="s">
        <v>591</v>
      </c>
      <c r="N80" s="109" t="s">
        <v>593</v>
      </c>
      <c r="O80" s="109" t="s">
        <v>188</v>
      </c>
      <c r="P80" s="109" t="s">
        <v>188</v>
      </c>
      <c r="Q80" s="109">
        <v>31471</v>
      </c>
      <c r="R80" s="109">
        <v>0</v>
      </c>
      <c r="S80" s="109">
        <v>0</v>
      </c>
      <c r="T80" s="109">
        <v>1657727.7</v>
      </c>
      <c r="U80" s="109">
        <v>390291</v>
      </c>
      <c r="V80" s="109">
        <v>90722.4</v>
      </c>
      <c r="W80" s="109">
        <v>0</v>
      </c>
      <c r="X80" s="109">
        <v>15279.96</v>
      </c>
      <c r="Y80" s="109">
        <v>128368.31</v>
      </c>
      <c r="Z80" s="109">
        <v>1400</v>
      </c>
      <c r="AA80" s="109">
        <v>0</v>
      </c>
      <c r="AB80" s="109">
        <v>0</v>
      </c>
      <c r="AC80" s="109">
        <v>0</v>
      </c>
      <c r="AD80" s="109">
        <v>0</v>
      </c>
      <c r="AE80" s="109">
        <v>0</v>
      </c>
      <c r="AF80" s="109">
        <v>0</v>
      </c>
      <c r="AG80" s="109">
        <v>522000</v>
      </c>
      <c r="AH80" s="109">
        <v>0</v>
      </c>
      <c r="AI80" s="109">
        <v>0</v>
      </c>
      <c r="AJ80" s="109">
        <v>0</v>
      </c>
      <c r="AK80" s="109">
        <v>0</v>
      </c>
      <c r="AL80" s="109">
        <v>38220</v>
      </c>
      <c r="AM80" s="109">
        <v>13441.26</v>
      </c>
      <c r="AN80" s="109">
        <v>0</v>
      </c>
      <c r="AO80" s="109">
        <v>1844675.95</v>
      </c>
      <c r="AP80" s="109">
        <v>0</v>
      </c>
      <c r="AQ80" s="109">
        <v>151903.54999999999</v>
      </c>
      <c r="AR80" s="109">
        <v>45920.18</v>
      </c>
      <c r="AS80" s="109">
        <v>197598.21</v>
      </c>
      <c r="AT80" s="109">
        <v>0</v>
      </c>
      <c r="AU80" s="109">
        <v>0</v>
      </c>
      <c r="AV80" s="109">
        <v>3755.25</v>
      </c>
      <c r="AW80" s="109">
        <v>5308</v>
      </c>
      <c r="AX80" s="109">
        <v>408.66</v>
      </c>
      <c r="AY80" s="109">
        <v>0</v>
      </c>
      <c r="AZ80" s="109">
        <v>170947.83</v>
      </c>
      <c r="BA80" s="109">
        <v>0</v>
      </c>
      <c r="BB80" s="109">
        <v>42088.79</v>
      </c>
      <c r="BC80" s="109">
        <v>307.58999999999997</v>
      </c>
      <c r="BD80" s="109">
        <v>14533.22</v>
      </c>
      <c r="BE80" s="109">
        <v>7168</v>
      </c>
      <c r="BF80" s="109">
        <v>93340.88</v>
      </c>
      <c r="BG80" s="109">
        <v>45686.39</v>
      </c>
      <c r="BH80" s="109">
        <v>22200.32</v>
      </c>
      <c r="BI80" s="109">
        <v>32728.95</v>
      </c>
      <c r="BJ80" s="109">
        <v>49105</v>
      </c>
      <c r="BK80" s="109">
        <v>9123.76</v>
      </c>
      <c r="BL80" s="109">
        <v>0</v>
      </c>
      <c r="BM80" s="109">
        <v>2749.5</v>
      </c>
      <c r="BN80" s="109">
        <v>0</v>
      </c>
      <c r="BO80" s="109">
        <v>27780.28</v>
      </c>
      <c r="BP80" s="109">
        <v>51395</v>
      </c>
      <c r="BQ80" s="109">
        <v>0</v>
      </c>
      <c r="BR80" s="109">
        <v>0</v>
      </c>
      <c r="BS80" s="109">
        <v>12453</v>
      </c>
      <c r="BT80" s="109">
        <v>0</v>
      </c>
      <c r="BU80" s="109">
        <v>0</v>
      </c>
      <c r="BV80" s="109">
        <v>0</v>
      </c>
      <c r="BW80" s="109">
        <v>0</v>
      </c>
      <c r="BX80" s="109">
        <v>12453</v>
      </c>
      <c r="BY80" s="109">
        <v>1</v>
      </c>
      <c r="BZ80" s="109">
        <v>0</v>
      </c>
      <c r="CA80" s="658">
        <v>0</v>
      </c>
      <c r="CB80" s="659"/>
      <c r="CC80" s="109">
        <v>0</v>
      </c>
      <c r="CD80" s="109">
        <v>12453</v>
      </c>
      <c r="CE80" s="109">
        <v>37000</v>
      </c>
      <c r="CF80" s="109">
        <v>20743</v>
      </c>
      <c r="CG80" s="109">
        <v>0</v>
      </c>
      <c r="CH80" s="109">
        <v>0</v>
      </c>
      <c r="CI80" s="109">
        <v>0</v>
      </c>
      <c r="CJ80" s="110">
        <v>0</v>
      </c>
      <c r="CK80" s="111">
        <f t="shared" si="2"/>
        <v>57743</v>
      </c>
      <c r="CL80" s="111">
        <f t="shared" si="3"/>
        <v>0</v>
      </c>
    </row>
    <row r="81" spans="1:90">
      <c r="A81" s="109">
        <v>302</v>
      </c>
      <c r="B81" s="109">
        <v>5201</v>
      </c>
      <c r="C81" s="109" t="s">
        <v>84</v>
      </c>
      <c r="D81" s="109" t="s">
        <v>594</v>
      </c>
      <c r="E81" s="109"/>
      <c r="F81" s="109" t="s">
        <v>588</v>
      </c>
      <c r="G81" s="109">
        <v>0</v>
      </c>
      <c r="H81" s="109">
        <v>0</v>
      </c>
      <c r="I81" s="109" t="s">
        <v>589</v>
      </c>
      <c r="J81" s="109" t="s">
        <v>590</v>
      </c>
      <c r="K81" s="109" t="s">
        <v>591</v>
      </c>
      <c r="L81" s="109" t="s">
        <v>592</v>
      </c>
      <c r="M81" s="109" t="s">
        <v>591</v>
      </c>
      <c r="N81" s="109" t="s">
        <v>593</v>
      </c>
      <c r="O81" s="109" t="s">
        <v>188</v>
      </c>
      <c r="P81" s="109" t="s">
        <v>188</v>
      </c>
      <c r="Q81" s="109">
        <v>300149.23</v>
      </c>
      <c r="R81" s="109">
        <v>0</v>
      </c>
      <c r="S81" s="109">
        <v>8387.5</v>
      </c>
      <c r="T81" s="109">
        <v>1819333.51</v>
      </c>
      <c r="U81" s="109">
        <v>0</v>
      </c>
      <c r="V81" s="109">
        <v>144818.64000000001</v>
      </c>
      <c r="W81" s="109">
        <v>0</v>
      </c>
      <c r="X81" s="109">
        <v>107255.03999999999</v>
      </c>
      <c r="Y81" s="109">
        <v>5663.6</v>
      </c>
      <c r="Z81" s="109">
        <v>0</v>
      </c>
      <c r="AA81" s="109">
        <v>6364.63</v>
      </c>
      <c r="AB81" s="109">
        <v>28198.38</v>
      </c>
      <c r="AC81" s="109">
        <v>41082.550000000003</v>
      </c>
      <c r="AD81" s="109">
        <v>0</v>
      </c>
      <c r="AE81" s="109">
        <v>0</v>
      </c>
      <c r="AF81" s="109">
        <v>25412.65</v>
      </c>
      <c r="AG81" s="109">
        <v>1402.82</v>
      </c>
      <c r="AH81" s="109">
        <v>0</v>
      </c>
      <c r="AI81" s="109">
        <v>0</v>
      </c>
      <c r="AJ81" s="109">
        <v>0</v>
      </c>
      <c r="AK81" s="109">
        <v>0</v>
      </c>
      <c r="AL81" s="109">
        <v>0</v>
      </c>
      <c r="AM81" s="109">
        <v>23700.62</v>
      </c>
      <c r="AN81" s="109">
        <v>67848</v>
      </c>
      <c r="AO81" s="109">
        <v>1090853.48</v>
      </c>
      <c r="AP81" s="109">
        <v>0</v>
      </c>
      <c r="AQ81" s="109">
        <v>435900.06</v>
      </c>
      <c r="AR81" s="109">
        <v>70676.56</v>
      </c>
      <c r="AS81" s="109">
        <v>129320.71</v>
      </c>
      <c r="AT81" s="109">
        <v>0</v>
      </c>
      <c r="AU81" s="109">
        <v>44812.85</v>
      </c>
      <c r="AV81" s="109">
        <v>2303.6</v>
      </c>
      <c r="AW81" s="109">
        <v>5910.33</v>
      </c>
      <c r="AX81" s="109">
        <v>646.16</v>
      </c>
      <c r="AY81" s="109">
        <v>0</v>
      </c>
      <c r="AZ81" s="109">
        <v>32121.13</v>
      </c>
      <c r="BA81" s="109">
        <v>19900.650000000001</v>
      </c>
      <c r="BB81" s="109">
        <v>27121.79</v>
      </c>
      <c r="BC81" s="109">
        <v>10430.950000000001</v>
      </c>
      <c r="BD81" s="109">
        <v>36462.86</v>
      </c>
      <c r="BE81" s="109">
        <v>7014.4</v>
      </c>
      <c r="BF81" s="109">
        <v>12276.11</v>
      </c>
      <c r="BG81" s="109">
        <v>88954.52</v>
      </c>
      <c r="BH81" s="109">
        <v>10159.59</v>
      </c>
      <c r="BI81" s="109">
        <v>0</v>
      </c>
      <c r="BJ81" s="109">
        <v>13602.43</v>
      </c>
      <c r="BK81" s="109">
        <v>12301.78</v>
      </c>
      <c r="BL81" s="109">
        <v>11034.56</v>
      </c>
      <c r="BM81" s="109">
        <v>114377.24</v>
      </c>
      <c r="BN81" s="109">
        <v>6377.5</v>
      </c>
      <c r="BO81" s="109">
        <v>72283.960000000006</v>
      </c>
      <c r="BP81" s="109">
        <v>30265.79</v>
      </c>
      <c r="BQ81" s="109">
        <v>0</v>
      </c>
      <c r="BR81" s="109">
        <v>0</v>
      </c>
      <c r="BS81" s="109">
        <v>6271</v>
      </c>
      <c r="BT81" s="109">
        <v>0</v>
      </c>
      <c r="BU81" s="109">
        <v>0</v>
      </c>
      <c r="BV81" s="109">
        <v>8398.75</v>
      </c>
      <c r="BW81" s="109">
        <v>0</v>
      </c>
      <c r="BX81" s="109">
        <v>6271</v>
      </c>
      <c r="BY81" s="109">
        <v>1</v>
      </c>
      <c r="BZ81" s="109">
        <v>0</v>
      </c>
      <c r="CA81" s="658">
        <v>9888</v>
      </c>
      <c r="CB81" s="659"/>
      <c r="CC81" s="109">
        <v>0</v>
      </c>
      <c r="CD81" s="109">
        <v>13170</v>
      </c>
      <c r="CE81" s="109">
        <v>64357</v>
      </c>
      <c r="CF81" s="109">
        <v>215492</v>
      </c>
      <c r="CG81" s="109">
        <v>0</v>
      </c>
      <c r="CH81" s="109">
        <v>0</v>
      </c>
      <c r="CI81" s="109">
        <v>0</v>
      </c>
      <c r="CJ81" s="110">
        <v>0</v>
      </c>
      <c r="CK81" s="111">
        <f t="shared" si="2"/>
        <v>279849</v>
      </c>
      <c r="CL81" s="111">
        <f t="shared" si="3"/>
        <v>0</v>
      </c>
    </row>
    <row r="82" spans="1:90" ht="26.4">
      <c r="A82" s="109">
        <v>302</v>
      </c>
      <c r="B82" s="109">
        <v>5404</v>
      </c>
      <c r="C82" s="109" t="s">
        <v>623</v>
      </c>
      <c r="D82" s="109" t="s">
        <v>594</v>
      </c>
      <c r="E82" s="109"/>
      <c r="F82" s="109" t="s">
        <v>588</v>
      </c>
      <c r="G82" s="109">
        <v>0</v>
      </c>
      <c r="H82" s="109">
        <v>1</v>
      </c>
      <c r="I82" s="109" t="s">
        <v>589</v>
      </c>
      <c r="J82" s="109" t="s">
        <v>590</v>
      </c>
      <c r="K82" s="109" t="s">
        <v>591</v>
      </c>
      <c r="L82" s="109" t="s">
        <v>592</v>
      </c>
      <c r="M82" s="109" t="s">
        <v>591</v>
      </c>
      <c r="N82" s="109" t="s">
        <v>593</v>
      </c>
      <c r="O82" s="109" t="s">
        <v>188</v>
      </c>
      <c r="P82" s="109" t="s">
        <v>188</v>
      </c>
      <c r="Q82" s="109">
        <v>73335.199999999997</v>
      </c>
      <c r="R82" s="109">
        <v>0</v>
      </c>
      <c r="S82" s="109">
        <v>-766</v>
      </c>
      <c r="T82" s="109">
        <v>3451066</v>
      </c>
      <c r="U82" s="109">
        <v>1397084</v>
      </c>
      <c r="V82" s="109">
        <v>1762</v>
      </c>
      <c r="W82" s="109">
        <v>0</v>
      </c>
      <c r="X82" s="109">
        <v>42020</v>
      </c>
      <c r="Y82" s="109">
        <v>7458</v>
      </c>
      <c r="Z82" s="109">
        <v>0</v>
      </c>
      <c r="AA82" s="109">
        <v>0</v>
      </c>
      <c r="AB82" s="109">
        <v>14982.84</v>
      </c>
      <c r="AC82" s="109">
        <v>140861</v>
      </c>
      <c r="AD82" s="109">
        <v>0</v>
      </c>
      <c r="AE82" s="109">
        <v>0</v>
      </c>
      <c r="AF82" s="109">
        <v>19557</v>
      </c>
      <c r="AG82" s="109">
        <v>138912.64000000001</v>
      </c>
      <c r="AH82" s="109">
        <v>0</v>
      </c>
      <c r="AI82" s="109">
        <v>0</v>
      </c>
      <c r="AJ82" s="109">
        <v>0</v>
      </c>
      <c r="AK82" s="109">
        <v>21250</v>
      </c>
      <c r="AL82" s="109">
        <v>31790</v>
      </c>
      <c r="AM82" s="109">
        <v>29050.76</v>
      </c>
      <c r="AN82" s="109">
        <v>10867.05</v>
      </c>
      <c r="AO82" s="109">
        <v>3272558</v>
      </c>
      <c r="AP82" s="109">
        <v>0</v>
      </c>
      <c r="AQ82" s="109">
        <v>246200</v>
      </c>
      <c r="AR82" s="109">
        <v>82952</v>
      </c>
      <c r="AS82" s="109">
        <v>347327</v>
      </c>
      <c r="AT82" s="109">
        <v>54603</v>
      </c>
      <c r="AU82" s="109">
        <v>9687</v>
      </c>
      <c r="AV82" s="109">
        <v>28511</v>
      </c>
      <c r="AW82" s="109">
        <v>12793</v>
      </c>
      <c r="AX82" s="109">
        <v>824</v>
      </c>
      <c r="AY82" s="109">
        <v>0</v>
      </c>
      <c r="AZ82" s="109">
        <v>95929</v>
      </c>
      <c r="BA82" s="109">
        <v>4812</v>
      </c>
      <c r="BB82" s="109">
        <v>74968</v>
      </c>
      <c r="BC82" s="109">
        <v>27339</v>
      </c>
      <c r="BD82" s="109">
        <v>50607</v>
      </c>
      <c r="BE82" s="109">
        <v>17130</v>
      </c>
      <c r="BF82" s="109">
        <v>47120</v>
      </c>
      <c r="BG82" s="109">
        <v>139829</v>
      </c>
      <c r="BH82" s="109">
        <v>24428</v>
      </c>
      <c r="BI82" s="109">
        <v>122694</v>
      </c>
      <c r="BJ82" s="109">
        <v>37977</v>
      </c>
      <c r="BK82" s="109">
        <v>21462</v>
      </c>
      <c r="BL82" s="109">
        <v>334</v>
      </c>
      <c r="BM82" s="109">
        <v>69475</v>
      </c>
      <c r="BN82" s="109">
        <v>1902</v>
      </c>
      <c r="BO82" s="109">
        <v>71087</v>
      </c>
      <c r="BP82" s="109">
        <v>99218</v>
      </c>
      <c r="BQ82" s="109">
        <v>0</v>
      </c>
      <c r="BR82" s="109">
        <v>0</v>
      </c>
      <c r="BS82" s="109">
        <v>4443</v>
      </c>
      <c r="BT82" s="109">
        <v>0</v>
      </c>
      <c r="BU82" s="109">
        <v>0</v>
      </c>
      <c r="BV82" s="109">
        <v>0</v>
      </c>
      <c r="BW82" s="109">
        <v>-3677</v>
      </c>
      <c r="BX82" s="109">
        <v>4443</v>
      </c>
      <c r="BY82" s="109">
        <v>1</v>
      </c>
      <c r="BZ82" s="109">
        <v>0</v>
      </c>
      <c r="CA82" s="658">
        <v>0</v>
      </c>
      <c r="CB82" s="659"/>
      <c r="CC82" s="109">
        <v>0</v>
      </c>
      <c r="CD82" s="109">
        <v>0</v>
      </c>
      <c r="CE82" s="109">
        <v>160000</v>
      </c>
      <c r="CF82" s="109">
        <v>253787</v>
      </c>
      <c r="CG82" s="109">
        <v>0</v>
      </c>
      <c r="CH82" s="109">
        <v>0</v>
      </c>
      <c r="CI82" s="109">
        <v>0</v>
      </c>
      <c r="CJ82" s="110">
        <v>0</v>
      </c>
      <c r="CK82" s="111">
        <f t="shared" si="2"/>
        <v>413787</v>
      </c>
      <c r="CL82" s="111">
        <f t="shared" si="3"/>
        <v>0</v>
      </c>
    </row>
    <row r="83" spans="1:90" ht="26.4">
      <c r="A83" s="109">
        <v>302</v>
      </c>
      <c r="B83" s="109">
        <v>5405</v>
      </c>
      <c r="C83" s="109" t="s">
        <v>624</v>
      </c>
      <c r="D83" s="109" t="s">
        <v>594</v>
      </c>
      <c r="E83" s="109"/>
      <c r="F83" s="109" t="s">
        <v>588</v>
      </c>
      <c r="G83" s="109">
        <v>0</v>
      </c>
      <c r="H83" s="109">
        <v>0</v>
      </c>
      <c r="I83" s="109" t="s">
        <v>589</v>
      </c>
      <c r="J83" s="109" t="s">
        <v>590</v>
      </c>
      <c r="K83" s="109" t="s">
        <v>591</v>
      </c>
      <c r="L83" s="109" t="s">
        <v>592</v>
      </c>
      <c r="M83" s="109" t="s">
        <v>591</v>
      </c>
      <c r="N83" s="109" t="s">
        <v>593</v>
      </c>
      <c r="O83" s="109" t="s">
        <v>188</v>
      </c>
      <c r="P83" s="109" t="s">
        <v>188</v>
      </c>
      <c r="Q83" s="109">
        <v>602121.92000000004</v>
      </c>
      <c r="R83" s="109">
        <v>-4589.68</v>
      </c>
      <c r="S83" s="109">
        <v>1</v>
      </c>
      <c r="T83" s="109">
        <v>5272843.04</v>
      </c>
      <c r="U83" s="109">
        <v>1691588.03</v>
      </c>
      <c r="V83" s="109">
        <v>165665.51999999999</v>
      </c>
      <c r="W83" s="109">
        <v>0</v>
      </c>
      <c r="X83" s="109">
        <v>123125.01</v>
      </c>
      <c r="Y83" s="109">
        <v>13972.72</v>
      </c>
      <c r="Z83" s="109">
        <v>3270</v>
      </c>
      <c r="AA83" s="109">
        <v>837.4</v>
      </c>
      <c r="AB83" s="109">
        <v>56411.7</v>
      </c>
      <c r="AC83" s="109">
        <v>364580.39</v>
      </c>
      <c r="AD83" s="109">
        <v>0</v>
      </c>
      <c r="AE83" s="109">
        <v>0</v>
      </c>
      <c r="AF83" s="109">
        <v>24269.86</v>
      </c>
      <c r="AG83" s="109">
        <v>1000</v>
      </c>
      <c r="AH83" s="109">
        <v>0</v>
      </c>
      <c r="AI83" s="109">
        <v>0</v>
      </c>
      <c r="AJ83" s="109">
        <v>0</v>
      </c>
      <c r="AK83" s="109">
        <v>0</v>
      </c>
      <c r="AL83" s="109">
        <v>43180</v>
      </c>
      <c r="AM83" s="109">
        <v>48095.62</v>
      </c>
      <c r="AN83" s="109">
        <v>0</v>
      </c>
      <c r="AO83" s="109">
        <v>4618991.4800000004</v>
      </c>
      <c r="AP83" s="109">
        <v>320</v>
      </c>
      <c r="AQ83" s="109">
        <v>655315.55000000005</v>
      </c>
      <c r="AR83" s="109">
        <v>101741.04</v>
      </c>
      <c r="AS83" s="109">
        <v>581126.22</v>
      </c>
      <c r="AT83" s="109">
        <v>162734.39999999999</v>
      </c>
      <c r="AU83" s="109">
        <v>0</v>
      </c>
      <c r="AV83" s="109">
        <v>22058.79</v>
      </c>
      <c r="AW83" s="109">
        <v>14580.21</v>
      </c>
      <c r="AX83" s="109">
        <v>1300.95</v>
      </c>
      <c r="AY83" s="109">
        <v>0</v>
      </c>
      <c r="AZ83" s="109">
        <v>85190.81</v>
      </c>
      <c r="BA83" s="109">
        <v>39291.82</v>
      </c>
      <c r="BB83" s="109">
        <v>103330.97</v>
      </c>
      <c r="BC83" s="109">
        <v>12277.14</v>
      </c>
      <c r="BD83" s="109">
        <v>136547.49</v>
      </c>
      <c r="BE83" s="109">
        <v>25599.49</v>
      </c>
      <c r="BF83" s="109">
        <v>38137.06</v>
      </c>
      <c r="BG83" s="109">
        <v>155337.37</v>
      </c>
      <c r="BH83" s="109">
        <v>73213.72</v>
      </c>
      <c r="BI83" s="109">
        <v>112123.91</v>
      </c>
      <c r="BJ83" s="109">
        <v>30704.04</v>
      </c>
      <c r="BK83" s="109">
        <v>53772.3</v>
      </c>
      <c r="BL83" s="109">
        <v>0</v>
      </c>
      <c r="BM83" s="109">
        <v>233456.89</v>
      </c>
      <c r="BN83" s="109">
        <v>135312.65</v>
      </c>
      <c r="BO83" s="109">
        <v>108638.1</v>
      </c>
      <c r="BP83" s="109">
        <v>57542.53</v>
      </c>
      <c r="BQ83" s="109">
        <v>0</v>
      </c>
      <c r="BR83" s="109">
        <v>0</v>
      </c>
      <c r="BS83" s="109">
        <v>24999.5</v>
      </c>
      <c r="BT83" s="109">
        <v>0</v>
      </c>
      <c r="BU83" s="109">
        <v>0</v>
      </c>
      <c r="BV83" s="109">
        <v>0</v>
      </c>
      <c r="BW83" s="109">
        <v>0</v>
      </c>
      <c r="BX83" s="109">
        <v>24999.5</v>
      </c>
      <c r="BY83" s="109">
        <v>1</v>
      </c>
      <c r="BZ83" s="109">
        <v>0</v>
      </c>
      <c r="CA83" s="658">
        <v>0</v>
      </c>
      <c r="CB83" s="659"/>
      <c r="CC83" s="109">
        <v>0</v>
      </c>
      <c r="CD83" s="109">
        <v>24999.5</v>
      </c>
      <c r="CE83" s="109">
        <v>57754</v>
      </c>
      <c r="CF83" s="109">
        <v>769563</v>
      </c>
      <c r="CG83" s="109">
        <v>0</v>
      </c>
      <c r="CH83" s="109">
        <v>0</v>
      </c>
      <c r="CI83" s="109">
        <v>-4590</v>
      </c>
      <c r="CJ83" s="110">
        <v>0</v>
      </c>
      <c r="CK83" s="111">
        <f t="shared" si="2"/>
        <v>822727</v>
      </c>
      <c r="CL83" s="111">
        <f t="shared" si="3"/>
        <v>0</v>
      </c>
    </row>
    <row r="84" spans="1:90" ht="26.4">
      <c r="A84" s="109">
        <v>302</v>
      </c>
      <c r="B84" s="109">
        <v>5407</v>
      </c>
      <c r="C84" s="109" t="s">
        <v>625</v>
      </c>
      <c r="D84" s="109" t="s">
        <v>594</v>
      </c>
      <c r="E84" s="109"/>
      <c r="F84" s="109" t="s">
        <v>588</v>
      </c>
      <c r="G84" s="109">
        <v>0</v>
      </c>
      <c r="H84" s="109">
        <v>0</v>
      </c>
      <c r="I84" s="109" t="s">
        <v>589</v>
      </c>
      <c r="J84" s="109" t="s">
        <v>590</v>
      </c>
      <c r="K84" s="109" t="s">
        <v>591</v>
      </c>
      <c r="L84" s="109" t="s">
        <v>592</v>
      </c>
      <c r="M84" s="109" t="s">
        <v>591</v>
      </c>
      <c r="N84" s="109" t="s">
        <v>593</v>
      </c>
      <c r="O84" s="109" t="s">
        <v>188</v>
      </c>
      <c r="P84" s="109" t="s">
        <v>188</v>
      </c>
      <c r="Q84" s="109">
        <v>46808.56</v>
      </c>
      <c r="R84" s="109">
        <v>0</v>
      </c>
      <c r="S84" s="109">
        <v>0</v>
      </c>
      <c r="T84" s="109">
        <v>6619110.5899999999</v>
      </c>
      <c r="U84" s="109">
        <v>1064718.01</v>
      </c>
      <c r="V84" s="109">
        <v>418982.69</v>
      </c>
      <c r="W84" s="109">
        <v>0</v>
      </c>
      <c r="X84" s="109">
        <v>294455.03000000003</v>
      </c>
      <c r="Y84" s="109">
        <v>0</v>
      </c>
      <c r="Z84" s="109">
        <v>0</v>
      </c>
      <c r="AA84" s="109">
        <v>102.48</v>
      </c>
      <c r="AB84" s="109">
        <v>0</v>
      </c>
      <c r="AC84" s="109">
        <v>0</v>
      </c>
      <c r="AD84" s="109">
        <v>0</v>
      </c>
      <c r="AE84" s="109">
        <v>0</v>
      </c>
      <c r="AF84" s="109">
        <v>86355.32</v>
      </c>
      <c r="AG84" s="109">
        <v>40216.79</v>
      </c>
      <c r="AH84" s="109">
        <v>0</v>
      </c>
      <c r="AI84" s="109">
        <v>0</v>
      </c>
      <c r="AJ84" s="109">
        <v>0</v>
      </c>
      <c r="AK84" s="109">
        <v>18316.560000000001</v>
      </c>
      <c r="AL84" s="109">
        <v>0</v>
      </c>
      <c r="AM84" s="109">
        <v>34030</v>
      </c>
      <c r="AN84" s="109">
        <v>101669.37</v>
      </c>
      <c r="AO84" s="109">
        <v>4905763.1399999997</v>
      </c>
      <c r="AP84" s="109">
        <v>0</v>
      </c>
      <c r="AQ84" s="109">
        <v>892312.79</v>
      </c>
      <c r="AR84" s="109">
        <v>131734.26</v>
      </c>
      <c r="AS84" s="109">
        <v>455088.74</v>
      </c>
      <c r="AT84" s="109">
        <v>0</v>
      </c>
      <c r="AU84" s="109">
        <v>52182.28</v>
      </c>
      <c r="AV84" s="109">
        <v>141515.66</v>
      </c>
      <c r="AW84" s="109">
        <v>17491.900000000001</v>
      </c>
      <c r="AX84" s="109">
        <v>1553.18</v>
      </c>
      <c r="AY84" s="109">
        <v>4881.6400000000003</v>
      </c>
      <c r="AZ84" s="109">
        <v>130112.22</v>
      </c>
      <c r="BA84" s="109">
        <v>6489.45</v>
      </c>
      <c r="BB84" s="109">
        <v>154909.64000000001</v>
      </c>
      <c r="BC84" s="109">
        <v>3969.21</v>
      </c>
      <c r="BD84" s="109">
        <v>219299.02</v>
      </c>
      <c r="BE84" s="109">
        <v>36442</v>
      </c>
      <c r="BF84" s="109">
        <v>44743.03</v>
      </c>
      <c r="BG84" s="109">
        <v>211913.65</v>
      </c>
      <c r="BH84" s="109">
        <v>95702.77</v>
      </c>
      <c r="BI84" s="109">
        <v>103150.73</v>
      </c>
      <c r="BJ84" s="109">
        <v>105292.06</v>
      </c>
      <c r="BK84" s="109">
        <v>45458.11</v>
      </c>
      <c r="BL84" s="109">
        <v>0</v>
      </c>
      <c r="BM84" s="109">
        <v>115960.58</v>
      </c>
      <c r="BN84" s="109">
        <v>83485.83</v>
      </c>
      <c r="BO84" s="109">
        <v>377275.35</v>
      </c>
      <c r="BP84" s="109">
        <v>106141.94</v>
      </c>
      <c r="BQ84" s="109">
        <v>0</v>
      </c>
      <c r="BR84" s="109">
        <v>0</v>
      </c>
      <c r="BS84" s="109">
        <v>6800</v>
      </c>
      <c r="BT84" s="109">
        <v>0</v>
      </c>
      <c r="BU84" s="109">
        <v>0</v>
      </c>
      <c r="BV84" s="109">
        <v>6800</v>
      </c>
      <c r="BW84" s="109">
        <v>0</v>
      </c>
      <c r="BX84" s="109">
        <v>0</v>
      </c>
      <c r="BY84" s="109">
        <v>1</v>
      </c>
      <c r="BZ84" s="109">
        <v>0</v>
      </c>
      <c r="CA84" s="658">
        <v>0</v>
      </c>
      <c r="CB84" s="659"/>
      <c r="CC84" s="109">
        <v>0</v>
      </c>
      <c r="CD84" s="109">
        <v>6799.6</v>
      </c>
      <c r="CE84" s="109">
        <v>0</v>
      </c>
      <c r="CF84" s="109">
        <v>275097</v>
      </c>
      <c r="CG84" s="109">
        <v>0</v>
      </c>
      <c r="CH84" s="109">
        <v>0</v>
      </c>
      <c r="CI84" s="109">
        <v>0</v>
      </c>
      <c r="CJ84" s="110">
        <v>0</v>
      </c>
      <c r="CK84" s="111">
        <f t="shared" si="2"/>
        <v>275097</v>
      </c>
      <c r="CL84" s="111">
        <f t="shared" si="3"/>
        <v>0</v>
      </c>
    </row>
    <row r="85" spans="1:90">
      <c r="A85" s="109">
        <v>302</v>
      </c>
      <c r="B85" s="109">
        <v>5427</v>
      </c>
      <c r="C85" s="109" t="s">
        <v>129</v>
      </c>
      <c r="D85" s="109" t="s">
        <v>594</v>
      </c>
      <c r="E85" s="109"/>
      <c r="F85" s="109" t="s">
        <v>588</v>
      </c>
      <c r="G85" s="109">
        <v>0</v>
      </c>
      <c r="H85" s="109">
        <v>2</v>
      </c>
      <c r="I85" s="109" t="s">
        <v>589</v>
      </c>
      <c r="J85" s="109" t="s">
        <v>590</v>
      </c>
      <c r="K85" s="109" t="s">
        <v>591</v>
      </c>
      <c r="L85" s="109" t="s">
        <v>592</v>
      </c>
      <c r="M85" s="109" t="s">
        <v>591</v>
      </c>
      <c r="N85" s="109" t="s">
        <v>593</v>
      </c>
      <c r="O85" s="109" t="s">
        <v>188</v>
      </c>
      <c r="P85" s="109" t="s">
        <v>188</v>
      </c>
      <c r="Q85" s="109">
        <v>91021.7</v>
      </c>
      <c r="R85" s="109">
        <v>0</v>
      </c>
      <c r="S85" s="109">
        <v>0</v>
      </c>
      <c r="T85" s="109">
        <v>6989165.4199999999</v>
      </c>
      <c r="U85" s="109">
        <v>1577555</v>
      </c>
      <c r="V85" s="109">
        <v>1439453.48</v>
      </c>
      <c r="W85" s="109">
        <v>0</v>
      </c>
      <c r="X85" s="109">
        <v>65524.85</v>
      </c>
      <c r="Y85" s="109">
        <v>369189.62</v>
      </c>
      <c r="Z85" s="109">
        <v>0</v>
      </c>
      <c r="AA85" s="109">
        <v>12610</v>
      </c>
      <c r="AB85" s="109">
        <v>0</v>
      </c>
      <c r="AC85" s="109">
        <v>77000</v>
      </c>
      <c r="AD85" s="109">
        <v>9022</v>
      </c>
      <c r="AE85" s="109">
        <v>0</v>
      </c>
      <c r="AF85" s="109">
        <v>1093919.74</v>
      </c>
      <c r="AG85" s="109">
        <v>1713630</v>
      </c>
      <c r="AH85" s="109">
        <v>0</v>
      </c>
      <c r="AI85" s="109">
        <v>0</v>
      </c>
      <c r="AJ85" s="109">
        <v>0</v>
      </c>
      <c r="AK85" s="109">
        <v>0</v>
      </c>
      <c r="AL85" s="109">
        <v>0</v>
      </c>
      <c r="AM85" s="109">
        <v>0</v>
      </c>
      <c r="AN85" s="109">
        <v>112455</v>
      </c>
      <c r="AO85" s="109">
        <v>6925790</v>
      </c>
      <c r="AP85" s="109">
        <v>86765.45</v>
      </c>
      <c r="AQ85" s="109">
        <v>1816863.61</v>
      </c>
      <c r="AR85" s="109">
        <v>159251</v>
      </c>
      <c r="AS85" s="109">
        <v>843911</v>
      </c>
      <c r="AT85" s="109">
        <v>0</v>
      </c>
      <c r="AU85" s="109">
        <v>87893</v>
      </c>
      <c r="AV85" s="109">
        <v>131976</v>
      </c>
      <c r="AW85" s="109">
        <v>27147</v>
      </c>
      <c r="AX85" s="109">
        <v>48620.67</v>
      </c>
      <c r="AY85" s="109">
        <v>0</v>
      </c>
      <c r="AZ85" s="109">
        <v>237923.13</v>
      </c>
      <c r="BA85" s="109">
        <v>25445.13</v>
      </c>
      <c r="BB85" s="109">
        <v>161532</v>
      </c>
      <c r="BC85" s="109">
        <v>25295.68</v>
      </c>
      <c r="BD85" s="109">
        <v>206478</v>
      </c>
      <c r="BE85" s="109">
        <v>60523.79</v>
      </c>
      <c r="BF85" s="109">
        <v>347156.66</v>
      </c>
      <c r="BG85" s="109">
        <v>368709</v>
      </c>
      <c r="BH85" s="109">
        <v>160751.24</v>
      </c>
      <c r="BI85" s="109">
        <v>122268</v>
      </c>
      <c r="BJ85" s="109">
        <v>37637</v>
      </c>
      <c r="BK85" s="109">
        <v>80258.92</v>
      </c>
      <c r="BL85" s="109">
        <v>0</v>
      </c>
      <c r="BM85" s="109">
        <v>46570.86</v>
      </c>
      <c r="BN85" s="109">
        <v>132995.93</v>
      </c>
      <c r="BO85" s="109">
        <v>615821.84</v>
      </c>
      <c r="BP85" s="109">
        <v>766955.01</v>
      </c>
      <c r="BQ85" s="109">
        <v>0</v>
      </c>
      <c r="BR85" s="109">
        <v>0</v>
      </c>
      <c r="BS85" s="109">
        <v>0</v>
      </c>
      <c r="BT85" s="109">
        <v>0</v>
      </c>
      <c r="BU85" s="109">
        <v>0</v>
      </c>
      <c r="BV85" s="109">
        <v>0</v>
      </c>
      <c r="BW85" s="109">
        <v>0</v>
      </c>
      <c r="BX85" s="109">
        <v>0</v>
      </c>
      <c r="BY85" s="109">
        <v>1</v>
      </c>
      <c r="BZ85" s="109">
        <v>0</v>
      </c>
      <c r="CA85" s="658">
        <v>0</v>
      </c>
      <c r="CB85" s="659"/>
      <c r="CC85" s="109">
        <v>0</v>
      </c>
      <c r="CD85" s="109">
        <v>0</v>
      </c>
      <c r="CE85" s="109">
        <v>26007</v>
      </c>
      <c r="CF85" s="109">
        <v>0</v>
      </c>
      <c r="CG85" s="109">
        <v>0</v>
      </c>
      <c r="CH85" s="109">
        <v>0</v>
      </c>
      <c r="CI85" s="109">
        <v>0</v>
      </c>
      <c r="CJ85" s="110">
        <v>0</v>
      </c>
      <c r="CK85" s="111">
        <f t="shared" si="2"/>
        <v>26007</v>
      </c>
      <c r="CL85" s="111">
        <f t="shared" si="3"/>
        <v>0</v>
      </c>
    </row>
    <row r="86" spans="1:90" ht="26.4">
      <c r="A86" s="109">
        <v>302</v>
      </c>
      <c r="B86" s="109">
        <v>5948</v>
      </c>
      <c r="C86" s="109" t="s">
        <v>626</v>
      </c>
      <c r="D86" s="109" t="s">
        <v>594</v>
      </c>
      <c r="E86" s="109"/>
      <c r="F86" s="109" t="s">
        <v>588</v>
      </c>
      <c r="G86" s="109">
        <v>0</v>
      </c>
      <c r="H86" s="109">
        <v>2</v>
      </c>
      <c r="I86" s="109" t="s">
        <v>589</v>
      </c>
      <c r="J86" s="109" t="s">
        <v>590</v>
      </c>
      <c r="K86" s="109" t="s">
        <v>591</v>
      </c>
      <c r="L86" s="109" t="s">
        <v>592</v>
      </c>
      <c r="M86" s="109" t="s">
        <v>591</v>
      </c>
      <c r="N86" s="109" t="s">
        <v>593</v>
      </c>
      <c r="O86" s="109" t="s">
        <v>188</v>
      </c>
      <c r="P86" s="109" t="s">
        <v>188</v>
      </c>
      <c r="Q86" s="109">
        <v>-122668</v>
      </c>
      <c r="R86" s="109">
        <v>0</v>
      </c>
      <c r="S86" s="109">
        <v>0</v>
      </c>
      <c r="T86" s="109">
        <v>1016824.76</v>
      </c>
      <c r="U86" s="109">
        <v>0</v>
      </c>
      <c r="V86" s="109">
        <v>17233.43</v>
      </c>
      <c r="W86" s="109">
        <v>0</v>
      </c>
      <c r="X86" s="109">
        <v>8070.03</v>
      </c>
      <c r="Y86" s="109">
        <v>58100.3</v>
      </c>
      <c r="Z86" s="109">
        <v>0</v>
      </c>
      <c r="AA86" s="109">
        <v>1261.5</v>
      </c>
      <c r="AB86" s="109">
        <v>93934</v>
      </c>
      <c r="AC86" s="109">
        <v>3545.06</v>
      </c>
      <c r="AD86" s="109">
        <v>1645.5</v>
      </c>
      <c r="AE86" s="109">
        <v>0</v>
      </c>
      <c r="AF86" s="109">
        <v>22780.73</v>
      </c>
      <c r="AG86" s="109">
        <v>307812.56</v>
      </c>
      <c r="AH86" s="109">
        <v>0</v>
      </c>
      <c r="AI86" s="109">
        <v>0</v>
      </c>
      <c r="AJ86" s="109">
        <v>0</v>
      </c>
      <c r="AK86" s="109">
        <v>0</v>
      </c>
      <c r="AL86" s="109">
        <v>0</v>
      </c>
      <c r="AM86" s="109">
        <v>0</v>
      </c>
      <c r="AN86" s="109">
        <v>63416</v>
      </c>
      <c r="AO86" s="109">
        <v>748904.87</v>
      </c>
      <c r="AP86" s="109">
        <v>0</v>
      </c>
      <c r="AQ86" s="109">
        <v>257562.38</v>
      </c>
      <c r="AR86" s="109">
        <v>-290</v>
      </c>
      <c r="AS86" s="109">
        <v>73825.119999999995</v>
      </c>
      <c r="AT86" s="109">
        <v>0</v>
      </c>
      <c r="AU86" s="109">
        <v>10915.95</v>
      </c>
      <c r="AV86" s="109">
        <v>35521.46</v>
      </c>
      <c r="AW86" s="109">
        <v>15317.47</v>
      </c>
      <c r="AX86" s="109">
        <v>342.76</v>
      </c>
      <c r="AY86" s="109">
        <v>8885.4</v>
      </c>
      <c r="AZ86" s="109">
        <v>16804.5</v>
      </c>
      <c r="BA86" s="109">
        <v>2062.5100000000002</v>
      </c>
      <c r="BB86" s="109">
        <v>53921.74</v>
      </c>
      <c r="BC86" s="109">
        <v>9757.82</v>
      </c>
      <c r="BD86" s="109">
        <v>18249.009999999998</v>
      </c>
      <c r="BE86" s="109">
        <v>14470.4</v>
      </c>
      <c r="BF86" s="109">
        <v>85137.41</v>
      </c>
      <c r="BG86" s="109">
        <v>58921.79</v>
      </c>
      <c r="BH86" s="109">
        <v>11847.74</v>
      </c>
      <c r="BI86" s="109">
        <v>0</v>
      </c>
      <c r="BJ86" s="109">
        <v>17674.759999999998</v>
      </c>
      <c r="BK86" s="109">
        <v>6166.83</v>
      </c>
      <c r="BL86" s="109">
        <v>13495.02</v>
      </c>
      <c r="BM86" s="109">
        <v>54297.279999999999</v>
      </c>
      <c r="BN86" s="109">
        <v>0</v>
      </c>
      <c r="BO86" s="109">
        <v>7016.6</v>
      </c>
      <c r="BP86" s="109">
        <v>42732.08</v>
      </c>
      <c r="BQ86" s="109">
        <v>0</v>
      </c>
      <c r="BR86" s="109">
        <v>0</v>
      </c>
      <c r="BS86" s="109">
        <v>1050</v>
      </c>
      <c r="BT86" s="109">
        <v>0</v>
      </c>
      <c r="BU86" s="109">
        <v>0</v>
      </c>
      <c r="BV86" s="109">
        <v>0</v>
      </c>
      <c r="BW86" s="109">
        <v>0</v>
      </c>
      <c r="BX86" s="109">
        <v>0</v>
      </c>
      <c r="BY86" s="109">
        <v>1</v>
      </c>
      <c r="BZ86" s="109">
        <v>0</v>
      </c>
      <c r="CA86" s="658">
        <v>0</v>
      </c>
      <c r="CB86" s="659"/>
      <c r="CC86" s="109">
        <v>0</v>
      </c>
      <c r="CD86" s="109">
        <v>0</v>
      </c>
      <c r="CE86" s="109">
        <v>0</v>
      </c>
      <c r="CF86" s="109">
        <v>-92635</v>
      </c>
      <c r="CG86" s="109">
        <v>0</v>
      </c>
      <c r="CH86" s="109">
        <v>0</v>
      </c>
      <c r="CI86" s="109">
        <v>0</v>
      </c>
      <c r="CJ86" s="110">
        <v>0</v>
      </c>
      <c r="CK86" s="111">
        <f t="shared" si="2"/>
        <v>-92635</v>
      </c>
      <c r="CL86" s="111">
        <f t="shared" si="3"/>
        <v>0</v>
      </c>
    </row>
    <row r="87" spans="1:90" ht="26.4">
      <c r="A87" s="109">
        <v>302</v>
      </c>
      <c r="B87" s="109">
        <v>5949</v>
      </c>
      <c r="C87" s="109" t="s">
        <v>627</v>
      </c>
      <c r="D87" s="109" t="s">
        <v>594</v>
      </c>
      <c r="E87" s="109"/>
      <c r="F87" s="109" t="s">
        <v>588</v>
      </c>
      <c r="G87" s="109">
        <v>0</v>
      </c>
      <c r="H87" s="109">
        <v>1</v>
      </c>
      <c r="I87" s="109" t="s">
        <v>589</v>
      </c>
      <c r="J87" s="109" t="s">
        <v>590</v>
      </c>
      <c r="K87" s="109" t="s">
        <v>591</v>
      </c>
      <c r="L87" s="109" t="s">
        <v>592</v>
      </c>
      <c r="M87" s="109" t="s">
        <v>591</v>
      </c>
      <c r="N87" s="109" t="s">
        <v>593</v>
      </c>
      <c r="O87" s="109" t="s">
        <v>188</v>
      </c>
      <c r="P87" s="109" t="s">
        <v>188</v>
      </c>
      <c r="Q87" s="109">
        <v>8974.5400000000009</v>
      </c>
      <c r="R87" s="109">
        <v>0</v>
      </c>
      <c r="S87" s="109">
        <v>0</v>
      </c>
      <c r="T87" s="109">
        <v>1829154.83</v>
      </c>
      <c r="U87" s="109">
        <v>0</v>
      </c>
      <c r="V87" s="109">
        <v>33352.1</v>
      </c>
      <c r="W87" s="109">
        <v>0</v>
      </c>
      <c r="X87" s="109">
        <v>17485.05</v>
      </c>
      <c r="Y87" s="109">
        <v>0</v>
      </c>
      <c r="Z87" s="109">
        <v>3627.41</v>
      </c>
      <c r="AA87" s="109">
        <v>0</v>
      </c>
      <c r="AB87" s="109">
        <v>3652.17</v>
      </c>
      <c r="AC87" s="109">
        <v>24595.39</v>
      </c>
      <c r="AD87" s="109">
        <v>0</v>
      </c>
      <c r="AE87" s="109">
        <v>0</v>
      </c>
      <c r="AF87" s="109">
        <v>9494.66</v>
      </c>
      <c r="AG87" s="109">
        <v>1275434.78</v>
      </c>
      <c r="AH87" s="109">
        <v>0</v>
      </c>
      <c r="AI87" s="109">
        <v>0</v>
      </c>
      <c r="AJ87" s="109">
        <v>0</v>
      </c>
      <c r="AK87" s="109">
        <v>3168.72</v>
      </c>
      <c r="AL87" s="109">
        <v>0</v>
      </c>
      <c r="AM87" s="109">
        <v>18413.2</v>
      </c>
      <c r="AN87" s="109">
        <v>86195.83</v>
      </c>
      <c r="AO87" s="109">
        <v>1138461.1399999999</v>
      </c>
      <c r="AP87" s="109">
        <v>0</v>
      </c>
      <c r="AQ87" s="109">
        <v>1250857.3600000001</v>
      </c>
      <c r="AR87" s="109">
        <v>53621.45</v>
      </c>
      <c r="AS87" s="109">
        <v>108277</v>
      </c>
      <c r="AT87" s="109">
        <v>0</v>
      </c>
      <c r="AU87" s="109">
        <v>32576.67</v>
      </c>
      <c r="AV87" s="109">
        <v>8063.83</v>
      </c>
      <c r="AW87" s="109">
        <v>21027.56</v>
      </c>
      <c r="AX87" s="109">
        <v>621.55999999999995</v>
      </c>
      <c r="AY87" s="109">
        <v>0</v>
      </c>
      <c r="AZ87" s="109">
        <v>26169.599999999999</v>
      </c>
      <c r="BA87" s="109">
        <v>0</v>
      </c>
      <c r="BB87" s="109">
        <v>70084.509999999995</v>
      </c>
      <c r="BC87" s="109">
        <v>2815.18</v>
      </c>
      <c r="BD87" s="109">
        <v>33744.22</v>
      </c>
      <c r="BE87" s="109">
        <v>32718</v>
      </c>
      <c r="BF87" s="109">
        <v>16715.36</v>
      </c>
      <c r="BG87" s="109">
        <v>98007.21</v>
      </c>
      <c r="BH87" s="109">
        <v>13044.58</v>
      </c>
      <c r="BI87" s="109">
        <v>0</v>
      </c>
      <c r="BJ87" s="109">
        <v>11231.75</v>
      </c>
      <c r="BK87" s="109">
        <v>25429.93</v>
      </c>
      <c r="BL87" s="109">
        <v>828.74</v>
      </c>
      <c r="BM87" s="109">
        <v>95393.1</v>
      </c>
      <c r="BN87" s="109">
        <v>97029.96</v>
      </c>
      <c r="BO87" s="109">
        <v>47282.17</v>
      </c>
      <c r="BP87" s="109">
        <v>131715.22</v>
      </c>
      <c r="BQ87" s="109">
        <v>0</v>
      </c>
      <c r="BR87" s="109">
        <v>0</v>
      </c>
      <c r="BS87" s="109">
        <v>0</v>
      </c>
      <c r="BT87" s="109">
        <v>0</v>
      </c>
      <c r="BU87" s="109">
        <v>0</v>
      </c>
      <c r="BV87" s="109">
        <v>0</v>
      </c>
      <c r="BW87" s="109">
        <v>0</v>
      </c>
      <c r="BX87" s="109">
        <v>0</v>
      </c>
      <c r="BY87" s="109">
        <v>1</v>
      </c>
      <c r="BZ87" s="109">
        <v>0</v>
      </c>
      <c r="CA87" s="658">
        <v>0</v>
      </c>
      <c r="CB87" s="659"/>
      <c r="CC87" s="109">
        <v>0</v>
      </c>
      <c r="CD87" s="109">
        <v>0</v>
      </c>
      <c r="CE87" s="109">
        <v>0</v>
      </c>
      <c r="CF87" s="109">
        <v>-2167</v>
      </c>
      <c r="CG87" s="109">
        <v>0</v>
      </c>
      <c r="CH87" s="109">
        <v>0</v>
      </c>
      <c r="CI87" s="109">
        <v>0</v>
      </c>
      <c r="CJ87" s="110">
        <v>0</v>
      </c>
      <c r="CK87" s="111">
        <f t="shared" si="2"/>
        <v>-2167</v>
      </c>
      <c r="CL87" s="111">
        <f t="shared" si="3"/>
        <v>0</v>
      </c>
    </row>
    <row r="88" spans="1:90" ht="26.4">
      <c r="A88" s="109">
        <v>302</v>
      </c>
      <c r="B88" s="109">
        <v>7005</v>
      </c>
      <c r="C88" s="109" t="s">
        <v>125</v>
      </c>
      <c r="D88" s="109" t="s">
        <v>594</v>
      </c>
      <c r="E88" s="109"/>
      <c r="F88" s="109" t="s">
        <v>588</v>
      </c>
      <c r="G88" s="109">
        <v>0</v>
      </c>
      <c r="H88" s="109">
        <v>0</v>
      </c>
      <c r="I88" s="109" t="s">
        <v>589</v>
      </c>
      <c r="J88" s="109" t="s">
        <v>590</v>
      </c>
      <c r="K88" s="109" t="s">
        <v>591</v>
      </c>
      <c r="L88" s="109" t="s">
        <v>592</v>
      </c>
      <c r="M88" s="109" t="s">
        <v>591</v>
      </c>
      <c r="N88" s="109" t="s">
        <v>593</v>
      </c>
      <c r="O88" s="109" t="s">
        <v>188</v>
      </c>
      <c r="P88" s="109" t="s">
        <v>188</v>
      </c>
      <c r="Q88" s="109">
        <v>621887.64</v>
      </c>
      <c r="R88" s="109">
        <v>0</v>
      </c>
      <c r="S88" s="109">
        <v>15658.25</v>
      </c>
      <c r="T88" s="109">
        <v>1331851.3700000001</v>
      </c>
      <c r="U88" s="109">
        <v>0</v>
      </c>
      <c r="V88" s="109">
        <v>1614472.62</v>
      </c>
      <c r="W88" s="109">
        <v>0</v>
      </c>
      <c r="X88" s="109">
        <v>61869.96</v>
      </c>
      <c r="Y88" s="109">
        <v>0</v>
      </c>
      <c r="Z88" s="109">
        <v>7177.34</v>
      </c>
      <c r="AA88" s="109">
        <v>21512.5</v>
      </c>
      <c r="AB88" s="109">
        <v>14315</v>
      </c>
      <c r="AC88" s="109">
        <v>8655.24</v>
      </c>
      <c r="AD88" s="109">
        <v>8280</v>
      </c>
      <c r="AE88" s="109">
        <v>2527.1999999999998</v>
      </c>
      <c r="AF88" s="109">
        <v>300</v>
      </c>
      <c r="AG88" s="109">
        <v>792.07</v>
      </c>
      <c r="AH88" s="109">
        <v>0</v>
      </c>
      <c r="AI88" s="109">
        <v>0</v>
      </c>
      <c r="AJ88" s="109">
        <v>0</v>
      </c>
      <c r="AK88" s="109">
        <v>0</v>
      </c>
      <c r="AL88" s="109">
        <v>0</v>
      </c>
      <c r="AM88" s="109">
        <v>19069.82</v>
      </c>
      <c r="AN88" s="109">
        <v>26776.5</v>
      </c>
      <c r="AO88" s="109">
        <v>1115721.1200000001</v>
      </c>
      <c r="AP88" s="109">
        <v>0</v>
      </c>
      <c r="AQ88" s="109">
        <v>1041670.17</v>
      </c>
      <c r="AR88" s="109">
        <v>26948.2</v>
      </c>
      <c r="AS88" s="109">
        <v>148097.59</v>
      </c>
      <c r="AT88" s="109">
        <v>0</v>
      </c>
      <c r="AU88" s="109">
        <v>28747.919999999998</v>
      </c>
      <c r="AV88" s="109">
        <v>17396.55</v>
      </c>
      <c r="AW88" s="109">
        <v>22111.58</v>
      </c>
      <c r="AX88" s="109">
        <v>20954.2</v>
      </c>
      <c r="AY88" s="109">
        <v>0</v>
      </c>
      <c r="AZ88" s="109">
        <v>135505.62</v>
      </c>
      <c r="BA88" s="109">
        <v>4640.55</v>
      </c>
      <c r="BB88" s="109">
        <v>31273.72</v>
      </c>
      <c r="BC88" s="109">
        <v>18.350000000000001</v>
      </c>
      <c r="BD88" s="109">
        <v>52745.75</v>
      </c>
      <c r="BE88" s="109">
        <v>0</v>
      </c>
      <c r="BF88" s="109">
        <v>8866.9</v>
      </c>
      <c r="BG88" s="109">
        <v>55786.04</v>
      </c>
      <c r="BH88" s="109">
        <v>20548.09</v>
      </c>
      <c r="BI88" s="109">
        <v>0</v>
      </c>
      <c r="BJ88" s="109">
        <v>11194.71</v>
      </c>
      <c r="BK88" s="109">
        <v>4814.2</v>
      </c>
      <c r="BL88" s="109">
        <v>675.35</v>
      </c>
      <c r="BM88" s="109">
        <v>42170.42</v>
      </c>
      <c r="BN88" s="109">
        <v>20912.2</v>
      </c>
      <c r="BO88" s="109">
        <v>370765.09</v>
      </c>
      <c r="BP88" s="109">
        <v>42725.17</v>
      </c>
      <c r="BQ88" s="109">
        <v>0</v>
      </c>
      <c r="BR88" s="109">
        <v>0</v>
      </c>
      <c r="BS88" s="109">
        <v>18673.43</v>
      </c>
      <c r="BT88" s="109">
        <v>0</v>
      </c>
      <c r="BU88" s="109">
        <v>0</v>
      </c>
      <c r="BV88" s="109">
        <v>9670</v>
      </c>
      <c r="BW88" s="109">
        <v>0</v>
      </c>
      <c r="BX88" s="109">
        <v>18673</v>
      </c>
      <c r="BY88" s="109">
        <v>1</v>
      </c>
      <c r="BZ88" s="109">
        <v>0</v>
      </c>
      <c r="CA88" s="658">
        <v>0</v>
      </c>
      <c r="CB88" s="659"/>
      <c r="CC88" s="109">
        <v>44001.43</v>
      </c>
      <c r="CD88" s="109">
        <v>0</v>
      </c>
      <c r="CE88" s="109">
        <v>9600</v>
      </c>
      <c r="CF88" s="109">
        <v>486924</v>
      </c>
      <c r="CG88" s="109">
        <v>0</v>
      </c>
      <c r="CH88" s="109">
        <v>0</v>
      </c>
      <c r="CI88" s="109">
        <v>0</v>
      </c>
      <c r="CJ88" s="110">
        <v>0</v>
      </c>
      <c r="CK88" s="111">
        <f t="shared" si="2"/>
        <v>496524</v>
      </c>
      <c r="CL88" s="111">
        <f t="shared" si="3"/>
        <v>0</v>
      </c>
    </row>
    <row r="89" spans="1:90" ht="26.4">
      <c r="A89" s="109">
        <v>302</v>
      </c>
      <c r="B89" s="109">
        <v>7009</v>
      </c>
      <c r="C89" s="109" t="s">
        <v>127</v>
      </c>
      <c r="D89" s="109" t="s">
        <v>594</v>
      </c>
      <c r="E89" s="109"/>
      <c r="F89" s="109" t="s">
        <v>588</v>
      </c>
      <c r="G89" s="109">
        <v>0</v>
      </c>
      <c r="H89" s="109">
        <v>0</v>
      </c>
      <c r="I89" s="109" t="s">
        <v>589</v>
      </c>
      <c r="J89" s="109" t="s">
        <v>590</v>
      </c>
      <c r="K89" s="109" t="s">
        <v>591</v>
      </c>
      <c r="L89" s="109" t="s">
        <v>592</v>
      </c>
      <c r="M89" s="109" t="s">
        <v>591</v>
      </c>
      <c r="N89" s="109" t="s">
        <v>593</v>
      </c>
      <c r="O89" s="109" t="s">
        <v>188</v>
      </c>
      <c r="P89" s="109" t="s">
        <v>188</v>
      </c>
      <c r="Q89" s="109">
        <v>342372.74</v>
      </c>
      <c r="R89" s="109">
        <v>0</v>
      </c>
      <c r="S89" s="109">
        <v>7834</v>
      </c>
      <c r="T89" s="109">
        <v>1912195.32</v>
      </c>
      <c r="U89" s="109">
        <v>0</v>
      </c>
      <c r="V89" s="109">
        <v>2053119.84</v>
      </c>
      <c r="W89" s="109">
        <v>0</v>
      </c>
      <c r="X89" s="109">
        <v>59480.04</v>
      </c>
      <c r="Y89" s="109">
        <v>0</v>
      </c>
      <c r="Z89" s="109">
        <v>706604.66</v>
      </c>
      <c r="AA89" s="109">
        <v>3291.15</v>
      </c>
      <c r="AB89" s="109">
        <v>19081.14</v>
      </c>
      <c r="AC89" s="109">
        <v>5356.38</v>
      </c>
      <c r="AD89" s="109">
        <v>0</v>
      </c>
      <c r="AE89" s="109">
        <v>0</v>
      </c>
      <c r="AF89" s="109">
        <v>4043.37</v>
      </c>
      <c r="AG89" s="109">
        <v>2240.1799999999998</v>
      </c>
      <c r="AH89" s="109">
        <v>2496</v>
      </c>
      <c r="AI89" s="109">
        <v>0</v>
      </c>
      <c r="AJ89" s="109">
        <v>0</v>
      </c>
      <c r="AK89" s="109">
        <v>0</v>
      </c>
      <c r="AL89" s="109">
        <v>0</v>
      </c>
      <c r="AM89" s="109">
        <v>45247.47</v>
      </c>
      <c r="AN89" s="109">
        <v>20388.03</v>
      </c>
      <c r="AO89" s="109">
        <v>1842998.93</v>
      </c>
      <c r="AP89" s="109">
        <v>3766.23</v>
      </c>
      <c r="AQ89" s="109">
        <v>1766058.7</v>
      </c>
      <c r="AR89" s="109">
        <v>52881.919999999998</v>
      </c>
      <c r="AS89" s="109">
        <v>120773.11</v>
      </c>
      <c r="AT89" s="109">
        <v>0</v>
      </c>
      <c r="AU89" s="109">
        <v>103867.5</v>
      </c>
      <c r="AV89" s="109">
        <v>29754.62</v>
      </c>
      <c r="AW89" s="109">
        <v>28218.81</v>
      </c>
      <c r="AX89" s="109">
        <v>0</v>
      </c>
      <c r="AY89" s="109">
        <v>0</v>
      </c>
      <c r="AZ89" s="109">
        <v>64900.78</v>
      </c>
      <c r="BA89" s="109">
        <v>10560.2</v>
      </c>
      <c r="BB89" s="109">
        <v>33826.07</v>
      </c>
      <c r="BC89" s="109">
        <v>5050.71</v>
      </c>
      <c r="BD89" s="109">
        <v>39199.43</v>
      </c>
      <c r="BE89" s="109">
        <v>0</v>
      </c>
      <c r="BF89" s="109">
        <v>32876.92</v>
      </c>
      <c r="BG89" s="109">
        <v>119709.32</v>
      </c>
      <c r="BH89" s="109">
        <v>19168.080000000002</v>
      </c>
      <c r="BI89" s="109">
        <v>0</v>
      </c>
      <c r="BJ89" s="109">
        <v>19145.78</v>
      </c>
      <c r="BK89" s="109">
        <v>5321</v>
      </c>
      <c r="BL89" s="109">
        <v>49570.68</v>
      </c>
      <c r="BM89" s="109">
        <v>41365.519999999997</v>
      </c>
      <c r="BN89" s="109">
        <v>0</v>
      </c>
      <c r="BO89" s="109">
        <v>186668.5</v>
      </c>
      <c r="BP89" s="109">
        <v>55719.69</v>
      </c>
      <c r="BQ89" s="109">
        <v>0</v>
      </c>
      <c r="BR89" s="109">
        <v>0</v>
      </c>
      <c r="BS89" s="109">
        <v>0</v>
      </c>
      <c r="BT89" s="109">
        <v>0</v>
      </c>
      <c r="BU89" s="109">
        <v>0</v>
      </c>
      <c r="BV89" s="109">
        <v>10388.879999999999</v>
      </c>
      <c r="BW89" s="109">
        <v>0</v>
      </c>
      <c r="BX89" s="109">
        <v>0</v>
      </c>
      <c r="BY89" s="109">
        <v>1</v>
      </c>
      <c r="BZ89" s="109">
        <v>0</v>
      </c>
      <c r="CA89" s="658">
        <v>0</v>
      </c>
      <c r="CB89" s="659"/>
      <c r="CC89" s="109">
        <v>0</v>
      </c>
      <c r="CD89" s="109">
        <v>0</v>
      </c>
      <c r="CE89" s="109">
        <v>179194</v>
      </c>
      <c r="CF89" s="109">
        <v>365320</v>
      </c>
      <c r="CG89" s="109">
        <v>18223</v>
      </c>
      <c r="CH89" s="109">
        <v>0</v>
      </c>
      <c r="CI89" s="109">
        <v>0</v>
      </c>
      <c r="CJ89" s="110">
        <v>0</v>
      </c>
      <c r="CK89" s="111">
        <f t="shared" si="2"/>
        <v>544514</v>
      </c>
      <c r="CL89" s="111">
        <f t="shared" si="3"/>
        <v>18223</v>
      </c>
    </row>
    <row r="90" spans="1:90" ht="26.4">
      <c r="A90" s="109">
        <v>302</v>
      </c>
      <c r="B90" s="109">
        <v>7010</v>
      </c>
      <c r="C90" s="109" t="s">
        <v>124</v>
      </c>
      <c r="D90" s="109" t="s">
        <v>594</v>
      </c>
      <c r="E90" s="109"/>
      <c r="F90" s="109" t="s">
        <v>588</v>
      </c>
      <c r="G90" s="109">
        <v>0</v>
      </c>
      <c r="H90" s="109">
        <v>1</v>
      </c>
      <c r="I90" s="109" t="s">
        <v>589</v>
      </c>
      <c r="J90" s="109" t="s">
        <v>590</v>
      </c>
      <c r="K90" s="109" t="s">
        <v>591</v>
      </c>
      <c r="L90" s="109" t="s">
        <v>592</v>
      </c>
      <c r="M90" s="109" t="s">
        <v>591</v>
      </c>
      <c r="N90" s="109" t="s">
        <v>593</v>
      </c>
      <c r="O90" s="109" t="s">
        <v>188</v>
      </c>
      <c r="P90" s="109" t="s">
        <v>188</v>
      </c>
      <c r="Q90" s="109">
        <v>354817</v>
      </c>
      <c r="R90" s="109">
        <v>0</v>
      </c>
      <c r="S90" s="109">
        <v>68607</v>
      </c>
      <c r="T90" s="109">
        <v>770387.74</v>
      </c>
      <c r="U90" s="109">
        <v>300977.03999999998</v>
      </c>
      <c r="V90" s="109">
        <v>2463506.14</v>
      </c>
      <c r="W90" s="109">
        <v>0</v>
      </c>
      <c r="X90" s="109">
        <v>34144.980000000003</v>
      </c>
      <c r="Y90" s="109">
        <v>33250</v>
      </c>
      <c r="Z90" s="109">
        <v>21344.51</v>
      </c>
      <c r="AA90" s="109">
        <v>9820.4</v>
      </c>
      <c r="AB90" s="109">
        <v>550</v>
      </c>
      <c r="AC90" s="109">
        <v>8605.8700000000008</v>
      </c>
      <c r="AD90" s="109">
        <v>0</v>
      </c>
      <c r="AE90" s="109">
        <v>0</v>
      </c>
      <c r="AF90" s="109">
        <v>490</v>
      </c>
      <c r="AG90" s="109">
        <v>5590.43</v>
      </c>
      <c r="AH90" s="109">
        <v>0</v>
      </c>
      <c r="AI90" s="109">
        <v>0</v>
      </c>
      <c r="AJ90" s="109">
        <v>0</v>
      </c>
      <c r="AK90" s="109">
        <v>0</v>
      </c>
      <c r="AL90" s="109">
        <v>7800</v>
      </c>
      <c r="AM90" s="109">
        <v>20452.18</v>
      </c>
      <c r="AN90" s="109">
        <v>0</v>
      </c>
      <c r="AO90" s="109">
        <v>1226622.96</v>
      </c>
      <c r="AP90" s="109">
        <v>0</v>
      </c>
      <c r="AQ90" s="109">
        <v>1382662.3</v>
      </c>
      <c r="AR90" s="109">
        <v>114661.04</v>
      </c>
      <c r="AS90" s="109">
        <v>131045.19</v>
      </c>
      <c r="AT90" s="109">
        <v>0</v>
      </c>
      <c r="AU90" s="109">
        <v>63560.61</v>
      </c>
      <c r="AV90" s="109">
        <v>16989.25</v>
      </c>
      <c r="AW90" s="109">
        <v>13670.27</v>
      </c>
      <c r="AX90" s="109">
        <v>0</v>
      </c>
      <c r="AY90" s="109">
        <v>0</v>
      </c>
      <c r="AZ90" s="109">
        <v>65588.490000000005</v>
      </c>
      <c r="BA90" s="109">
        <v>16281.01</v>
      </c>
      <c r="BB90" s="109">
        <v>6287.89</v>
      </c>
      <c r="BC90" s="109">
        <v>4343.08</v>
      </c>
      <c r="BD90" s="109">
        <v>22319.07</v>
      </c>
      <c r="BE90" s="109">
        <v>0</v>
      </c>
      <c r="BF90" s="109">
        <v>17835.95</v>
      </c>
      <c r="BG90" s="109">
        <v>58303.23</v>
      </c>
      <c r="BH90" s="109">
        <v>31110.99</v>
      </c>
      <c r="BI90" s="109">
        <v>907.3</v>
      </c>
      <c r="BJ90" s="109">
        <v>8856.6299999999992</v>
      </c>
      <c r="BK90" s="109">
        <v>9821</v>
      </c>
      <c r="BL90" s="109">
        <v>41500</v>
      </c>
      <c r="BM90" s="109">
        <v>23046.05</v>
      </c>
      <c r="BN90" s="109">
        <v>0</v>
      </c>
      <c r="BO90" s="109">
        <v>134572.38</v>
      </c>
      <c r="BP90" s="109">
        <v>29939.97</v>
      </c>
      <c r="BQ90" s="109">
        <v>0</v>
      </c>
      <c r="BR90" s="109">
        <v>0</v>
      </c>
      <c r="BS90" s="109">
        <v>0</v>
      </c>
      <c r="BT90" s="109">
        <v>0</v>
      </c>
      <c r="BU90" s="109">
        <v>0</v>
      </c>
      <c r="BV90" s="109">
        <v>8303.1200000000008</v>
      </c>
      <c r="BW90" s="109">
        <v>59556</v>
      </c>
      <c r="BX90" s="109">
        <v>0</v>
      </c>
      <c r="BY90" s="109">
        <v>1</v>
      </c>
      <c r="BZ90" s="109">
        <v>0</v>
      </c>
      <c r="CA90" s="658">
        <v>-446</v>
      </c>
      <c r="CB90" s="659"/>
      <c r="CC90" s="109">
        <v>77503.62</v>
      </c>
      <c r="CD90" s="109">
        <v>46082.05</v>
      </c>
      <c r="CE90" s="109">
        <v>40607</v>
      </c>
      <c r="CF90" s="109">
        <v>571205</v>
      </c>
      <c r="CG90" s="109">
        <v>13326</v>
      </c>
      <c r="CH90" s="109">
        <v>0</v>
      </c>
      <c r="CI90" s="109">
        <v>0</v>
      </c>
      <c r="CJ90" s="110">
        <v>0</v>
      </c>
      <c r="CK90" s="111">
        <f t="shared" si="2"/>
        <v>611812</v>
      </c>
      <c r="CL90" s="111">
        <f t="shared" si="3"/>
        <v>13326</v>
      </c>
    </row>
    <row r="91" spans="1:90" ht="24" customHeight="1">
      <c r="Q91" s="113">
        <f>SUM(Q4:Q90)</f>
        <v>11560078.030000001</v>
      </c>
      <c r="R91" s="113">
        <f t="shared" ref="R91:S91" si="4">SUM(R4:R90)</f>
        <v>275567.68</v>
      </c>
      <c r="S91" s="113">
        <f t="shared" si="4"/>
        <v>746208.82999999984</v>
      </c>
      <c r="T91" s="113">
        <f>SUM(T4:T90)</f>
        <v>167801226.67000002</v>
      </c>
      <c r="U91" s="113">
        <f t="shared" ref="U91:BV91" si="5">SUM(U4:U90)</f>
        <v>6821241.0599999996</v>
      </c>
      <c r="V91" s="113">
        <f t="shared" si="5"/>
        <v>17132322.84</v>
      </c>
      <c r="W91" s="113">
        <f t="shared" si="5"/>
        <v>0</v>
      </c>
      <c r="X91" s="113">
        <f t="shared" si="5"/>
        <v>8587524.2499999981</v>
      </c>
      <c r="Y91" s="113">
        <f t="shared" si="5"/>
        <v>1550803.3900000004</v>
      </c>
      <c r="Z91" s="113">
        <f t="shared" si="5"/>
        <v>1604524.2900000003</v>
      </c>
      <c r="AA91" s="113">
        <f t="shared" si="5"/>
        <v>1290105.5999999996</v>
      </c>
      <c r="AB91" s="113">
        <f t="shared" si="5"/>
        <v>4316485.9799999995</v>
      </c>
      <c r="AC91" s="113">
        <f t="shared" si="5"/>
        <v>3094466.9100000006</v>
      </c>
      <c r="AD91" s="113">
        <f t="shared" si="5"/>
        <v>243224.24999999997</v>
      </c>
      <c r="AE91" s="113">
        <f t="shared" si="5"/>
        <v>54633.459999999992</v>
      </c>
      <c r="AF91" s="113">
        <f t="shared" si="5"/>
        <v>2650151.8000000003</v>
      </c>
      <c r="AG91" s="113">
        <f t="shared" si="5"/>
        <v>7629261.8899999997</v>
      </c>
      <c r="AH91" s="113">
        <f t="shared" si="5"/>
        <v>2496</v>
      </c>
      <c r="AI91" s="113">
        <f t="shared" si="5"/>
        <v>878098.01</v>
      </c>
      <c r="AJ91" s="113">
        <f t="shared" si="5"/>
        <v>-9873.5299999999988</v>
      </c>
      <c r="AK91" s="113">
        <f t="shared" si="5"/>
        <v>67435.47</v>
      </c>
      <c r="AL91" s="113">
        <f t="shared" si="5"/>
        <v>409743.56</v>
      </c>
      <c r="AM91" s="113">
        <f t="shared" si="5"/>
        <v>1416956.0900000003</v>
      </c>
      <c r="AN91" s="113">
        <f t="shared" si="5"/>
        <v>5498556.9400000004</v>
      </c>
      <c r="AO91" s="113">
        <f t="shared" si="5"/>
        <v>109421644.88</v>
      </c>
      <c r="AP91" s="113">
        <f t="shared" si="5"/>
        <v>493033.52</v>
      </c>
      <c r="AQ91" s="113">
        <f t="shared" si="5"/>
        <v>44238739.529999994</v>
      </c>
      <c r="AR91" s="113">
        <f t="shared" si="5"/>
        <v>5024539.88</v>
      </c>
      <c r="AS91" s="113">
        <f t="shared" si="5"/>
        <v>10945944.699999999</v>
      </c>
      <c r="AT91" s="113">
        <f t="shared" si="5"/>
        <v>630940.24</v>
      </c>
      <c r="AU91" s="113">
        <f t="shared" si="5"/>
        <v>4599775.6400000006</v>
      </c>
      <c r="AV91" s="113">
        <f t="shared" si="5"/>
        <v>1642191.4400000002</v>
      </c>
      <c r="AW91" s="113">
        <f t="shared" si="5"/>
        <v>579777.12000000011</v>
      </c>
      <c r="AX91" s="113">
        <f t="shared" si="5"/>
        <v>466473.58000000007</v>
      </c>
      <c r="AY91" s="113">
        <f t="shared" si="5"/>
        <v>51585.34</v>
      </c>
      <c r="AZ91" s="113">
        <f t="shared" si="5"/>
        <v>2834366.5799999996</v>
      </c>
      <c r="BA91" s="113">
        <f t="shared" si="5"/>
        <v>483997.36000000004</v>
      </c>
      <c r="BB91" s="113">
        <f t="shared" si="5"/>
        <v>2892429.5400000005</v>
      </c>
      <c r="BC91" s="113">
        <f t="shared" si="5"/>
        <v>476449.31000000006</v>
      </c>
      <c r="BD91" s="113">
        <f t="shared" si="5"/>
        <v>3139897.3</v>
      </c>
      <c r="BE91" s="113">
        <f t="shared" si="5"/>
        <v>1877296.7099999993</v>
      </c>
      <c r="BF91" s="113">
        <f t="shared" si="5"/>
        <v>2013450.75</v>
      </c>
      <c r="BG91" s="113">
        <f t="shared" si="5"/>
        <v>6172426.2000000011</v>
      </c>
      <c r="BH91" s="113">
        <f t="shared" si="5"/>
        <v>1793504.9800000004</v>
      </c>
      <c r="BI91" s="113">
        <f t="shared" si="5"/>
        <v>595262.58000000007</v>
      </c>
      <c r="BJ91" s="113">
        <f t="shared" si="5"/>
        <v>1734210.9600000002</v>
      </c>
      <c r="BK91" s="113">
        <f t="shared" si="5"/>
        <v>1097540.5500000003</v>
      </c>
      <c r="BL91" s="113">
        <f t="shared" si="5"/>
        <v>990512.33999999985</v>
      </c>
      <c r="BM91" s="113">
        <f t="shared" si="5"/>
        <v>7460055.830000001</v>
      </c>
      <c r="BN91" s="113">
        <f t="shared" si="5"/>
        <v>4615976.9300000006</v>
      </c>
      <c r="BO91" s="113">
        <f t="shared" si="5"/>
        <v>9629708.8100000024</v>
      </c>
      <c r="BP91" s="113">
        <f t="shared" si="5"/>
        <v>4134818.5500000003</v>
      </c>
      <c r="BQ91" s="113">
        <f t="shared" si="5"/>
        <v>21213.5</v>
      </c>
      <c r="BR91" s="113">
        <f t="shared" si="5"/>
        <v>0</v>
      </c>
      <c r="BS91" s="113">
        <f t="shared" si="5"/>
        <v>531840.54</v>
      </c>
      <c r="BT91" s="113">
        <f t="shared" si="5"/>
        <v>682376.31</v>
      </c>
      <c r="BU91" s="113">
        <f t="shared" si="5"/>
        <v>171879.78999999998</v>
      </c>
      <c r="BV91" s="113">
        <f t="shared" si="5"/>
        <v>478298.79</v>
      </c>
      <c r="BW91" s="113">
        <f>SUM(BW4:BW90)</f>
        <v>171838.95</v>
      </c>
      <c r="BX91" s="113">
        <f t="shared" ref="BX91" si="6">SUM(BX4:BX90)</f>
        <v>384816.3</v>
      </c>
      <c r="BY91" s="113">
        <f t="shared" ref="BY91" si="7">SUM(BY4:BY90)</f>
        <v>87</v>
      </c>
      <c r="BZ91" s="113">
        <f>SUM(BZ4:BZ90)</f>
        <v>0</v>
      </c>
      <c r="CA91" s="113">
        <f t="shared" ref="CA91" si="8">SUM(CA4:CA90)</f>
        <v>513107.66999999993</v>
      </c>
      <c r="CB91" s="113">
        <f t="shared" ref="CB91" si="9">SUM(CB4:CB90)</f>
        <v>0</v>
      </c>
      <c r="CC91" s="113">
        <f t="shared" ref="CC91" si="10">SUM(CC4:CC90)</f>
        <v>189877.5</v>
      </c>
      <c r="CD91" s="113">
        <f t="shared" ref="CD91" si="11">SUM(CD4:CD90)</f>
        <v>431629.83999999991</v>
      </c>
      <c r="CE91" s="113">
        <f t="shared" ref="CE91" si="12">SUM(CE4:CE90)</f>
        <v>2864949</v>
      </c>
      <c r="CF91" s="113">
        <f t="shared" ref="CF91" si="13">SUM(CF4:CF90)</f>
        <v>8276681</v>
      </c>
      <c r="CG91" s="113">
        <f t="shared" ref="CG91" si="14">SUM(CG4:CG90)</f>
        <v>459398</v>
      </c>
      <c r="CH91" s="113">
        <f t="shared" ref="CH91" si="15">SUM(CH4:CH90)</f>
        <v>187151</v>
      </c>
      <c r="CI91" s="113">
        <f t="shared" ref="CI91" si="16">SUM(CI4:CI90)</f>
        <v>289535</v>
      </c>
      <c r="CJ91" s="113">
        <f t="shared" ref="CJ91" si="17">SUM(CJ4:CJ90)</f>
        <v>0</v>
      </c>
      <c r="CK91" s="113">
        <f t="shared" ref="CK91" si="18">SUM(CK4:CK90)</f>
        <v>11431165</v>
      </c>
      <c r="CL91" s="113">
        <f t="shared" ref="CL91" si="19">SUM(CL4:CL90)</f>
        <v>646549</v>
      </c>
    </row>
  </sheetData>
  <mergeCells count="89">
    <mergeCell ref="CA86:CB86"/>
    <mergeCell ref="CA87:CB87"/>
    <mergeCell ref="CA88:CB88"/>
    <mergeCell ref="CA89:CB89"/>
    <mergeCell ref="CA90:CB90"/>
    <mergeCell ref="CA85:CB85"/>
    <mergeCell ref="CA74:CB74"/>
    <mergeCell ref="CA75:CB75"/>
    <mergeCell ref="CA76:CB76"/>
    <mergeCell ref="CA77:CB77"/>
    <mergeCell ref="CA78:CB78"/>
    <mergeCell ref="CA79:CB79"/>
    <mergeCell ref="CA80:CB80"/>
    <mergeCell ref="CA81:CB81"/>
    <mergeCell ref="CA82:CB82"/>
    <mergeCell ref="CA83:CB83"/>
    <mergeCell ref="CA84:CB84"/>
    <mergeCell ref="CA73:CB73"/>
    <mergeCell ref="CA62:CB62"/>
    <mergeCell ref="CA63:CB63"/>
    <mergeCell ref="CA64:CB64"/>
    <mergeCell ref="CA65:CB65"/>
    <mergeCell ref="CA66:CB66"/>
    <mergeCell ref="CA67:CB67"/>
    <mergeCell ref="CA68:CB68"/>
    <mergeCell ref="CA69:CB69"/>
    <mergeCell ref="CA70:CB70"/>
    <mergeCell ref="CA71:CB71"/>
    <mergeCell ref="CA72:CB72"/>
    <mergeCell ref="CA61:CB61"/>
    <mergeCell ref="CA50:CB50"/>
    <mergeCell ref="CA51:CB51"/>
    <mergeCell ref="CA52:CB52"/>
    <mergeCell ref="CA53:CB53"/>
    <mergeCell ref="CA54:CB54"/>
    <mergeCell ref="CA55:CB55"/>
    <mergeCell ref="CA56:CB56"/>
    <mergeCell ref="CA57:CB57"/>
    <mergeCell ref="CA58:CB58"/>
    <mergeCell ref="CA59:CB59"/>
    <mergeCell ref="CA60:CB60"/>
    <mergeCell ref="CA49:CB49"/>
    <mergeCell ref="CA38:CB38"/>
    <mergeCell ref="CA39:CB39"/>
    <mergeCell ref="CA40:CB40"/>
    <mergeCell ref="CA41:CB41"/>
    <mergeCell ref="CA42:CB42"/>
    <mergeCell ref="CA43:CB43"/>
    <mergeCell ref="CA44:CB44"/>
    <mergeCell ref="CA45:CB45"/>
    <mergeCell ref="CA46:CB46"/>
    <mergeCell ref="CA47:CB47"/>
    <mergeCell ref="CA48:CB48"/>
    <mergeCell ref="CA37:CB37"/>
    <mergeCell ref="CA26:CB26"/>
    <mergeCell ref="CA27:CB27"/>
    <mergeCell ref="CA28:CB28"/>
    <mergeCell ref="CA29:CB29"/>
    <mergeCell ref="CA30:CB30"/>
    <mergeCell ref="CA31:CB31"/>
    <mergeCell ref="CA32:CB32"/>
    <mergeCell ref="CA33:CB33"/>
    <mergeCell ref="CA34:CB34"/>
    <mergeCell ref="CA35:CB35"/>
    <mergeCell ref="CA36:CB36"/>
    <mergeCell ref="CA25:CB25"/>
    <mergeCell ref="CA14:CB14"/>
    <mergeCell ref="CA15:CB15"/>
    <mergeCell ref="CA16:CB16"/>
    <mergeCell ref="CA17:CB17"/>
    <mergeCell ref="CA18:CB18"/>
    <mergeCell ref="CA19:CB19"/>
    <mergeCell ref="CA20:CB20"/>
    <mergeCell ref="CA21:CB21"/>
    <mergeCell ref="CA22:CB22"/>
    <mergeCell ref="CA23:CB23"/>
    <mergeCell ref="CA24:CB24"/>
    <mergeCell ref="CA13:CB13"/>
    <mergeCell ref="A2:CA2"/>
    <mergeCell ref="CA3:CB3"/>
    <mergeCell ref="CA4:CB4"/>
    <mergeCell ref="CA5:CB5"/>
    <mergeCell ref="CA6:CB6"/>
    <mergeCell ref="CA7:CB7"/>
    <mergeCell ref="CA8:CB8"/>
    <mergeCell ref="CA9:CB9"/>
    <mergeCell ref="CA10:CB10"/>
    <mergeCell ref="CA11:CB11"/>
    <mergeCell ref="CA12:CB12"/>
  </mergeCells>
  <pageMargins left="0.98425196850393704" right="0.98425196850393704" top="0.98425196850393704" bottom="0.98425196850393704" header="0.98425196850393704" footer="0.98425196850393704"/>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34C3-9A50-4944-AA15-89A5CF55C281}">
  <dimension ref="A1:V117"/>
  <sheetViews>
    <sheetView topLeftCell="A75" workbookViewId="0">
      <selection activeCell="U110" sqref="U110"/>
    </sheetView>
  </sheetViews>
  <sheetFormatPr defaultColWidth="9.109375" defaultRowHeight="14.4"/>
  <cols>
    <col min="1" max="5" width="9.109375" style="129"/>
    <col min="6" max="6" width="44.5546875" style="129" bestFit="1" customWidth="1"/>
    <col min="7" max="16384" width="9.109375" style="129"/>
  </cols>
  <sheetData>
    <row r="1" spans="1:22" ht="15.6">
      <c r="A1" s="119" t="s">
        <v>636</v>
      </c>
      <c r="B1" s="119"/>
      <c r="C1" s="120"/>
      <c r="D1" s="121"/>
      <c r="E1" s="120"/>
      <c r="F1" s="121"/>
      <c r="G1" s="122"/>
      <c r="H1" s="122"/>
      <c r="I1" s="123"/>
      <c r="J1" s="123"/>
      <c r="K1" s="123"/>
      <c r="L1" s="123"/>
      <c r="M1" s="124"/>
      <c r="N1" s="125"/>
      <c r="O1" s="126"/>
      <c r="P1" s="123"/>
      <c r="Q1" s="123"/>
      <c r="R1" s="124"/>
      <c r="S1" s="125"/>
      <c r="T1" s="122"/>
      <c r="U1" s="127"/>
      <c r="V1" s="128"/>
    </row>
    <row r="2" spans="1:22">
      <c r="A2" s="130" t="s">
        <v>637</v>
      </c>
      <c r="B2" s="131" t="s">
        <v>638</v>
      </c>
      <c r="C2" s="120"/>
      <c r="D2" s="121"/>
      <c r="E2" s="120"/>
      <c r="F2" s="121"/>
      <c r="G2" s="122"/>
      <c r="H2" s="122"/>
      <c r="I2" s="123"/>
      <c r="J2" s="123"/>
      <c r="K2" s="123"/>
      <c r="L2" s="123"/>
      <c r="M2" s="124"/>
      <c r="N2" s="125"/>
      <c r="O2" s="126"/>
      <c r="P2" s="123"/>
      <c r="Q2" s="123"/>
      <c r="R2" s="124"/>
      <c r="S2" s="125"/>
      <c r="T2" s="122"/>
      <c r="U2" s="127"/>
      <c r="V2" s="128"/>
    </row>
    <row r="3" spans="1:22">
      <c r="A3" s="132" t="s">
        <v>639</v>
      </c>
      <c r="B3" s="132"/>
      <c r="C3" s="133"/>
      <c r="D3" s="134"/>
      <c r="E3" s="133"/>
      <c r="F3" s="134"/>
      <c r="G3" s="132"/>
      <c r="H3" s="132"/>
      <c r="I3" s="135"/>
      <c r="J3" s="135"/>
      <c r="K3" s="135"/>
      <c r="L3" s="135"/>
      <c r="M3" s="136"/>
      <c r="N3" s="125"/>
      <c r="O3" s="126"/>
      <c r="P3" s="123"/>
      <c r="Q3" s="123"/>
      <c r="R3" s="124"/>
      <c r="S3" s="125"/>
      <c r="T3" s="122"/>
      <c r="U3" s="127"/>
      <c r="V3" s="128"/>
    </row>
    <row r="4" spans="1:22">
      <c r="A4" s="137" t="s">
        <v>640</v>
      </c>
      <c r="B4" s="137"/>
      <c r="C4" s="133"/>
      <c r="D4" s="133"/>
      <c r="E4" s="133"/>
      <c r="F4" s="133"/>
      <c r="G4" s="137"/>
      <c r="H4" s="137"/>
      <c r="I4" s="138"/>
      <c r="J4" s="138"/>
      <c r="K4" s="138"/>
      <c r="L4" s="138"/>
      <c r="M4" s="139"/>
      <c r="N4" s="125"/>
      <c r="O4" s="126"/>
      <c r="P4" s="123"/>
      <c r="Q4" s="123"/>
      <c r="R4" s="124"/>
      <c r="S4" s="125"/>
      <c r="T4" s="122"/>
      <c r="U4" s="127"/>
      <c r="V4" s="128"/>
    </row>
    <row r="5" spans="1:22">
      <c r="A5" s="140" t="s">
        <v>641</v>
      </c>
      <c r="B5" s="140"/>
      <c r="C5" s="141"/>
      <c r="D5" s="142"/>
      <c r="E5" s="141"/>
      <c r="F5" s="142"/>
      <c r="G5" s="140"/>
      <c r="H5" s="140"/>
      <c r="I5" s="143"/>
      <c r="J5" s="143"/>
      <c r="K5" s="143"/>
      <c r="L5" s="143"/>
      <c r="M5" s="144"/>
      <c r="N5" s="125"/>
      <c r="O5" s="126"/>
      <c r="P5" s="123"/>
      <c r="Q5" s="123"/>
      <c r="R5" s="124"/>
      <c r="S5" s="125"/>
      <c r="T5" s="122"/>
      <c r="U5" s="127"/>
      <c r="V5" s="128"/>
    </row>
    <row r="6" spans="1:22">
      <c r="A6" s="145" t="s">
        <v>642</v>
      </c>
      <c r="B6" s="122"/>
      <c r="C6" s="122"/>
      <c r="D6" s="122"/>
      <c r="E6" s="122"/>
      <c r="F6" s="122"/>
      <c r="G6" s="146"/>
      <c r="H6" s="146"/>
      <c r="I6" s="147"/>
      <c r="J6" s="147"/>
      <c r="K6" s="147"/>
      <c r="L6" s="147"/>
      <c r="M6" s="148"/>
      <c r="N6" s="125"/>
      <c r="O6" s="125"/>
      <c r="P6" s="126"/>
      <c r="Q6" s="123"/>
      <c r="R6" s="123"/>
      <c r="S6" s="122"/>
      <c r="T6" s="125"/>
      <c r="U6" s="122"/>
      <c r="V6" s="127"/>
    </row>
    <row r="7" spans="1:22">
      <c r="A7" s="149" t="s">
        <v>643</v>
      </c>
      <c r="B7" s="149"/>
      <c r="C7" s="150"/>
      <c r="D7" s="150"/>
      <c r="E7" s="150"/>
      <c r="F7" s="150"/>
      <c r="G7" s="151"/>
      <c r="H7" s="151"/>
      <c r="I7" s="152"/>
      <c r="J7" s="152"/>
      <c r="K7" s="152"/>
      <c r="L7" s="152"/>
      <c r="M7" s="151"/>
      <c r="N7" s="153"/>
      <c r="O7" s="153"/>
      <c r="P7" s="151"/>
      <c r="Q7" s="152"/>
      <c r="R7" s="152"/>
      <c r="S7" s="122"/>
      <c r="T7" s="125"/>
      <c r="U7" s="122"/>
      <c r="V7" s="127"/>
    </row>
    <row r="8" spans="1:22">
      <c r="A8" s="667" t="s">
        <v>644</v>
      </c>
      <c r="B8" s="667"/>
      <c r="C8" s="667"/>
      <c r="D8" s="667"/>
      <c r="E8" s="667"/>
      <c r="F8" s="667"/>
      <c r="G8" s="154"/>
      <c r="H8" s="154"/>
      <c r="I8" s="154"/>
      <c r="J8" s="152"/>
      <c r="K8" s="152"/>
      <c r="L8" s="152"/>
      <c r="M8" s="151"/>
      <c r="N8" s="153"/>
      <c r="O8" s="153"/>
      <c r="P8" s="151"/>
      <c r="Q8" s="152"/>
      <c r="R8" s="152"/>
      <c r="S8" s="122"/>
      <c r="T8" s="125"/>
      <c r="U8" s="122"/>
      <c r="V8" s="127"/>
    </row>
    <row r="9" spans="1:22">
      <c r="A9" s="668" t="s">
        <v>645</v>
      </c>
      <c r="B9" s="668"/>
      <c r="C9" s="668"/>
      <c r="D9" s="668"/>
      <c r="E9" s="668"/>
      <c r="F9" s="668"/>
      <c r="G9" s="155"/>
      <c r="H9" s="155"/>
      <c r="I9" s="155"/>
      <c r="J9" s="152"/>
      <c r="K9" s="152"/>
      <c r="L9" s="152"/>
      <c r="M9" s="151"/>
      <c r="N9" s="153"/>
      <c r="O9" s="153"/>
      <c r="P9" s="151"/>
      <c r="Q9" s="152"/>
      <c r="R9" s="152"/>
      <c r="S9" s="122"/>
      <c r="T9" s="125"/>
      <c r="U9" s="122"/>
      <c r="V9" s="127"/>
    </row>
    <row r="10" spans="1:22">
      <c r="A10" s="668" t="s">
        <v>646</v>
      </c>
      <c r="B10" s="668"/>
      <c r="C10" s="668"/>
      <c r="D10" s="668"/>
      <c r="E10" s="668"/>
      <c r="F10" s="668"/>
      <c r="G10" s="155"/>
      <c r="H10" s="155"/>
      <c r="I10" s="155"/>
      <c r="J10" s="156"/>
      <c r="K10" s="156"/>
      <c r="L10" s="156"/>
      <c r="M10" s="157"/>
      <c r="N10" s="158"/>
      <c r="O10" s="158"/>
      <c r="P10" s="157"/>
      <c r="Q10" s="123"/>
      <c r="R10" s="123"/>
      <c r="S10" s="122"/>
      <c r="T10" s="125"/>
      <c r="U10" s="122"/>
      <c r="V10" s="127"/>
    </row>
    <row r="11" spans="1:22">
      <c r="A11" s="665" t="s">
        <v>647</v>
      </c>
      <c r="B11" s="665"/>
      <c r="C11" s="665"/>
      <c r="D11" s="665"/>
      <c r="E11" s="665"/>
      <c r="F11" s="665"/>
      <c r="G11" s="151"/>
      <c r="H11" s="151"/>
      <c r="I11" s="151"/>
      <c r="J11" s="156"/>
      <c r="K11" s="156"/>
      <c r="L11" s="156"/>
      <c r="M11" s="157"/>
      <c r="N11" s="158"/>
      <c r="O11" s="158"/>
      <c r="P11" s="157"/>
      <c r="Q11" s="123"/>
      <c r="R11" s="123"/>
      <c r="S11" s="122"/>
      <c r="T11" s="125"/>
      <c r="U11" s="122"/>
      <c r="V11" s="127"/>
    </row>
    <row r="12" spans="1:22">
      <c r="A12" s="665" t="s">
        <v>648</v>
      </c>
      <c r="B12" s="665"/>
      <c r="C12" s="665"/>
      <c r="D12" s="665"/>
      <c r="E12" s="665"/>
      <c r="F12" s="665"/>
      <c r="G12" s="151"/>
      <c r="H12" s="151"/>
      <c r="I12" s="151"/>
      <c r="J12" s="152"/>
      <c r="K12" s="152"/>
      <c r="L12" s="152"/>
      <c r="M12" s="151"/>
      <c r="N12" s="153"/>
      <c r="O12" s="153"/>
      <c r="P12" s="151"/>
      <c r="Q12" s="152"/>
      <c r="R12" s="152"/>
      <c r="S12" s="151"/>
      <c r="T12" s="125"/>
      <c r="U12" s="122"/>
      <c r="V12" s="127"/>
    </row>
    <row r="13" spans="1:22">
      <c r="A13" s="665" t="s">
        <v>649</v>
      </c>
      <c r="B13" s="665"/>
      <c r="C13" s="665"/>
      <c r="D13" s="665"/>
      <c r="E13" s="665"/>
      <c r="F13" s="665"/>
      <c r="G13" s="151"/>
      <c r="H13" s="151"/>
      <c r="I13" s="151"/>
      <c r="J13" s="152"/>
      <c r="K13" s="152"/>
      <c r="L13" s="152"/>
      <c r="M13" s="151"/>
      <c r="N13" s="153"/>
      <c r="O13" s="153"/>
      <c r="P13" s="151"/>
      <c r="Q13" s="152"/>
      <c r="R13" s="152"/>
      <c r="S13" s="151"/>
      <c r="T13" s="125"/>
      <c r="U13" s="122"/>
      <c r="V13" s="127"/>
    </row>
    <row r="14" spans="1:22">
      <c r="A14" s="665" t="s">
        <v>650</v>
      </c>
      <c r="B14" s="665"/>
      <c r="C14" s="665"/>
      <c r="D14" s="665"/>
      <c r="E14" s="665"/>
      <c r="F14" s="665"/>
      <c r="G14" s="151"/>
      <c r="H14" s="151"/>
      <c r="I14" s="151"/>
      <c r="J14" s="152"/>
      <c r="K14" s="152"/>
      <c r="L14" s="152"/>
      <c r="M14" s="151"/>
      <c r="N14" s="153"/>
      <c r="O14" s="153"/>
      <c r="P14" s="151"/>
      <c r="Q14" s="152"/>
      <c r="R14" s="152"/>
      <c r="S14" s="151"/>
      <c r="T14" s="125"/>
      <c r="U14" s="122"/>
      <c r="V14" s="127"/>
    </row>
    <row r="15" spans="1:22" ht="18" customHeight="1">
      <c r="A15" s="665" t="s">
        <v>651</v>
      </c>
      <c r="B15" s="665"/>
      <c r="C15" s="665"/>
      <c r="D15" s="665"/>
      <c r="E15" s="665"/>
      <c r="F15" s="665"/>
      <c r="G15" s="151"/>
      <c r="H15" s="151"/>
      <c r="I15" s="151"/>
      <c r="J15" s="156"/>
      <c r="K15" s="156"/>
      <c r="L15" s="156"/>
      <c r="M15" s="157"/>
      <c r="N15" s="158"/>
      <c r="O15" s="158"/>
      <c r="P15" s="157"/>
      <c r="Q15" s="156"/>
      <c r="R15" s="156"/>
      <c r="S15" s="157"/>
      <c r="T15" s="125"/>
      <c r="U15" s="122"/>
      <c r="V15" s="127"/>
    </row>
    <row r="16" spans="1:22" ht="22.5" customHeight="1">
      <c r="A16" s="665" t="s">
        <v>652</v>
      </c>
      <c r="B16" s="665"/>
      <c r="C16" s="665"/>
      <c r="D16" s="665"/>
      <c r="E16" s="665"/>
      <c r="F16" s="665"/>
      <c r="G16" s="151"/>
      <c r="H16" s="151"/>
      <c r="I16" s="151"/>
      <c r="J16" s="156"/>
      <c r="K16" s="156"/>
      <c r="L16" s="156"/>
      <c r="M16" s="157"/>
      <c r="N16" s="158"/>
      <c r="O16" s="158"/>
      <c r="P16" s="157"/>
      <c r="Q16" s="156"/>
      <c r="R16" s="156"/>
      <c r="S16" s="157"/>
      <c r="T16" s="125"/>
      <c r="U16" s="122"/>
      <c r="V16" s="127"/>
    </row>
    <row r="17" spans="1:22" ht="15">
      <c r="A17" s="669" t="s">
        <v>653</v>
      </c>
      <c r="B17" s="669"/>
      <c r="C17" s="669"/>
      <c r="D17" s="669"/>
      <c r="E17" s="669"/>
      <c r="F17" s="669"/>
      <c r="G17" s="151"/>
      <c r="H17" s="151"/>
      <c r="I17" s="151"/>
      <c r="J17" s="156"/>
      <c r="K17" s="156"/>
      <c r="L17" s="156"/>
      <c r="M17" s="157"/>
      <c r="N17" s="158"/>
      <c r="O17" s="158"/>
      <c r="P17" s="157"/>
      <c r="Q17" s="156"/>
      <c r="R17" s="156"/>
      <c r="S17" s="157"/>
      <c r="T17" s="125"/>
      <c r="U17" s="122"/>
      <c r="V17" s="127"/>
    </row>
    <row r="18" spans="1:22">
      <c r="A18" s="665" t="s">
        <v>654</v>
      </c>
      <c r="B18" s="665"/>
      <c r="C18" s="665"/>
      <c r="D18" s="665"/>
      <c r="E18" s="665"/>
      <c r="F18" s="665"/>
      <c r="G18" s="151"/>
      <c r="H18" s="151"/>
      <c r="I18" s="151"/>
      <c r="J18" s="159"/>
      <c r="K18" s="159"/>
      <c r="L18" s="159"/>
      <c r="M18" s="160"/>
      <c r="N18" s="125"/>
      <c r="O18" s="125"/>
      <c r="P18" s="126"/>
      <c r="Q18" s="123"/>
      <c r="R18" s="123"/>
      <c r="S18" s="122"/>
      <c r="T18" s="125"/>
      <c r="U18" s="122"/>
      <c r="V18" s="127"/>
    </row>
    <row r="19" spans="1:22">
      <c r="A19" s="665" t="s">
        <v>655</v>
      </c>
      <c r="B19" s="665"/>
      <c r="C19" s="665"/>
      <c r="D19" s="665"/>
      <c r="E19" s="665"/>
      <c r="F19" s="665"/>
      <c r="G19" s="151"/>
      <c r="H19" s="151"/>
      <c r="I19" s="151"/>
      <c r="J19" s="159"/>
      <c r="K19" s="159"/>
      <c r="L19" s="159"/>
      <c r="M19" s="160"/>
      <c r="N19" s="125"/>
      <c r="O19" s="125"/>
      <c r="P19" s="126"/>
      <c r="Q19" s="123"/>
      <c r="R19" s="123"/>
      <c r="S19" s="122"/>
      <c r="T19" s="125"/>
      <c r="U19" s="122"/>
      <c r="V19" s="127"/>
    </row>
    <row r="20" spans="1:22" ht="59.25" customHeight="1">
      <c r="A20" s="665" t="s">
        <v>656</v>
      </c>
      <c r="B20" s="665"/>
      <c r="C20" s="665"/>
      <c r="D20" s="665"/>
      <c r="E20" s="665"/>
      <c r="F20" s="665"/>
      <c r="G20" s="151"/>
      <c r="H20" s="151"/>
      <c r="I20" s="151"/>
      <c r="J20" s="159"/>
      <c r="K20" s="159"/>
      <c r="L20" s="159"/>
      <c r="M20" s="160"/>
      <c r="N20" s="125"/>
      <c r="O20" s="125"/>
      <c r="P20" s="126"/>
      <c r="Q20" s="123"/>
      <c r="R20" s="123"/>
      <c r="S20" s="122"/>
      <c r="T20" s="125"/>
      <c r="U20" s="122"/>
      <c r="V20" s="127"/>
    </row>
    <row r="21" spans="1:22" ht="40.5" customHeight="1">
      <c r="A21" s="665" t="s">
        <v>657</v>
      </c>
      <c r="B21" s="665"/>
      <c r="C21" s="665"/>
      <c r="D21" s="665"/>
      <c r="E21" s="665"/>
      <c r="F21" s="665"/>
      <c r="G21" s="146"/>
      <c r="H21" s="146"/>
      <c r="I21" s="159"/>
      <c r="J21" s="159"/>
      <c r="K21" s="159"/>
      <c r="L21" s="159"/>
      <c r="M21" s="160"/>
      <c r="N21" s="125"/>
      <c r="O21" s="125"/>
      <c r="P21" s="126"/>
      <c r="Q21" s="123"/>
      <c r="R21" s="123"/>
      <c r="S21" s="122"/>
      <c r="T21" s="125"/>
      <c r="U21" s="122"/>
      <c r="V21" s="127"/>
    </row>
    <row r="22" spans="1:22" ht="27" customHeight="1">
      <c r="A22" s="666" t="s">
        <v>658</v>
      </c>
      <c r="B22" s="666"/>
      <c r="C22" s="666"/>
      <c r="D22" s="666"/>
      <c r="E22" s="666"/>
      <c r="F22" s="666"/>
      <c r="G22" s="122"/>
      <c r="H22" s="122"/>
      <c r="I22" s="122"/>
      <c r="J22" s="122"/>
      <c r="K22" s="122"/>
      <c r="L22" s="122"/>
      <c r="M22" s="122"/>
      <c r="N22" s="122"/>
      <c r="O22" s="122"/>
      <c r="P22" s="122"/>
      <c r="Q22" s="122"/>
      <c r="R22" s="122"/>
      <c r="S22" s="122"/>
      <c r="T22" s="122"/>
      <c r="U22" s="122"/>
      <c r="V22" s="122"/>
    </row>
    <row r="23" spans="1:22">
      <c r="A23" s="666" t="s">
        <v>659</v>
      </c>
      <c r="B23" s="666"/>
      <c r="C23" s="666"/>
      <c r="D23" s="666"/>
      <c r="E23" s="666"/>
      <c r="F23" s="666"/>
      <c r="G23" s="122"/>
      <c r="H23" s="122"/>
      <c r="I23" s="122"/>
      <c r="J23" s="122"/>
      <c r="K23" s="122"/>
      <c r="L23" s="122"/>
      <c r="M23" s="122"/>
      <c r="N23" s="122"/>
      <c r="O23" s="122"/>
      <c r="P23" s="122"/>
      <c r="Q23" s="122"/>
      <c r="R23" s="122"/>
      <c r="S23" s="122"/>
      <c r="T23" s="122"/>
      <c r="U23" s="122"/>
      <c r="V23" s="122"/>
    </row>
    <row r="24" spans="1:22" ht="25.5" customHeight="1">
      <c r="A24" s="666" t="s">
        <v>660</v>
      </c>
      <c r="B24" s="666"/>
      <c r="C24" s="666"/>
      <c r="D24" s="666"/>
      <c r="E24" s="666"/>
      <c r="F24" s="666"/>
      <c r="G24" s="122"/>
      <c r="H24" s="122"/>
      <c r="I24" s="122"/>
      <c r="J24" s="122"/>
      <c r="K24" s="122"/>
      <c r="L24" s="122"/>
      <c r="M24" s="122"/>
      <c r="N24" s="122"/>
      <c r="O24" s="122"/>
      <c r="P24" s="122"/>
      <c r="Q24" s="122"/>
      <c r="R24" s="122"/>
      <c r="S24" s="122"/>
      <c r="T24" s="122"/>
      <c r="U24" s="122"/>
      <c r="V24" s="122"/>
    </row>
    <row r="25" spans="1:22">
      <c r="A25" s="666"/>
      <c r="B25" s="666"/>
      <c r="C25" s="666"/>
      <c r="D25" s="666"/>
      <c r="E25" s="666"/>
      <c r="F25" s="666"/>
      <c r="G25" s="122"/>
      <c r="H25" s="122"/>
      <c r="I25" s="122"/>
      <c r="J25" s="122"/>
      <c r="K25" s="122"/>
      <c r="L25" s="122"/>
      <c r="M25" s="122"/>
      <c r="N25" s="122"/>
      <c r="O25" s="122"/>
      <c r="P25" s="122"/>
      <c r="Q25" s="122"/>
      <c r="R25" s="122"/>
      <c r="S25" s="122"/>
      <c r="T25" s="122"/>
      <c r="U25" s="122"/>
      <c r="V25" s="122"/>
    </row>
    <row r="26" spans="1:22">
      <c r="A26" s="122"/>
      <c r="B26" s="122"/>
      <c r="C26" s="122"/>
      <c r="D26" s="122"/>
      <c r="E26" s="122"/>
      <c r="F26" s="122"/>
      <c r="G26" s="122"/>
      <c r="H26" s="122"/>
      <c r="I26" s="122"/>
      <c r="J26" s="122"/>
      <c r="K26" s="122"/>
      <c r="L26" s="122"/>
      <c r="M26" s="122"/>
      <c r="N26" s="122"/>
      <c r="O26" s="122"/>
      <c r="P26" s="122"/>
      <c r="Q26" s="122"/>
      <c r="R26" s="122"/>
      <c r="S26" s="122"/>
      <c r="T26" s="122"/>
      <c r="U26" s="122"/>
      <c r="V26" s="122"/>
    </row>
    <row r="27" spans="1:22">
      <c r="A27" s="161"/>
      <c r="B27" s="146"/>
      <c r="C27" s="146"/>
      <c r="D27" s="146"/>
      <c r="E27" s="162">
        <v>1</v>
      </c>
      <c r="F27" s="162">
        <v>2</v>
      </c>
      <c r="G27" s="162">
        <v>3</v>
      </c>
      <c r="H27" s="162">
        <v>4</v>
      </c>
      <c r="I27" s="162">
        <v>5</v>
      </c>
      <c r="J27" s="162">
        <v>6</v>
      </c>
      <c r="K27" s="162">
        <v>7</v>
      </c>
      <c r="L27" s="162">
        <v>8</v>
      </c>
      <c r="M27" s="162">
        <v>9</v>
      </c>
      <c r="N27" s="162">
        <v>10</v>
      </c>
      <c r="O27" s="162">
        <v>11</v>
      </c>
      <c r="P27" s="162">
        <v>12</v>
      </c>
      <c r="Q27" s="162">
        <v>13</v>
      </c>
      <c r="R27" s="162">
        <v>14</v>
      </c>
      <c r="S27" s="162">
        <v>15</v>
      </c>
      <c r="T27" s="162">
        <v>16</v>
      </c>
      <c r="U27" s="162">
        <v>17</v>
      </c>
      <c r="V27" s="162">
        <v>18</v>
      </c>
    </row>
    <row r="28" spans="1:22">
      <c r="A28" s="163"/>
      <c r="B28" s="164"/>
      <c r="C28" s="165"/>
      <c r="D28" s="165"/>
      <c r="E28" s="165"/>
      <c r="F28" s="164"/>
      <c r="G28" s="164"/>
      <c r="H28" s="164"/>
      <c r="I28" s="166"/>
      <c r="J28" s="166"/>
      <c r="K28" s="662" t="s">
        <v>661</v>
      </c>
      <c r="L28" s="662"/>
      <c r="M28" s="662"/>
      <c r="N28" s="662"/>
      <c r="O28" s="662"/>
      <c r="P28" s="662"/>
      <c r="Q28" s="662"/>
      <c r="R28" s="662"/>
      <c r="S28" s="662"/>
      <c r="T28" s="167"/>
      <c r="U28" s="663" t="s">
        <v>662</v>
      </c>
      <c r="V28" s="663"/>
    </row>
    <row r="29" spans="1:22">
      <c r="A29" s="168"/>
      <c r="B29" s="169"/>
      <c r="C29" s="170"/>
      <c r="D29" s="170"/>
      <c r="E29" s="170"/>
      <c r="F29" s="169"/>
      <c r="G29" s="169"/>
      <c r="H29" s="169"/>
      <c r="I29" s="171"/>
      <c r="J29" s="171"/>
      <c r="K29" s="664" t="s">
        <v>663</v>
      </c>
      <c r="L29" s="664"/>
      <c r="M29" s="664"/>
      <c r="N29" s="664"/>
      <c r="O29" s="151"/>
      <c r="P29" s="664" t="s">
        <v>664</v>
      </c>
      <c r="Q29" s="664"/>
      <c r="R29" s="664"/>
      <c r="S29" s="664"/>
      <c r="T29" s="122"/>
      <c r="U29" s="172"/>
      <c r="V29" s="173"/>
    </row>
    <row r="30" spans="1:22" ht="93">
      <c r="A30" s="174" t="s">
        <v>629</v>
      </c>
      <c r="B30" s="174" t="s">
        <v>416</v>
      </c>
      <c r="C30" s="174" t="s">
        <v>665</v>
      </c>
      <c r="D30" s="174" t="s">
        <v>666</v>
      </c>
      <c r="E30" s="174" t="s">
        <v>667</v>
      </c>
      <c r="F30" s="174" t="s">
        <v>128</v>
      </c>
      <c r="G30" s="175" t="s">
        <v>419</v>
      </c>
      <c r="H30" s="176" t="s">
        <v>668</v>
      </c>
      <c r="I30" s="177" t="s">
        <v>669</v>
      </c>
      <c r="J30" s="178"/>
      <c r="K30" s="177" t="s">
        <v>670</v>
      </c>
      <c r="L30" s="179" t="s">
        <v>671</v>
      </c>
      <c r="M30" s="180" t="s">
        <v>672</v>
      </c>
      <c r="N30" s="181" t="s">
        <v>673</v>
      </c>
      <c r="O30" s="182"/>
      <c r="P30" s="177" t="s">
        <v>674</v>
      </c>
      <c r="Q30" s="183" t="s">
        <v>675</v>
      </c>
      <c r="R30" s="184" t="s">
        <v>676</v>
      </c>
      <c r="S30" s="181" t="s">
        <v>677</v>
      </c>
      <c r="T30" s="122"/>
      <c r="U30" s="185" t="s">
        <v>678</v>
      </c>
      <c r="V30" s="186" t="s">
        <v>679</v>
      </c>
    </row>
    <row r="31" spans="1:22">
      <c r="A31" s="187">
        <v>101258</v>
      </c>
      <c r="B31" s="188">
        <v>3022002</v>
      </c>
      <c r="C31" s="187">
        <v>302</v>
      </c>
      <c r="D31" s="189" t="s">
        <v>431</v>
      </c>
      <c r="E31" s="188">
        <v>2002</v>
      </c>
      <c r="F31" s="190" t="s">
        <v>258</v>
      </c>
      <c r="G31" s="189" t="s">
        <v>680</v>
      </c>
      <c r="H31" s="190" t="s">
        <v>681</v>
      </c>
      <c r="I31" s="191">
        <v>415</v>
      </c>
      <c r="J31" s="192"/>
      <c r="K31" s="191">
        <v>415</v>
      </c>
      <c r="L31" s="191">
        <v>120</v>
      </c>
      <c r="M31" s="193">
        <v>0.28915662650602408</v>
      </c>
      <c r="N31" s="194">
        <v>161400</v>
      </c>
      <c r="O31" s="195"/>
      <c r="P31" s="191">
        <v>0</v>
      </c>
      <c r="Q31" s="191">
        <v>0</v>
      </c>
      <c r="R31" s="193">
        <v>0</v>
      </c>
      <c r="S31" s="194">
        <v>0</v>
      </c>
      <c r="T31" s="187"/>
      <c r="U31" s="196">
        <v>120</v>
      </c>
      <c r="V31" s="197">
        <v>161400</v>
      </c>
    </row>
    <row r="32" spans="1:22">
      <c r="A32" s="187">
        <v>101259</v>
      </c>
      <c r="B32" s="188">
        <v>3022003</v>
      </c>
      <c r="C32" s="187">
        <v>302</v>
      </c>
      <c r="D32" s="189" t="s">
        <v>431</v>
      </c>
      <c r="E32" s="188">
        <v>2003</v>
      </c>
      <c r="F32" s="190" t="s">
        <v>260</v>
      </c>
      <c r="G32" s="189" t="s">
        <v>680</v>
      </c>
      <c r="H32" s="190" t="s">
        <v>681</v>
      </c>
      <c r="I32" s="191">
        <v>353</v>
      </c>
      <c r="J32" s="192"/>
      <c r="K32" s="191">
        <v>353</v>
      </c>
      <c r="L32" s="191">
        <v>139</v>
      </c>
      <c r="M32" s="193">
        <v>0.39376770538243627</v>
      </c>
      <c r="N32" s="194">
        <v>186955</v>
      </c>
      <c r="O32" s="195"/>
      <c r="P32" s="191">
        <v>0</v>
      </c>
      <c r="Q32" s="191">
        <v>0</v>
      </c>
      <c r="R32" s="193">
        <v>0</v>
      </c>
      <c r="S32" s="194">
        <v>0</v>
      </c>
      <c r="T32" s="187"/>
      <c r="U32" s="196">
        <v>139</v>
      </c>
      <c r="V32" s="197">
        <v>186955</v>
      </c>
    </row>
    <row r="33" spans="1:22">
      <c r="A33" s="187">
        <v>101262</v>
      </c>
      <c r="B33" s="188">
        <v>3022007</v>
      </c>
      <c r="C33" s="187">
        <v>302</v>
      </c>
      <c r="D33" s="189" t="s">
        <v>431</v>
      </c>
      <c r="E33" s="188">
        <v>2007</v>
      </c>
      <c r="F33" s="190" t="s">
        <v>42</v>
      </c>
      <c r="G33" s="189" t="s">
        <v>680</v>
      </c>
      <c r="H33" s="190" t="s">
        <v>682</v>
      </c>
      <c r="I33" s="191">
        <v>358</v>
      </c>
      <c r="J33" s="192"/>
      <c r="K33" s="191">
        <v>358</v>
      </c>
      <c r="L33" s="191">
        <v>73</v>
      </c>
      <c r="M33" s="193">
        <v>0.20391061452513967</v>
      </c>
      <c r="N33" s="194">
        <v>98185</v>
      </c>
      <c r="O33" s="195"/>
      <c r="P33" s="191">
        <v>0</v>
      </c>
      <c r="Q33" s="191">
        <v>0</v>
      </c>
      <c r="R33" s="193">
        <v>0</v>
      </c>
      <c r="S33" s="194">
        <v>0</v>
      </c>
      <c r="T33" s="187"/>
      <c r="U33" s="196">
        <v>73</v>
      </c>
      <c r="V33" s="197">
        <v>98185</v>
      </c>
    </row>
    <row r="34" spans="1:22">
      <c r="A34" s="187">
        <v>101263</v>
      </c>
      <c r="B34" s="188">
        <v>3022008</v>
      </c>
      <c r="C34" s="187">
        <v>302</v>
      </c>
      <c r="D34" s="189" t="s">
        <v>431</v>
      </c>
      <c r="E34" s="188">
        <v>2008</v>
      </c>
      <c r="F34" s="190" t="s">
        <v>261</v>
      </c>
      <c r="G34" s="189" t="s">
        <v>680</v>
      </c>
      <c r="H34" s="190" t="s">
        <v>682</v>
      </c>
      <c r="I34" s="191">
        <v>269</v>
      </c>
      <c r="J34" s="192"/>
      <c r="K34" s="191">
        <v>269</v>
      </c>
      <c r="L34" s="191">
        <v>43</v>
      </c>
      <c r="M34" s="193">
        <v>0.15985130111524162</v>
      </c>
      <c r="N34" s="194">
        <v>57835</v>
      </c>
      <c r="O34" s="195"/>
      <c r="P34" s="191">
        <v>0</v>
      </c>
      <c r="Q34" s="191">
        <v>0</v>
      </c>
      <c r="R34" s="193">
        <v>0</v>
      </c>
      <c r="S34" s="194">
        <v>0</v>
      </c>
      <c r="T34" s="187"/>
      <c r="U34" s="196">
        <v>43</v>
      </c>
      <c r="V34" s="197">
        <v>57835</v>
      </c>
    </row>
    <row r="35" spans="1:22">
      <c r="A35" s="187">
        <v>101264</v>
      </c>
      <c r="B35" s="188">
        <v>3022009</v>
      </c>
      <c r="C35" s="187">
        <v>302</v>
      </c>
      <c r="D35" s="189" t="s">
        <v>431</v>
      </c>
      <c r="E35" s="188">
        <v>2009</v>
      </c>
      <c r="F35" s="190" t="s">
        <v>262</v>
      </c>
      <c r="G35" s="189" t="s">
        <v>680</v>
      </c>
      <c r="H35" s="190" t="s">
        <v>683</v>
      </c>
      <c r="I35" s="191">
        <v>418.5</v>
      </c>
      <c r="J35" s="192"/>
      <c r="K35" s="191">
        <v>418.5</v>
      </c>
      <c r="L35" s="191">
        <v>82</v>
      </c>
      <c r="M35" s="193">
        <v>0.1959378733572282</v>
      </c>
      <c r="N35" s="194">
        <v>110290</v>
      </c>
      <c r="O35" s="195"/>
      <c r="P35" s="191">
        <v>0</v>
      </c>
      <c r="Q35" s="191">
        <v>0</v>
      </c>
      <c r="R35" s="193">
        <v>0</v>
      </c>
      <c r="S35" s="194">
        <v>0</v>
      </c>
      <c r="T35" s="187"/>
      <c r="U35" s="196">
        <v>82</v>
      </c>
      <c r="V35" s="197">
        <v>110290</v>
      </c>
    </row>
    <row r="36" spans="1:22">
      <c r="A36" s="187">
        <v>101266</v>
      </c>
      <c r="B36" s="188">
        <v>3022011</v>
      </c>
      <c r="C36" s="187">
        <v>302</v>
      </c>
      <c r="D36" s="189" t="s">
        <v>431</v>
      </c>
      <c r="E36" s="188">
        <v>2011</v>
      </c>
      <c r="F36" s="190" t="s">
        <v>47</v>
      </c>
      <c r="G36" s="189" t="s">
        <v>680</v>
      </c>
      <c r="H36" s="190" t="s">
        <v>683</v>
      </c>
      <c r="I36" s="191">
        <v>209</v>
      </c>
      <c r="J36" s="192"/>
      <c r="K36" s="191">
        <v>209</v>
      </c>
      <c r="L36" s="191">
        <v>33</v>
      </c>
      <c r="M36" s="193">
        <v>0.15789473684210525</v>
      </c>
      <c r="N36" s="194">
        <v>44385</v>
      </c>
      <c r="O36" s="195"/>
      <c r="P36" s="191">
        <v>0</v>
      </c>
      <c r="Q36" s="191">
        <v>0</v>
      </c>
      <c r="R36" s="193">
        <v>0</v>
      </c>
      <c r="S36" s="194">
        <v>0</v>
      </c>
      <c r="T36" s="187"/>
      <c r="U36" s="196">
        <v>33</v>
      </c>
      <c r="V36" s="197">
        <v>44385</v>
      </c>
    </row>
    <row r="37" spans="1:22">
      <c r="A37" s="187">
        <v>101269</v>
      </c>
      <c r="B37" s="188">
        <v>3022014</v>
      </c>
      <c r="C37" s="187">
        <v>302</v>
      </c>
      <c r="D37" s="189" t="s">
        <v>431</v>
      </c>
      <c r="E37" s="188">
        <v>2014</v>
      </c>
      <c r="F37" s="190" t="s">
        <v>266</v>
      </c>
      <c r="G37" s="189" t="s">
        <v>680</v>
      </c>
      <c r="H37" s="190" t="s">
        <v>681</v>
      </c>
      <c r="I37" s="191">
        <v>628</v>
      </c>
      <c r="J37" s="192"/>
      <c r="K37" s="191">
        <v>628</v>
      </c>
      <c r="L37" s="191">
        <v>207</v>
      </c>
      <c r="M37" s="193">
        <v>0.32961783439490444</v>
      </c>
      <c r="N37" s="194">
        <v>278415</v>
      </c>
      <c r="O37" s="195"/>
      <c r="P37" s="191">
        <v>0</v>
      </c>
      <c r="Q37" s="191">
        <v>0</v>
      </c>
      <c r="R37" s="193">
        <v>0</v>
      </c>
      <c r="S37" s="194">
        <v>0</v>
      </c>
      <c r="T37" s="187"/>
      <c r="U37" s="196">
        <v>207</v>
      </c>
      <c r="V37" s="197">
        <v>278415</v>
      </c>
    </row>
    <row r="38" spans="1:22">
      <c r="A38" s="187">
        <v>101270</v>
      </c>
      <c r="B38" s="188">
        <v>3022015</v>
      </c>
      <c r="C38" s="187">
        <v>302</v>
      </c>
      <c r="D38" s="189" t="s">
        <v>431</v>
      </c>
      <c r="E38" s="188">
        <v>2015</v>
      </c>
      <c r="F38" s="190" t="s">
        <v>267</v>
      </c>
      <c r="G38" s="189" t="s">
        <v>680</v>
      </c>
      <c r="H38" s="190" t="s">
        <v>683</v>
      </c>
      <c r="I38" s="191">
        <v>210</v>
      </c>
      <c r="J38" s="192"/>
      <c r="K38" s="191">
        <v>210</v>
      </c>
      <c r="L38" s="191">
        <v>73</v>
      </c>
      <c r="M38" s="193">
        <v>0.34761904761904761</v>
      </c>
      <c r="N38" s="194">
        <v>98185</v>
      </c>
      <c r="O38" s="195"/>
      <c r="P38" s="191">
        <v>0</v>
      </c>
      <c r="Q38" s="191">
        <v>0</v>
      </c>
      <c r="R38" s="193">
        <v>0</v>
      </c>
      <c r="S38" s="194">
        <v>0</v>
      </c>
      <c r="T38" s="187"/>
      <c r="U38" s="196">
        <v>73</v>
      </c>
      <c r="V38" s="197">
        <v>98185</v>
      </c>
    </row>
    <row r="39" spans="1:22">
      <c r="A39" s="187">
        <v>101271</v>
      </c>
      <c r="B39" s="188">
        <v>3022016</v>
      </c>
      <c r="C39" s="187">
        <v>302</v>
      </c>
      <c r="D39" s="189" t="s">
        <v>431</v>
      </c>
      <c r="E39" s="188">
        <v>2016</v>
      </c>
      <c r="F39" s="190" t="s">
        <v>52</v>
      </c>
      <c r="G39" s="189" t="s">
        <v>680</v>
      </c>
      <c r="H39" s="190" t="s">
        <v>681</v>
      </c>
      <c r="I39" s="191">
        <v>210</v>
      </c>
      <c r="J39" s="192"/>
      <c r="K39" s="191">
        <v>210</v>
      </c>
      <c r="L39" s="191">
        <v>20</v>
      </c>
      <c r="M39" s="193">
        <v>9.5238095238095233E-2</v>
      </c>
      <c r="N39" s="194">
        <v>26900</v>
      </c>
      <c r="O39" s="195"/>
      <c r="P39" s="191">
        <v>0</v>
      </c>
      <c r="Q39" s="191">
        <v>0</v>
      </c>
      <c r="R39" s="193">
        <v>0</v>
      </c>
      <c r="S39" s="194">
        <v>0</v>
      </c>
      <c r="T39" s="187"/>
      <c r="U39" s="196">
        <v>20</v>
      </c>
      <c r="V39" s="197">
        <v>26900</v>
      </c>
    </row>
    <row r="40" spans="1:22">
      <c r="A40" s="187">
        <v>101272</v>
      </c>
      <c r="B40" s="188">
        <v>3022017</v>
      </c>
      <c r="C40" s="187">
        <v>302</v>
      </c>
      <c r="D40" s="189" t="s">
        <v>431</v>
      </c>
      <c r="E40" s="188">
        <v>2017</v>
      </c>
      <c r="F40" s="190" t="s">
        <v>268</v>
      </c>
      <c r="G40" s="189" t="s">
        <v>680</v>
      </c>
      <c r="H40" s="190" t="s">
        <v>683</v>
      </c>
      <c r="I40" s="191">
        <v>402</v>
      </c>
      <c r="J40" s="192"/>
      <c r="K40" s="191">
        <v>402</v>
      </c>
      <c r="L40" s="191">
        <v>99</v>
      </c>
      <c r="M40" s="193">
        <v>0.2462686567164179</v>
      </c>
      <c r="N40" s="194">
        <v>133155</v>
      </c>
      <c r="O40" s="195"/>
      <c r="P40" s="191">
        <v>0</v>
      </c>
      <c r="Q40" s="191">
        <v>0</v>
      </c>
      <c r="R40" s="193">
        <v>0</v>
      </c>
      <c r="S40" s="194">
        <v>0</v>
      </c>
      <c r="T40" s="187"/>
      <c r="U40" s="196">
        <v>99</v>
      </c>
      <c r="V40" s="197">
        <v>133155</v>
      </c>
    </row>
    <row r="41" spans="1:22">
      <c r="A41" s="187">
        <v>101274</v>
      </c>
      <c r="B41" s="188">
        <v>3022019</v>
      </c>
      <c r="C41" s="187">
        <v>302</v>
      </c>
      <c r="D41" s="189" t="s">
        <v>431</v>
      </c>
      <c r="E41" s="188">
        <v>2019</v>
      </c>
      <c r="F41" s="190" t="s">
        <v>55</v>
      </c>
      <c r="G41" s="189" t="s">
        <v>680</v>
      </c>
      <c r="H41" s="190" t="s">
        <v>681</v>
      </c>
      <c r="I41" s="191">
        <v>213</v>
      </c>
      <c r="J41" s="192"/>
      <c r="K41" s="191">
        <v>213</v>
      </c>
      <c r="L41" s="191">
        <v>39</v>
      </c>
      <c r="M41" s="193">
        <v>0.18309859154929578</v>
      </c>
      <c r="N41" s="194">
        <v>52455</v>
      </c>
      <c r="O41" s="195"/>
      <c r="P41" s="191">
        <v>0</v>
      </c>
      <c r="Q41" s="191">
        <v>0</v>
      </c>
      <c r="R41" s="193">
        <v>0</v>
      </c>
      <c r="S41" s="194">
        <v>0</v>
      </c>
      <c r="T41" s="187"/>
      <c r="U41" s="196">
        <v>39</v>
      </c>
      <c r="V41" s="197">
        <v>52455</v>
      </c>
    </row>
    <row r="42" spans="1:22">
      <c r="A42" s="187">
        <v>101275</v>
      </c>
      <c r="B42" s="188">
        <v>3022021</v>
      </c>
      <c r="C42" s="187">
        <v>302</v>
      </c>
      <c r="D42" s="189" t="s">
        <v>431</v>
      </c>
      <c r="E42" s="188">
        <v>2021</v>
      </c>
      <c r="F42" s="190" t="s">
        <v>474</v>
      </c>
      <c r="G42" s="189" t="s">
        <v>680</v>
      </c>
      <c r="H42" s="190" t="s">
        <v>681</v>
      </c>
      <c r="I42" s="191">
        <v>443</v>
      </c>
      <c r="J42" s="192"/>
      <c r="K42" s="191">
        <v>443</v>
      </c>
      <c r="L42" s="191">
        <v>144</v>
      </c>
      <c r="M42" s="193">
        <v>0.32505643340857787</v>
      </c>
      <c r="N42" s="194">
        <v>193680</v>
      </c>
      <c r="O42" s="195"/>
      <c r="P42" s="191">
        <v>0</v>
      </c>
      <c r="Q42" s="191">
        <v>0</v>
      </c>
      <c r="R42" s="193">
        <v>0</v>
      </c>
      <c r="S42" s="194">
        <v>0</v>
      </c>
      <c r="T42" s="187"/>
      <c r="U42" s="196">
        <v>144</v>
      </c>
      <c r="V42" s="197">
        <v>193680</v>
      </c>
    </row>
    <row r="43" spans="1:22">
      <c r="A43" s="187">
        <v>101277</v>
      </c>
      <c r="B43" s="188">
        <v>3022023</v>
      </c>
      <c r="C43" s="187">
        <v>302</v>
      </c>
      <c r="D43" s="189" t="s">
        <v>431</v>
      </c>
      <c r="E43" s="188">
        <v>2023</v>
      </c>
      <c r="F43" s="190" t="s">
        <v>412</v>
      </c>
      <c r="G43" s="189" t="s">
        <v>680</v>
      </c>
      <c r="H43" s="190" t="s">
        <v>681</v>
      </c>
      <c r="I43" s="191">
        <v>501.5</v>
      </c>
      <c r="J43" s="192"/>
      <c r="K43" s="191">
        <v>501.5</v>
      </c>
      <c r="L43" s="191">
        <v>194.5</v>
      </c>
      <c r="M43" s="193">
        <v>0.38783649052841473</v>
      </c>
      <c r="N43" s="194">
        <v>261602.5</v>
      </c>
      <c r="O43" s="195"/>
      <c r="P43" s="191">
        <v>0</v>
      </c>
      <c r="Q43" s="191">
        <v>0</v>
      </c>
      <c r="R43" s="193">
        <v>0</v>
      </c>
      <c r="S43" s="194">
        <v>0</v>
      </c>
      <c r="T43" s="187"/>
      <c r="U43" s="196">
        <v>194.5</v>
      </c>
      <c r="V43" s="197">
        <v>261602.5</v>
      </c>
    </row>
    <row r="44" spans="1:22">
      <c r="A44" s="187">
        <v>101278</v>
      </c>
      <c r="B44" s="188">
        <v>3022024</v>
      </c>
      <c r="C44" s="187">
        <v>302</v>
      </c>
      <c r="D44" s="189" t="s">
        <v>431</v>
      </c>
      <c r="E44" s="188">
        <v>2024</v>
      </c>
      <c r="F44" s="190" t="s">
        <v>421</v>
      </c>
      <c r="G44" s="189" t="s">
        <v>680</v>
      </c>
      <c r="H44" s="190" t="s">
        <v>681</v>
      </c>
      <c r="I44" s="191">
        <v>196.5</v>
      </c>
      <c r="J44" s="192"/>
      <c r="K44" s="191">
        <v>196.5</v>
      </c>
      <c r="L44" s="191">
        <v>66.5</v>
      </c>
      <c r="M44" s="193">
        <v>0.33842239185750639</v>
      </c>
      <c r="N44" s="194">
        <v>89442.5</v>
      </c>
      <c r="O44" s="195"/>
      <c r="P44" s="191">
        <v>0</v>
      </c>
      <c r="Q44" s="191">
        <v>0</v>
      </c>
      <c r="R44" s="193">
        <v>0</v>
      </c>
      <c r="S44" s="194">
        <v>0</v>
      </c>
      <c r="T44" s="187"/>
      <c r="U44" s="196">
        <v>66.5</v>
      </c>
      <c r="V44" s="197">
        <v>89442.5</v>
      </c>
    </row>
    <row r="45" spans="1:22">
      <c r="A45" s="187">
        <v>101279</v>
      </c>
      <c r="B45" s="188">
        <v>3022025</v>
      </c>
      <c r="C45" s="187">
        <v>302</v>
      </c>
      <c r="D45" s="189" t="s">
        <v>431</v>
      </c>
      <c r="E45" s="188">
        <v>2025</v>
      </c>
      <c r="F45" s="190" t="s">
        <v>62</v>
      </c>
      <c r="G45" s="189" t="s">
        <v>680</v>
      </c>
      <c r="H45" s="190" t="s">
        <v>683</v>
      </c>
      <c r="I45" s="191">
        <v>318</v>
      </c>
      <c r="J45" s="192"/>
      <c r="K45" s="191">
        <v>318</v>
      </c>
      <c r="L45" s="191">
        <v>7</v>
      </c>
      <c r="M45" s="193">
        <v>2.20125786163522E-2</v>
      </c>
      <c r="N45" s="194">
        <v>9415</v>
      </c>
      <c r="O45" s="195"/>
      <c r="P45" s="191">
        <v>0</v>
      </c>
      <c r="Q45" s="191">
        <v>0</v>
      </c>
      <c r="R45" s="193">
        <v>0</v>
      </c>
      <c r="S45" s="194">
        <v>0</v>
      </c>
      <c r="T45" s="187"/>
      <c r="U45" s="196">
        <v>7</v>
      </c>
      <c r="V45" s="197">
        <v>9415</v>
      </c>
    </row>
    <row r="46" spans="1:22">
      <c r="A46" s="187">
        <v>101280</v>
      </c>
      <c r="B46" s="188">
        <v>3022026</v>
      </c>
      <c r="C46" s="187">
        <v>302</v>
      </c>
      <c r="D46" s="189" t="s">
        <v>431</v>
      </c>
      <c r="E46" s="188">
        <v>2026</v>
      </c>
      <c r="F46" s="190" t="s">
        <v>270</v>
      </c>
      <c r="G46" s="189" t="s">
        <v>680</v>
      </c>
      <c r="H46" s="190" t="s">
        <v>681</v>
      </c>
      <c r="I46" s="191">
        <v>497</v>
      </c>
      <c r="J46" s="192"/>
      <c r="K46" s="191">
        <v>497</v>
      </c>
      <c r="L46" s="191">
        <v>69</v>
      </c>
      <c r="M46" s="193">
        <v>0.13883299798792756</v>
      </c>
      <c r="N46" s="194">
        <v>92805</v>
      </c>
      <c r="O46" s="195"/>
      <c r="P46" s="191">
        <v>0</v>
      </c>
      <c r="Q46" s="191">
        <v>0</v>
      </c>
      <c r="R46" s="193">
        <v>0</v>
      </c>
      <c r="S46" s="194">
        <v>0</v>
      </c>
      <c r="T46" s="187"/>
      <c r="U46" s="196">
        <v>69</v>
      </c>
      <c r="V46" s="197">
        <v>92805</v>
      </c>
    </row>
    <row r="47" spans="1:22">
      <c r="A47" s="187">
        <v>101281</v>
      </c>
      <c r="B47" s="188">
        <v>3022027</v>
      </c>
      <c r="C47" s="187">
        <v>302</v>
      </c>
      <c r="D47" s="189" t="s">
        <v>431</v>
      </c>
      <c r="E47" s="188">
        <v>2027</v>
      </c>
      <c r="F47" s="190" t="s">
        <v>65</v>
      </c>
      <c r="G47" s="189" t="s">
        <v>680</v>
      </c>
      <c r="H47" s="190" t="s">
        <v>682</v>
      </c>
      <c r="I47" s="191">
        <v>351</v>
      </c>
      <c r="J47" s="192"/>
      <c r="K47" s="191">
        <v>351</v>
      </c>
      <c r="L47" s="191">
        <v>65</v>
      </c>
      <c r="M47" s="193">
        <v>0.18518518518518517</v>
      </c>
      <c r="N47" s="194">
        <v>87425</v>
      </c>
      <c r="O47" s="195"/>
      <c r="P47" s="191">
        <v>0</v>
      </c>
      <c r="Q47" s="191">
        <v>0</v>
      </c>
      <c r="R47" s="193">
        <v>0</v>
      </c>
      <c r="S47" s="194">
        <v>0</v>
      </c>
      <c r="T47" s="187"/>
      <c r="U47" s="196">
        <v>65</v>
      </c>
      <c r="V47" s="197">
        <v>87425</v>
      </c>
    </row>
    <row r="48" spans="1:22">
      <c r="A48" s="187">
        <v>101282</v>
      </c>
      <c r="B48" s="188">
        <v>3022028</v>
      </c>
      <c r="C48" s="187">
        <v>302</v>
      </c>
      <c r="D48" s="189" t="s">
        <v>431</v>
      </c>
      <c r="E48" s="188">
        <v>2028</v>
      </c>
      <c r="F48" s="190" t="s">
        <v>64</v>
      </c>
      <c r="G48" s="189" t="s">
        <v>680</v>
      </c>
      <c r="H48" s="190" t="s">
        <v>682</v>
      </c>
      <c r="I48" s="191">
        <v>233</v>
      </c>
      <c r="J48" s="192"/>
      <c r="K48" s="191">
        <v>233</v>
      </c>
      <c r="L48" s="191">
        <v>47</v>
      </c>
      <c r="M48" s="193">
        <v>0.20171673819742489</v>
      </c>
      <c r="N48" s="194">
        <v>63215</v>
      </c>
      <c r="O48" s="195"/>
      <c r="P48" s="191">
        <v>0</v>
      </c>
      <c r="Q48" s="191">
        <v>0</v>
      </c>
      <c r="R48" s="193">
        <v>0</v>
      </c>
      <c r="S48" s="194">
        <v>0</v>
      </c>
      <c r="T48" s="187"/>
      <c r="U48" s="196">
        <v>47</v>
      </c>
      <c r="V48" s="197">
        <v>63215</v>
      </c>
    </row>
    <row r="49" spans="1:22">
      <c r="A49" s="187">
        <v>101283</v>
      </c>
      <c r="B49" s="188">
        <v>3022029</v>
      </c>
      <c r="C49" s="187">
        <v>302</v>
      </c>
      <c r="D49" s="189" t="s">
        <v>431</v>
      </c>
      <c r="E49" s="188">
        <v>2029</v>
      </c>
      <c r="F49" s="190" t="s">
        <v>271</v>
      </c>
      <c r="G49" s="189" t="s">
        <v>680</v>
      </c>
      <c r="H49" s="190" t="s">
        <v>681</v>
      </c>
      <c r="I49" s="191">
        <v>414</v>
      </c>
      <c r="J49" s="192"/>
      <c r="K49" s="191">
        <v>414</v>
      </c>
      <c r="L49" s="191">
        <v>155</v>
      </c>
      <c r="M49" s="193">
        <v>0.37439613526570048</v>
      </c>
      <c r="N49" s="194">
        <v>208475</v>
      </c>
      <c r="O49" s="195"/>
      <c r="P49" s="191">
        <v>0</v>
      </c>
      <c r="Q49" s="191">
        <v>0</v>
      </c>
      <c r="R49" s="193">
        <v>0</v>
      </c>
      <c r="S49" s="194">
        <v>0</v>
      </c>
      <c r="T49" s="187"/>
      <c r="U49" s="196">
        <v>155</v>
      </c>
      <c r="V49" s="197">
        <v>208475</v>
      </c>
    </row>
    <row r="50" spans="1:22">
      <c r="A50" s="187">
        <v>101285</v>
      </c>
      <c r="B50" s="188">
        <v>3022031</v>
      </c>
      <c r="C50" s="187">
        <v>302</v>
      </c>
      <c r="D50" s="189" t="s">
        <v>431</v>
      </c>
      <c r="E50" s="188">
        <v>2031</v>
      </c>
      <c r="F50" s="190" t="s">
        <v>272</v>
      </c>
      <c r="G50" s="189" t="s">
        <v>680</v>
      </c>
      <c r="H50" s="190" t="s">
        <v>683</v>
      </c>
      <c r="I50" s="191">
        <v>186</v>
      </c>
      <c r="J50" s="192"/>
      <c r="K50" s="191">
        <v>186</v>
      </c>
      <c r="L50" s="191">
        <v>61</v>
      </c>
      <c r="M50" s="193">
        <v>0.32795698924731181</v>
      </c>
      <c r="N50" s="194">
        <v>82045</v>
      </c>
      <c r="O50" s="195"/>
      <c r="P50" s="191">
        <v>0</v>
      </c>
      <c r="Q50" s="191">
        <v>0</v>
      </c>
      <c r="R50" s="193">
        <v>0</v>
      </c>
      <c r="S50" s="194">
        <v>0</v>
      </c>
      <c r="T50" s="187"/>
      <c r="U50" s="196">
        <v>61</v>
      </c>
      <c r="V50" s="197">
        <v>82045</v>
      </c>
    </row>
    <row r="51" spans="1:22">
      <c r="A51" s="187">
        <v>101286</v>
      </c>
      <c r="B51" s="188">
        <v>3022032</v>
      </c>
      <c r="C51" s="187">
        <v>302</v>
      </c>
      <c r="D51" s="189" t="s">
        <v>431</v>
      </c>
      <c r="E51" s="188">
        <v>2032</v>
      </c>
      <c r="F51" s="190" t="s">
        <v>273</v>
      </c>
      <c r="G51" s="189" t="s">
        <v>680</v>
      </c>
      <c r="H51" s="190" t="s">
        <v>683</v>
      </c>
      <c r="I51" s="191">
        <v>438</v>
      </c>
      <c r="J51" s="192"/>
      <c r="K51" s="191">
        <v>438</v>
      </c>
      <c r="L51" s="191">
        <v>84</v>
      </c>
      <c r="M51" s="193">
        <v>0.19178082191780821</v>
      </c>
      <c r="N51" s="194">
        <v>112980</v>
      </c>
      <c r="O51" s="195"/>
      <c r="P51" s="191">
        <v>0</v>
      </c>
      <c r="Q51" s="191">
        <v>0</v>
      </c>
      <c r="R51" s="193">
        <v>0</v>
      </c>
      <c r="S51" s="194">
        <v>0</v>
      </c>
      <c r="T51" s="187"/>
      <c r="U51" s="196">
        <v>84</v>
      </c>
      <c r="V51" s="197">
        <v>112980</v>
      </c>
    </row>
    <row r="52" spans="1:22">
      <c r="A52" s="187">
        <v>101289</v>
      </c>
      <c r="B52" s="188">
        <v>3022036</v>
      </c>
      <c r="C52" s="187">
        <v>302</v>
      </c>
      <c r="D52" s="189" t="s">
        <v>431</v>
      </c>
      <c r="E52" s="188">
        <v>2036</v>
      </c>
      <c r="F52" s="190" t="s">
        <v>422</v>
      </c>
      <c r="G52" s="189" t="s">
        <v>680</v>
      </c>
      <c r="H52" s="190" t="s">
        <v>683</v>
      </c>
      <c r="I52" s="191">
        <v>236</v>
      </c>
      <c r="J52" s="192"/>
      <c r="K52" s="191">
        <v>236</v>
      </c>
      <c r="L52" s="191">
        <v>103</v>
      </c>
      <c r="M52" s="193">
        <v>0.4364406779661017</v>
      </c>
      <c r="N52" s="194">
        <v>138535</v>
      </c>
      <c r="O52" s="195"/>
      <c r="P52" s="191">
        <v>0</v>
      </c>
      <c r="Q52" s="191">
        <v>0</v>
      </c>
      <c r="R52" s="193">
        <v>0</v>
      </c>
      <c r="S52" s="194">
        <v>0</v>
      </c>
      <c r="T52" s="187"/>
      <c r="U52" s="196">
        <v>103</v>
      </c>
      <c r="V52" s="197">
        <v>138535</v>
      </c>
    </row>
    <row r="53" spans="1:22">
      <c r="A53" s="187">
        <v>101290</v>
      </c>
      <c r="B53" s="188">
        <v>3022037</v>
      </c>
      <c r="C53" s="187">
        <v>302</v>
      </c>
      <c r="D53" s="189" t="s">
        <v>431</v>
      </c>
      <c r="E53" s="188">
        <v>2037</v>
      </c>
      <c r="F53" s="190" t="s">
        <v>275</v>
      </c>
      <c r="G53" s="189" t="s">
        <v>680</v>
      </c>
      <c r="H53" s="190" t="s">
        <v>682</v>
      </c>
      <c r="I53" s="191">
        <v>265</v>
      </c>
      <c r="J53" s="192"/>
      <c r="K53" s="191">
        <v>265</v>
      </c>
      <c r="L53" s="191">
        <v>43</v>
      </c>
      <c r="M53" s="193">
        <v>0.16226415094339622</v>
      </c>
      <c r="N53" s="194">
        <v>57835</v>
      </c>
      <c r="O53" s="195"/>
      <c r="P53" s="191">
        <v>0</v>
      </c>
      <c r="Q53" s="191">
        <v>0</v>
      </c>
      <c r="R53" s="193">
        <v>0</v>
      </c>
      <c r="S53" s="194">
        <v>0</v>
      </c>
      <c r="T53" s="187"/>
      <c r="U53" s="196">
        <v>43</v>
      </c>
      <c r="V53" s="197">
        <v>57835</v>
      </c>
    </row>
    <row r="54" spans="1:22">
      <c r="A54" s="187">
        <v>101293</v>
      </c>
      <c r="B54" s="188">
        <v>3022042</v>
      </c>
      <c r="C54" s="187">
        <v>302</v>
      </c>
      <c r="D54" s="189" t="s">
        <v>431</v>
      </c>
      <c r="E54" s="188">
        <v>2042</v>
      </c>
      <c r="F54" s="190" t="s">
        <v>279</v>
      </c>
      <c r="G54" s="189" t="s">
        <v>680</v>
      </c>
      <c r="H54" s="190" t="s">
        <v>683</v>
      </c>
      <c r="I54" s="191">
        <v>425</v>
      </c>
      <c r="J54" s="192"/>
      <c r="K54" s="191">
        <v>425</v>
      </c>
      <c r="L54" s="191">
        <v>33</v>
      </c>
      <c r="M54" s="193">
        <v>7.7647058823529416E-2</v>
      </c>
      <c r="N54" s="194">
        <v>44385</v>
      </c>
      <c r="O54" s="195"/>
      <c r="P54" s="191">
        <v>0</v>
      </c>
      <c r="Q54" s="191">
        <v>0</v>
      </c>
      <c r="R54" s="193">
        <v>0</v>
      </c>
      <c r="S54" s="194">
        <v>0</v>
      </c>
      <c r="T54" s="187"/>
      <c r="U54" s="196">
        <v>33</v>
      </c>
      <c r="V54" s="197">
        <v>44385</v>
      </c>
    </row>
    <row r="55" spans="1:22">
      <c r="A55" s="187">
        <v>101294</v>
      </c>
      <c r="B55" s="188">
        <v>3022043</v>
      </c>
      <c r="C55" s="187">
        <v>302</v>
      </c>
      <c r="D55" s="189" t="s">
        <v>431</v>
      </c>
      <c r="E55" s="188">
        <v>2043</v>
      </c>
      <c r="F55" s="190" t="s">
        <v>81</v>
      </c>
      <c r="G55" s="189" t="s">
        <v>680</v>
      </c>
      <c r="H55" s="190" t="s">
        <v>682</v>
      </c>
      <c r="I55" s="191">
        <v>447</v>
      </c>
      <c r="J55" s="192"/>
      <c r="K55" s="191">
        <v>447</v>
      </c>
      <c r="L55" s="191">
        <v>89</v>
      </c>
      <c r="M55" s="193">
        <v>0.19910514541387025</v>
      </c>
      <c r="N55" s="194">
        <v>119705</v>
      </c>
      <c r="O55" s="195"/>
      <c r="P55" s="191">
        <v>0</v>
      </c>
      <c r="Q55" s="191">
        <v>0</v>
      </c>
      <c r="R55" s="193">
        <v>0</v>
      </c>
      <c r="S55" s="194">
        <v>0</v>
      </c>
      <c r="T55" s="187"/>
      <c r="U55" s="196">
        <v>89</v>
      </c>
      <c r="V55" s="197">
        <v>119705</v>
      </c>
    </row>
    <row r="56" spans="1:22">
      <c r="A56" s="187">
        <v>101295</v>
      </c>
      <c r="B56" s="188">
        <v>3022044</v>
      </c>
      <c r="C56" s="187">
        <v>302</v>
      </c>
      <c r="D56" s="189" t="s">
        <v>431</v>
      </c>
      <c r="E56" s="188">
        <v>2044</v>
      </c>
      <c r="F56" s="190" t="s">
        <v>80</v>
      </c>
      <c r="G56" s="189" t="s">
        <v>680</v>
      </c>
      <c r="H56" s="190" t="s">
        <v>682</v>
      </c>
      <c r="I56" s="191">
        <v>351</v>
      </c>
      <c r="J56" s="192"/>
      <c r="K56" s="191">
        <v>351</v>
      </c>
      <c r="L56" s="191">
        <v>32</v>
      </c>
      <c r="M56" s="193">
        <v>9.1168091168091173E-2</v>
      </c>
      <c r="N56" s="194">
        <v>43040</v>
      </c>
      <c r="O56" s="195"/>
      <c r="P56" s="191">
        <v>0</v>
      </c>
      <c r="Q56" s="191">
        <v>0</v>
      </c>
      <c r="R56" s="193">
        <v>0</v>
      </c>
      <c r="S56" s="194">
        <v>0</v>
      </c>
      <c r="T56" s="187"/>
      <c r="U56" s="196">
        <v>32</v>
      </c>
      <c r="V56" s="197">
        <v>43040</v>
      </c>
    </row>
    <row r="57" spans="1:22">
      <c r="A57" s="187">
        <v>101296</v>
      </c>
      <c r="B57" s="188">
        <v>3022045</v>
      </c>
      <c r="C57" s="187">
        <v>302</v>
      </c>
      <c r="D57" s="189" t="s">
        <v>431</v>
      </c>
      <c r="E57" s="188">
        <v>2045</v>
      </c>
      <c r="F57" s="190" t="s">
        <v>280</v>
      </c>
      <c r="G57" s="189" t="s">
        <v>680</v>
      </c>
      <c r="H57" s="190" t="s">
        <v>682</v>
      </c>
      <c r="I57" s="191">
        <v>211</v>
      </c>
      <c r="J57" s="192"/>
      <c r="K57" s="191">
        <v>211</v>
      </c>
      <c r="L57" s="191">
        <v>46</v>
      </c>
      <c r="M57" s="193">
        <v>0.21800947867298578</v>
      </c>
      <c r="N57" s="194">
        <v>61870</v>
      </c>
      <c r="O57" s="195"/>
      <c r="P57" s="191">
        <v>0</v>
      </c>
      <c r="Q57" s="191">
        <v>0</v>
      </c>
      <c r="R57" s="193">
        <v>0</v>
      </c>
      <c r="S57" s="194">
        <v>0</v>
      </c>
      <c r="T57" s="187"/>
      <c r="U57" s="196">
        <v>46</v>
      </c>
      <c r="V57" s="197">
        <v>61870</v>
      </c>
    </row>
    <row r="58" spans="1:22">
      <c r="A58" s="187">
        <v>146803</v>
      </c>
      <c r="B58" s="188">
        <v>3022053</v>
      </c>
      <c r="C58" s="187">
        <v>302</v>
      </c>
      <c r="D58" s="189" t="s">
        <v>431</v>
      </c>
      <c r="E58" s="188">
        <v>2053</v>
      </c>
      <c r="F58" s="190" t="s">
        <v>481</v>
      </c>
      <c r="G58" s="189" t="s">
        <v>680</v>
      </c>
      <c r="H58" s="190" t="s">
        <v>681</v>
      </c>
      <c r="I58" s="191">
        <v>197</v>
      </c>
      <c r="J58" s="192"/>
      <c r="K58" s="191">
        <v>197</v>
      </c>
      <c r="L58" s="191">
        <v>2</v>
      </c>
      <c r="M58" s="193">
        <v>1.015228426395939E-2</v>
      </c>
      <c r="N58" s="194">
        <v>2690</v>
      </c>
      <c r="O58" s="195"/>
      <c r="P58" s="191">
        <v>0</v>
      </c>
      <c r="Q58" s="191">
        <v>0</v>
      </c>
      <c r="R58" s="193">
        <v>0</v>
      </c>
      <c r="S58" s="194">
        <v>0</v>
      </c>
      <c r="T58" s="187"/>
      <c r="U58" s="196">
        <v>2</v>
      </c>
      <c r="V58" s="197">
        <v>2690</v>
      </c>
    </row>
    <row r="59" spans="1:22">
      <c r="A59" s="187">
        <v>101298</v>
      </c>
      <c r="B59" s="188">
        <v>3022054</v>
      </c>
      <c r="C59" s="187">
        <v>302</v>
      </c>
      <c r="D59" s="189" t="s">
        <v>431</v>
      </c>
      <c r="E59" s="188">
        <v>2054</v>
      </c>
      <c r="F59" s="190" t="s">
        <v>298</v>
      </c>
      <c r="G59" s="189" t="s">
        <v>680</v>
      </c>
      <c r="H59" s="190" t="s">
        <v>683</v>
      </c>
      <c r="I59" s="191">
        <v>207</v>
      </c>
      <c r="J59" s="192"/>
      <c r="K59" s="191">
        <v>207</v>
      </c>
      <c r="L59" s="191">
        <v>12</v>
      </c>
      <c r="M59" s="193">
        <v>5.7971014492753624E-2</v>
      </c>
      <c r="N59" s="194">
        <v>16140</v>
      </c>
      <c r="O59" s="195"/>
      <c r="P59" s="191">
        <v>0</v>
      </c>
      <c r="Q59" s="191">
        <v>0</v>
      </c>
      <c r="R59" s="193">
        <v>0</v>
      </c>
      <c r="S59" s="194">
        <v>0</v>
      </c>
      <c r="T59" s="187"/>
      <c r="U59" s="196">
        <v>12</v>
      </c>
      <c r="V59" s="197">
        <v>16140</v>
      </c>
    </row>
    <row r="60" spans="1:22">
      <c r="A60" s="187">
        <v>101299</v>
      </c>
      <c r="B60" s="188">
        <v>3022055</v>
      </c>
      <c r="C60" s="187">
        <v>302</v>
      </c>
      <c r="D60" s="189" t="s">
        <v>431</v>
      </c>
      <c r="E60" s="188">
        <v>2055</v>
      </c>
      <c r="F60" s="190" t="s">
        <v>295</v>
      </c>
      <c r="G60" s="189" t="s">
        <v>680</v>
      </c>
      <c r="H60" s="190" t="s">
        <v>682</v>
      </c>
      <c r="I60" s="191">
        <v>200</v>
      </c>
      <c r="J60" s="192"/>
      <c r="K60" s="191">
        <v>200</v>
      </c>
      <c r="L60" s="191">
        <v>77</v>
      </c>
      <c r="M60" s="193">
        <v>0.38500000000000001</v>
      </c>
      <c r="N60" s="194">
        <v>103565</v>
      </c>
      <c r="O60" s="195"/>
      <c r="P60" s="191">
        <v>0</v>
      </c>
      <c r="Q60" s="191">
        <v>0</v>
      </c>
      <c r="R60" s="193">
        <v>0</v>
      </c>
      <c r="S60" s="194">
        <v>0</v>
      </c>
      <c r="T60" s="187"/>
      <c r="U60" s="196">
        <v>77</v>
      </c>
      <c r="V60" s="197">
        <v>103565</v>
      </c>
    </row>
    <row r="61" spans="1:22">
      <c r="A61" s="187">
        <v>101301</v>
      </c>
      <c r="B61" s="188">
        <v>3022057</v>
      </c>
      <c r="C61" s="187">
        <v>302</v>
      </c>
      <c r="D61" s="189" t="s">
        <v>431</v>
      </c>
      <c r="E61" s="188">
        <v>2057</v>
      </c>
      <c r="F61" s="190" t="s">
        <v>433</v>
      </c>
      <c r="G61" s="189" t="s">
        <v>680</v>
      </c>
      <c r="H61" s="190" t="s">
        <v>683</v>
      </c>
      <c r="I61" s="191">
        <v>449</v>
      </c>
      <c r="J61" s="192"/>
      <c r="K61" s="191">
        <v>449</v>
      </c>
      <c r="L61" s="191">
        <v>182</v>
      </c>
      <c r="M61" s="193">
        <v>0.40534521158129178</v>
      </c>
      <c r="N61" s="194">
        <v>244790</v>
      </c>
      <c r="O61" s="195"/>
      <c r="P61" s="191">
        <v>0</v>
      </c>
      <c r="Q61" s="191">
        <v>0</v>
      </c>
      <c r="R61" s="193">
        <v>0</v>
      </c>
      <c r="S61" s="194">
        <v>0</v>
      </c>
      <c r="T61" s="187"/>
      <c r="U61" s="196">
        <v>182</v>
      </c>
      <c r="V61" s="197">
        <v>244790</v>
      </c>
    </row>
    <row r="62" spans="1:22">
      <c r="A62" s="187">
        <v>101304</v>
      </c>
      <c r="B62" s="188">
        <v>3022060</v>
      </c>
      <c r="C62" s="187">
        <v>302</v>
      </c>
      <c r="D62" s="189" t="s">
        <v>431</v>
      </c>
      <c r="E62" s="188">
        <v>2060</v>
      </c>
      <c r="F62" s="190" t="s">
        <v>297</v>
      </c>
      <c r="G62" s="189" t="s">
        <v>680</v>
      </c>
      <c r="H62" s="190" t="s">
        <v>683</v>
      </c>
      <c r="I62" s="191">
        <v>421</v>
      </c>
      <c r="J62" s="192"/>
      <c r="K62" s="191">
        <v>421</v>
      </c>
      <c r="L62" s="191">
        <v>130</v>
      </c>
      <c r="M62" s="193">
        <v>0.30878859857482183</v>
      </c>
      <c r="N62" s="194">
        <v>174850</v>
      </c>
      <c r="O62" s="195"/>
      <c r="P62" s="191">
        <v>0</v>
      </c>
      <c r="Q62" s="191">
        <v>0</v>
      </c>
      <c r="R62" s="193">
        <v>0</v>
      </c>
      <c r="S62" s="194">
        <v>0</v>
      </c>
      <c r="T62" s="187"/>
      <c r="U62" s="196">
        <v>130</v>
      </c>
      <c r="V62" s="197">
        <v>174850</v>
      </c>
    </row>
    <row r="63" spans="1:22">
      <c r="A63" s="187">
        <v>101309</v>
      </c>
      <c r="B63" s="188">
        <v>3022067</v>
      </c>
      <c r="C63" s="187">
        <v>302</v>
      </c>
      <c r="D63" s="189" t="s">
        <v>431</v>
      </c>
      <c r="E63" s="188">
        <v>2067</v>
      </c>
      <c r="F63" s="190" t="s">
        <v>263</v>
      </c>
      <c r="G63" s="189" t="s">
        <v>680</v>
      </c>
      <c r="H63" s="190" t="s">
        <v>682</v>
      </c>
      <c r="I63" s="191">
        <v>234</v>
      </c>
      <c r="J63" s="192"/>
      <c r="K63" s="191">
        <v>234</v>
      </c>
      <c r="L63" s="191">
        <v>57</v>
      </c>
      <c r="M63" s="193">
        <v>0.24358974358974358</v>
      </c>
      <c r="N63" s="194">
        <v>76665</v>
      </c>
      <c r="O63" s="195"/>
      <c r="P63" s="191">
        <v>0</v>
      </c>
      <c r="Q63" s="191">
        <v>0</v>
      </c>
      <c r="R63" s="193">
        <v>0</v>
      </c>
      <c r="S63" s="194">
        <v>0</v>
      </c>
      <c r="T63" s="187"/>
      <c r="U63" s="196">
        <v>57</v>
      </c>
      <c r="V63" s="197">
        <v>76665</v>
      </c>
    </row>
    <row r="64" spans="1:22">
      <c r="A64" s="187">
        <v>101311</v>
      </c>
      <c r="B64" s="188">
        <v>3022070</v>
      </c>
      <c r="C64" s="187">
        <v>302</v>
      </c>
      <c r="D64" s="189" t="s">
        <v>431</v>
      </c>
      <c r="E64" s="188">
        <v>2070</v>
      </c>
      <c r="F64" s="190" t="s">
        <v>290</v>
      </c>
      <c r="G64" s="189" t="s">
        <v>680</v>
      </c>
      <c r="H64" s="190" t="s">
        <v>681</v>
      </c>
      <c r="I64" s="191">
        <v>209</v>
      </c>
      <c r="J64" s="192"/>
      <c r="K64" s="191">
        <v>209</v>
      </c>
      <c r="L64" s="191">
        <v>81</v>
      </c>
      <c r="M64" s="193">
        <v>0.38755980861244022</v>
      </c>
      <c r="N64" s="194">
        <v>108945</v>
      </c>
      <c r="O64" s="195"/>
      <c r="P64" s="191">
        <v>0</v>
      </c>
      <c r="Q64" s="191">
        <v>0</v>
      </c>
      <c r="R64" s="193">
        <v>0</v>
      </c>
      <c r="S64" s="194">
        <v>0</v>
      </c>
      <c r="T64" s="187"/>
      <c r="U64" s="196">
        <v>81</v>
      </c>
      <c r="V64" s="197">
        <v>108945</v>
      </c>
    </row>
    <row r="65" spans="1:22">
      <c r="A65" s="187">
        <v>101312</v>
      </c>
      <c r="B65" s="188">
        <v>3022071</v>
      </c>
      <c r="C65" s="187">
        <v>302</v>
      </c>
      <c r="D65" s="189" t="s">
        <v>431</v>
      </c>
      <c r="E65" s="188"/>
      <c r="F65" s="190" t="s">
        <v>423</v>
      </c>
      <c r="G65" s="189" t="s">
        <v>680</v>
      </c>
      <c r="H65" s="190" t="s">
        <v>683</v>
      </c>
      <c r="I65" s="191">
        <v>177</v>
      </c>
      <c r="J65" s="192"/>
      <c r="K65" s="191">
        <v>177</v>
      </c>
      <c r="L65" s="191">
        <v>34</v>
      </c>
      <c r="M65" s="193">
        <v>0.19209039548022599</v>
      </c>
      <c r="N65" s="194">
        <v>45730</v>
      </c>
      <c r="O65" s="195"/>
      <c r="P65" s="191">
        <v>0</v>
      </c>
      <c r="Q65" s="191">
        <v>0</v>
      </c>
      <c r="R65" s="193">
        <v>0</v>
      </c>
      <c r="S65" s="194">
        <v>0</v>
      </c>
      <c r="T65" s="187"/>
      <c r="U65" s="196">
        <v>34</v>
      </c>
      <c r="V65" s="197">
        <v>45730</v>
      </c>
    </row>
    <row r="66" spans="1:22">
      <c r="A66" s="187">
        <v>101313</v>
      </c>
      <c r="B66" s="188">
        <v>3022072</v>
      </c>
      <c r="C66" s="187">
        <v>302</v>
      </c>
      <c r="D66" s="189" t="s">
        <v>431</v>
      </c>
      <c r="E66" s="188"/>
      <c r="F66" s="190" t="s">
        <v>88</v>
      </c>
      <c r="G66" s="189" t="s">
        <v>680</v>
      </c>
      <c r="H66" s="190" t="s">
        <v>683</v>
      </c>
      <c r="I66" s="191">
        <v>325</v>
      </c>
      <c r="J66" s="192"/>
      <c r="K66" s="191">
        <v>325</v>
      </c>
      <c r="L66" s="191">
        <v>113</v>
      </c>
      <c r="M66" s="193">
        <v>0.34769230769230769</v>
      </c>
      <c r="N66" s="194">
        <v>151985</v>
      </c>
      <c r="O66" s="195"/>
      <c r="P66" s="191">
        <v>0</v>
      </c>
      <c r="Q66" s="191">
        <v>0</v>
      </c>
      <c r="R66" s="193">
        <v>0</v>
      </c>
      <c r="S66" s="194">
        <v>0</v>
      </c>
      <c r="T66" s="187"/>
      <c r="U66" s="196">
        <v>113</v>
      </c>
      <c r="V66" s="197">
        <v>151985</v>
      </c>
    </row>
    <row r="67" spans="1:22" s="207" customFormat="1">
      <c r="A67" s="198"/>
      <c r="B67" s="199"/>
      <c r="C67" s="198"/>
      <c r="D67" s="200"/>
      <c r="E67" s="199">
        <v>2072</v>
      </c>
      <c r="F67" s="201" t="s">
        <v>684</v>
      </c>
      <c r="G67" s="200"/>
      <c r="H67" s="201"/>
      <c r="I67" s="202">
        <f>SUM(I65:I66)</f>
        <v>502</v>
      </c>
      <c r="J67" s="203"/>
      <c r="K67" s="202">
        <f>SUM(K65:K66)</f>
        <v>502</v>
      </c>
      <c r="L67" s="202">
        <f t="shared" ref="L67:N67" si="0">SUM(L65:L66)</f>
        <v>147</v>
      </c>
      <c r="M67" s="204">
        <f>M65+M66</f>
        <v>0.53978270317253374</v>
      </c>
      <c r="N67" s="197">
        <f t="shared" si="0"/>
        <v>197715</v>
      </c>
      <c r="O67" s="205"/>
      <c r="P67" s="202">
        <f>P65+P66</f>
        <v>0</v>
      </c>
      <c r="Q67" s="202">
        <f>Q65+Q66</f>
        <v>0</v>
      </c>
      <c r="R67" s="206">
        <f>R65+R66</f>
        <v>0</v>
      </c>
      <c r="S67" s="202">
        <f>S65+S66</f>
        <v>0</v>
      </c>
      <c r="T67" s="198"/>
      <c r="U67" s="202">
        <f>U65+U66</f>
        <v>147</v>
      </c>
      <c r="V67" s="197">
        <f>V65+V66</f>
        <v>197715</v>
      </c>
    </row>
    <row r="68" spans="1:22">
      <c r="A68" s="187">
        <v>101314</v>
      </c>
      <c r="B68" s="188">
        <v>3022073</v>
      </c>
      <c r="C68" s="187">
        <v>302</v>
      </c>
      <c r="D68" s="189" t="s">
        <v>431</v>
      </c>
      <c r="E68" s="188">
        <v>2073</v>
      </c>
      <c r="F68" s="190" t="s">
        <v>269</v>
      </c>
      <c r="G68" s="189" t="s">
        <v>680</v>
      </c>
      <c r="H68" s="190" t="s">
        <v>683</v>
      </c>
      <c r="I68" s="191">
        <v>621.5</v>
      </c>
      <c r="J68" s="192"/>
      <c r="K68" s="191">
        <v>621.5</v>
      </c>
      <c r="L68" s="191">
        <v>173</v>
      </c>
      <c r="M68" s="193">
        <v>0.27835880933226065</v>
      </c>
      <c r="N68" s="194">
        <v>232685</v>
      </c>
      <c r="O68" s="195"/>
      <c r="P68" s="191">
        <v>0</v>
      </c>
      <c r="Q68" s="191">
        <v>0</v>
      </c>
      <c r="R68" s="193">
        <v>0</v>
      </c>
      <c r="S68" s="194">
        <v>0</v>
      </c>
      <c r="T68" s="187"/>
      <c r="U68" s="196">
        <v>173</v>
      </c>
      <c r="V68" s="197">
        <v>232685</v>
      </c>
    </row>
    <row r="69" spans="1:22">
      <c r="A69" s="187">
        <v>131617</v>
      </c>
      <c r="B69" s="188">
        <v>3022076</v>
      </c>
      <c r="C69" s="187">
        <v>302</v>
      </c>
      <c r="D69" s="189" t="s">
        <v>431</v>
      </c>
      <c r="E69" s="188">
        <v>2076</v>
      </c>
      <c r="F69" s="190" t="s">
        <v>296</v>
      </c>
      <c r="G69" s="189" t="s">
        <v>680</v>
      </c>
      <c r="H69" s="190" t="s">
        <v>682</v>
      </c>
      <c r="I69" s="191">
        <v>353</v>
      </c>
      <c r="J69" s="192"/>
      <c r="K69" s="191">
        <v>353</v>
      </c>
      <c r="L69" s="191">
        <v>121</v>
      </c>
      <c r="M69" s="193">
        <v>0.34277620396600567</v>
      </c>
      <c r="N69" s="194">
        <v>162745</v>
      </c>
      <c r="O69" s="195"/>
      <c r="P69" s="191">
        <v>0</v>
      </c>
      <c r="Q69" s="191">
        <v>0</v>
      </c>
      <c r="R69" s="193">
        <v>0</v>
      </c>
      <c r="S69" s="194">
        <v>0</v>
      </c>
      <c r="T69" s="187"/>
      <c r="U69" s="196">
        <v>121</v>
      </c>
      <c r="V69" s="197">
        <v>162745</v>
      </c>
    </row>
    <row r="70" spans="1:22">
      <c r="A70" s="187">
        <v>131970</v>
      </c>
      <c r="B70" s="188">
        <v>3022077</v>
      </c>
      <c r="C70" s="187">
        <v>302</v>
      </c>
      <c r="D70" s="189" t="s">
        <v>431</v>
      </c>
      <c r="E70" s="188">
        <v>2077</v>
      </c>
      <c r="F70" s="190" t="s">
        <v>293</v>
      </c>
      <c r="G70" s="189" t="s">
        <v>680</v>
      </c>
      <c r="H70" s="190" t="s">
        <v>681</v>
      </c>
      <c r="I70" s="191">
        <v>866</v>
      </c>
      <c r="J70" s="192"/>
      <c r="K70" s="191">
        <v>866</v>
      </c>
      <c r="L70" s="191">
        <v>435</v>
      </c>
      <c r="M70" s="193">
        <v>0.50230946882217087</v>
      </c>
      <c r="N70" s="194">
        <v>585075</v>
      </c>
      <c r="O70" s="195"/>
      <c r="P70" s="191">
        <v>0</v>
      </c>
      <c r="Q70" s="191">
        <v>0</v>
      </c>
      <c r="R70" s="193">
        <v>0</v>
      </c>
      <c r="S70" s="194">
        <v>0</v>
      </c>
      <c r="T70" s="187"/>
      <c r="U70" s="196">
        <v>435</v>
      </c>
      <c r="V70" s="197">
        <v>585075</v>
      </c>
    </row>
    <row r="71" spans="1:22">
      <c r="A71" s="187">
        <v>133364</v>
      </c>
      <c r="B71" s="188">
        <v>3022078</v>
      </c>
      <c r="C71" s="187">
        <v>302</v>
      </c>
      <c r="D71" s="189" t="s">
        <v>431</v>
      </c>
      <c r="E71" s="188">
        <v>2078</v>
      </c>
      <c r="F71" s="190" t="s">
        <v>282</v>
      </c>
      <c r="G71" s="189" t="s">
        <v>680</v>
      </c>
      <c r="H71" s="190" t="s">
        <v>682</v>
      </c>
      <c r="I71" s="191">
        <v>348</v>
      </c>
      <c r="J71" s="192"/>
      <c r="K71" s="191">
        <v>348</v>
      </c>
      <c r="L71" s="191">
        <v>25</v>
      </c>
      <c r="M71" s="193">
        <v>7.183908045977011E-2</v>
      </c>
      <c r="N71" s="194">
        <v>33625</v>
      </c>
      <c r="O71" s="195"/>
      <c r="P71" s="191">
        <v>0</v>
      </c>
      <c r="Q71" s="191">
        <v>0</v>
      </c>
      <c r="R71" s="193">
        <v>0</v>
      </c>
      <c r="S71" s="194">
        <v>0</v>
      </c>
      <c r="T71" s="187"/>
      <c r="U71" s="196">
        <v>25</v>
      </c>
      <c r="V71" s="197">
        <v>33625</v>
      </c>
    </row>
    <row r="72" spans="1:22">
      <c r="A72" s="187">
        <v>133365</v>
      </c>
      <c r="B72" s="188">
        <v>3022079</v>
      </c>
      <c r="C72" s="187">
        <v>302</v>
      </c>
      <c r="D72" s="189" t="s">
        <v>431</v>
      </c>
      <c r="E72" s="188">
        <v>2079</v>
      </c>
      <c r="F72" s="190" t="s">
        <v>259</v>
      </c>
      <c r="G72" s="189" t="s">
        <v>680</v>
      </c>
      <c r="H72" s="190" t="s">
        <v>685</v>
      </c>
      <c r="I72" s="191">
        <v>434</v>
      </c>
      <c r="J72" s="192"/>
      <c r="K72" s="191">
        <v>434</v>
      </c>
      <c r="L72" s="191">
        <v>27</v>
      </c>
      <c r="M72" s="193">
        <v>6.2211981566820278E-2</v>
      </c>
      <c r="N72" s="194">
        <v>36315</v>
      </c>
      <c r="O72" s="195"/>
      <c r="P72" s="191">
        <v>0</v>
      </c>
      <c r="Q72" s="191">
        <v>0</v>
      </c>
      <c r="R72" s="193">
        <v>0</v>
      </c>
      <c r="S72" s="194">
        <v>0</v>
      </c>
      <c r="T72" s="187"/>
      <c r="U72" s="196">
        <v>27</v>
      </c>
      <c r="V72" s="197">
        <v>36315</v>
      </c>
    </row>
    <row r="73" spans="1:22">
      <c r="A73" s="187">
        <v>101315</v>
      </c>
      <c r="B73" s="188">
        <v>3023300</v>
      </c>
      <c r="C73" s="187">
        <v>302</v>
      </c>
      <c r="D73" s="189" t="s">
        <v>431</v>
      </c>
      <c r="E73" s="188">
        <v>3300</v>
      </c>
      <c r="F73" s="190" t="s">
        <v>424</v>
      </c>
      <c r="G73" s="189" t="s">
        <v>680</v>
      </c>
      <c r="H73" s="190" t="s">
        <v>682</v>
      </c>
      <c r="I73" s="191">
        <v>171</v>
      </c>
      <c r="J73" s="192"/>
      <c r="K73" s="191">
        <v>171</v>
      </c>
      <c r="L73" s="191">
        <v>85</v>
      </c>
      <c r="M73" s="193">
        <v>0.49707602339181284</v>
      </c>
      <c r="N73" s="194">
        <v>114325</v>
      </c>
      <c r="O73" s="195"/>
      <c r="P73" s="191">
        <v>0</v>
      </c>
      <c r="Q73" s="191">
        <v>0</v>
      </c>
      <c r="R73" s="193">
        <v>0</v>
      </c>
      <c r="S73" s="194">
        <v>0</v>
      </c>
      <c r="T73" s="187"/>
      <c r="U73" s="196">
        <v>85</v>
      </c>
      <c r="V73" s="197">
        <v>114325</v>
      </c>
    </row>
    <row r="74" spans="1:22">
      <c r="A74" s="187">
        <v>101316</v>
      </c>
      <c r="B74" s="188">
        <v>3023302</v>
      </c>
      <c r="C74" s="187">
        <v>302</v>
      </c>
      <c r="D74" s="189" t="s">
        <v>431</v>
      </c>
      <c r="E74" s="188">
        <v>3302</v>
      </c>
      <c r="F74" s="190" t="s">
        <v>264</v>
      </c>
      <c r="G74" s="189" t="s">
        <v>680</v>
      </c>
      <c r="H74" s="190" t="s">
        <v>683</v>
      </c>
      <c r="I74" s="191">
        <v>208.5</v>
      </c>
      <c r="J74" s="192"/>
      <c r="K74" s="191">
        <v>208.5</v>
      </c>
      <c r="L74" s="191">
        <v>21</v>
      </c>
      <c r="M74" s="193">
        <v>0.10071942446043165</v>
      </c>
      <c r="N74" s="194">
        <v>28245</v>
      </c>
      <c r="O74" s="195"/>
      <c r="P74" s="191">
        <v>0</v>
      </c>
      <c r="Q74" s="191">
        <v>0</v>
      </c>
      <c r="R74" s="193">
        <v>0</v>
      </c>
      <c r="S74" s="194">
        <v>0</v>
      </c>
      <c r="T74" s="187"/>
      <c r="U74" s="196">
        <v>21</v>
      </c>
      <c r="V74" s="197">
        <v>28245</v>
      </c>
    </row>
    <row r="75" spans="1:22">
      <c r="A75" s="187">
        <v>101317</v>
      </c>
      <c r="B75" s="188">
        <v>3023304</v>
      </c>
      <c r="C75" s="187">
        <v>302</v>
      </c>
      <c r="D75" s="189" t="s">
        <v>431</v>
      </c>
      <c r="E75" s="188">
        <v>3304</v>
      </c>
      <c r="F75" s="190" t="s">
        <v>274</v>
      </c>
      <c r="G75" s="189" t="s">
        <v>680</v>
      </c>
      <c r="H75" s="190" t="s">
        <v>682</v>
      </c>
      <c r="I75" s="191">
        <v>199</v>
      </c>
      <c r="J75" s="192"/>
      <c r="K75" s="191">
        <v>199</v>
      </c>
      <c r="L75" s="191">
        <v>51</v>
      </c>
      <c r="M75" s="193">
        <v>0.25628140703517588</v>
      </c>
      <c r="N75" s="194">
        <v>68595</v>
      </c>
      <c r="O75" s="195"/>
      <c r="P75" s="191">
        <v>0</v>
      </c>
      <c r="Q75" s="191">
        <v>0</v>
      </c>
      <c r="R75" s="193">
        <v>0</v>
      </c>
      <c r="S75" s="194">
        <v>0</v>
      </c>
      <c r="T75" s="187"/>
      <c r="U75" s="196">
        <v>51</v>
      </c>
      <c r="V75" s="197">
        <v>68595</v>
      </c>
    </row>
    <row r="76" spans="1:22">
      <c r="A76" s="187">
        <v>101318</v>
      </c>
      <c r="B76" s="188">
        <v>3023305</v>
      </c>
      <c r="C76" s="187">
        <v>302</v>
      </c>
      <c r="D76" s="189" t="s">
        <v>431</v>
      </c>
      <c r="E76" s="188">
        <v>3305</v>
      </c>
      <c r="F76" s="190" t="s">
        <v>278</v>
      </c>
      <c r="G76" s="189" t="s">
        <v>680</v>
      </c>
      <c r="H76" s="190" t="s">
        <v>683</v>
      </c>
      <c r="I76" s="191">
        <v>150</v>
      </c>
      <c r="J76" s="192"/>
      <c r="K76" s="191">
        <v>150</v>
      </c>
      <c r="L76" s="191">
        <v>14</v>
      </c>
      <c r="M76" s="193">
        <v>9.3333333333333338E-2</v>
      </c>
      <c r="N76" s="194">
        <v>18830</v>
      </c>
      <c r="O76" s="195"/>
      <c r="P76" s="191">
        <v>0</v>
      </c>
      <c r="Q76" s="191">
        <v>0</v>
      </c>
      <c r="R76" s="193">
        <v>0</v>
      </c>
      <c r="S76" s="194">
        <v>0</v>
      </c>
      <c r="T76" s="187"/>
      <c r="U76" s="196">
        <v>14</v>
      </c>
      <c r="V76" s="197">
        <v>18830</v>
      </c>
    </row>
    <row r="77" spans="1:22">
      <c r="A77" s="187">
        <v>101319</v>
      </c>
      <c r="B77" s="188">
        <v>3023307</v>
      </c>
      <c r="C77" s="187">
        <v>302</v>
      </c>
      <c r="D77" s="189" t="s">
        <v>431</v>
      </c>
      <c r="E77" s="188">
        <v>3307</v>
      </c>
      <c r="F77" s="190" t="s">
        <v>425</v>
      </c>
      <c r="G77" s="189" t="s">
        <v>680</v>
      </c>
      <c r="H77" s="190" t="s">
        <v>683</v>
      </c>
      <c r="I77" s="191">
        <v>209</v>
      </c>
      <c r="J77" s="192"/>
      <c r="K77" s="191">
        <v>209</v>
      </c>
      <c r="L77" s="191">
        <v>19</v>
      </c>
      <c r="M77" s="193">
        <v>9.0909090909090912E-2</v>
      </c>
      <c r="N77" s="194">
        <v>25555</v>
      </c>
      <c r="O77" s="195"/>
      <c r="P77" s="191">
        <v>0</v>
      </c>
      <c r="Q77" s="191">
        <v>0</v>
      </c>
      <c r="R77" s="193">
        <v>0</v>
      </c>
      <c r="S77" s="194">
        <v>0</v>
      </c>
      <c r="T77" s="187"/>
      <c r="U77" s="196">
        <v>19</v>
      </c>
      <c r="V77" s="197">
        <v>25555</v>
      </c>
    </row>
    <row r="78" spans="1:22">
      <c r="A78" s="187">
        <v>101321</v>
      </c>
      <c r="B78" s="188">
        <v>3023309</v>
      </c>
      <c r="C78" s="187">
        <v>302</v>
      </c>
      <c r="D78" s="189" t="s">
        <v>431</v>
      </c>
      <c r="E78" s="188">
        <v>3309</v>
      </c>
      <c r="F78" s="190" t="s">
        <v>426</v>
      </c>
      <c r="G78" s="189" t="s">
        <v>680</v>
      </c>
      <c r="H78" s="190" t="s">
        <v>683</v>
      </c>
      <c r="I78" s="191">
        <v>211</v>
      </c>
      <c r="J78" s="192"/>
      <c r="K78" s="191">
        <v>211</v>
      </c>
      <c r="L78" s="191">
        <v>19</v>
      </c>
      <c r="M78" s="193">
        <v>9.004739336492891E-2</v>
      </c>
      <c r="N78" s="194">
        <v>25555</v>
      </c>
      <c r="O78" s="195"/>
      <c r="P78" s="191">
        <v>0</v>
      </c>
      <c r="Q78" s="191">
        <v>0</v>
      </c>
      <c r="R78" s="193">
        <v>0</v>
      </c>
      <c r="S78" s="194">
        <v>0</v>
      </c>
      <c r="T78" s="187"/>
      <c r="U78" s="196">
        <v>19</v>
      </c>
      <c r="V78" s="197">
        <v>25555</v>
      </c>
    </row>
    <row r="79" spans="1:22">
      <c r="A79" s="187">
        <v>101323</v>
      </c>
      <c r="B79" s="188">
        <v>3023311</v>
      </c>
      <c r="C79" s="187">
        <v>302</v>
      </c>
      <c r="D79" s="189" t="s">
        <v>431</v>
      </c>
      <c r="E79" s="188">
        <v>3311</v>
      </c>
      <c r="F79" s="190" t="s">
        <v>427</v>
      </c>
      <c r="G79" s="189" t="s">
        <v>680</v>
      </c>
      <c r="H79" s="190" t="s">
        <v>682</v>
      </c>
      <c r="I79" s="191">
        <v>411</v>
      </c>
      <c r="J79" s="192"/>
      <c r="K79" s="191">
        <v>411</v>
      </c>
      <c r="L79" s="191">
        <v>59</v>
      </c>
      <c r="M79" s="193">
        <v>0.14355231143552311</v>
      </c>
      <c r="N79" s="194">
        <v>79355</v>
      </c>
      <c r="O79" s="195"/>
      <c r="P79" s="191">
        <v>0</v>
      </c>
      <c r="Q79" s="191">
        <v>0</v>
      </c>
      <c r="R79" s="193">
        <v>0</v>
      </c>
      <c r="S79" s="194">
        <v>0</v>
      </c>
      <c r="T79" s="187"/>
      <c r="U79" s="196">
        <v>59</v>
      </c>
      <c r="V79" s="197">
        <v>79355</v>
      </c>
    </row>
    <row r="80" spans="1:22">
      <c r="A80" s="187">
        <v>101324</v>
      </c>
      <c r="B80" s="188">
        <v>3023312</v>
      </c>
      <c r="C80" s="187">
        <v>302</v>
      </c>
      <c r="D80" s="189" t="s">
        <v>431</v>
      </c>
      <c r="E80" s="188">
        <v>3312</v>
      </c>
      <c r="F80" s="190" t="s">
        <v>288</v>
      </c>
      <c r="G80" s="189" t="s">
        <v>680</v>
      </c>
      <c r="H80" s="190" t="s">
        <v>683</v>
      </c>
      <c r="I80" s="191">
        <v>212</v>
      </c>
      <c r="J80" s="192"/>
      <c r="K80" s="191">
        <v>212</v>
      </c>
      <c r="L80" s="191">
        <v>21</v>
      </c>
      <c r="M80" s="193">
        <v>9.9056603773584911E-2</v>
      </c>
      <c r="N80" s="194">
        <v>28245</v>
      </c>
      <c r="O80" s="195"/>
      <c r="P80" s="191">
        <v>0</v>
      </c>
      <c r="Q80" s="191">
        <v>0</v>
      </c>
      <c r="R80" s="193">
        <v>0</v>
      </c>
      <c r="S80" s="194">
        <v>0</v>
      </c>
      <c r="T80" s="187"/>
      <c r="U80" s="196">
        <v>21</v>
      </c>
      <c r="V80" s="197">
        <v>28245</v>
      </c>
    </row>
    <row r="81" spans="1:22">
      <c r="A81" s="187">
        <v>101325</v>
      </c>
      <c r="B81" s="188">
        <v>3023313</v>
      </c>
      <c r="C81" s="187">
        <v>302</v>
      </c>
      <c r="D81" s="189" t="s">
        <v>431</v>
      </c>
      <c r="E81" s="188">
        <v>3313</v>
      </c>
      <c r="F81" s="190" t="s">
        <v>289</v>
      </c>
      <c r="G81" s="189" t="s">
        <v>680</v>
      </c>
      <c r="H81" s="190" t="s">
        <v>683</v>
      </c>
      <c r="I81" s="191">
        <v>186</v>
      </c>
      <c r="J81" s="192"/>
      <c r="K81" s="191">
        <v>186</v>
      </c>
      <c r="L81" s="191">
        <v>50</v>
      </c>
      <c r="M81" s="193">
        <v>0.26881720430107525</v>
      </c>
      <c r="N81" s="194">
        <v>67250</v>
      </c>
      <c r="O81" s="195"/>
      <c r="P81" s="191">
        <v>0</v>
      </c>
      <c r="Q81" s="191">
        <v>0</v>
      </c>
      <c r="R81" s="193">
        <v>0</v>
      </c>
      <c r="S81" s="194">
        <v>0</v>
      </c>
      <c r="T81" s="187"/>
      <c r="U81" s="196">
        <v>50</v>
      </c>
      <c r="V81" s="197">
        <v>67250</v>
      </c>
    </row>
    <row r="82" spans="1:22">
      <c r="A82" s="187">
        <v>101326</v>
      </c>
      <c r="B82" s="188">
        <v>3023314</v>
      </c>
      <c r="C82" s="187">
        <v>302</v>
      </c>
      <c r="D82" s="189" t="s">
        <v>431</v>
      </c>
      <c r="E82" s="188">
        <v>3314</v>
      </c>
      <c r="F82" s="190" t="s">
        <v>338</v>
      </c>
      <c r="G82" s="189" t="s">
        <v>680</v>
      </c>
      <c r="H82" s="190" t="s">
        <v>681</v>
      </c>
      <c r="I82" s="191">
        <v>206</v>
      </c>
      <c r="J82" s="192"/>
      <c r="K82" s="191">
        <v>206</v>
      </c>
      <c r="L82" s="191">
        <v>36</v>
      </c>
      <c r="M82" s="193">
        <v>0.17475728155339806</v>
      </c>
      <c r="N82" s="194">
        <v>48420</v>
      </c>
      <c r="O82" s="195"/>
      <c r="P82" s="191">
        <v>0</v>
      </c>
      <c r="Q82" s="191">
        <v>0</v>
      </c>
      <c r="R82" s="193">
        <v>0</v>
      </c>
      <c r="S82" s="194">
        <v>0</v>
      </c>
      <c r="T82" s="187"/>
      <c r="U82" s="196">
        <v>36</v>
      </c>
      <c r="V82" s="197">
        <v>48420</v>
      </c>
    </row>
    <row r="83" spans="1:22">
      <c r="A83" s="187">
        <v>101327</v>
      </c>
      <c r="B83" s="188">
        <v>3023315</v>
      </c>
      <c r="C83" s="187">
        <v>302</v>
      </c>
      <c r="D83" s="189" t="s">
        <v>431</v>
      </c>
      <c r="E83" s="188">
        <v>3315</v>
      </c>
      <c r="F83" s="190" t="s">
        <v>428</v>
      </c>
      <c r="G83" s="189" t="s">
        <v>680</v>
      </c>
      <c r="H83" s="190" t="s">
        <v>683</v>
      </c>
      <c r="I83" s="191">
        <v>208</v>
      </c>
      <c r="J83" s="192"/>
      <c r="K83" s="191">
        <v>208</v>
      </c>
      <c r="L83" s="191">
        <v>15</v>
      </c>
      <c r="M83" s="193">
        <v>7.2115384615384609E-2</v>
      </c>
      <c r="N83" s="194">
        <v>20175</v>
      </c>
      <c r="O83" s="195"/>
      <c r="P83" s="191">
        <v>0</v>
      </c>
      <c r="Q83" s="191">
        <v>0</v>
      </c>
      <c r="R83" s="193">
        <v>0</v>
      </c>
      <c r="S83" s="194">
        <v>0</v>
      </c>
      <c r="T83" s="187"/>
      <c r="U83" s="196">
        <v>15</v>
      </c>
      <c r="V83" s="197">
        <v>20175</v>
      </c>
    </row>
    <row r="84" spans="1:22">
      <c r="A84" s="187">
        <v>101328</v>
      </c>
      <c r="B84" s="188">
        <v>3023316</v>
      </c>
      <c r="C84" s="187">
        <v>302</v>
      </c>
      <c r="D84" s="189" t="s">
        <v>431</v>
      </c>
      <c r="E84" s="188">
        <v>3316</v>
      </c>
      <c r="F84" s="190" t="s">
        <v>294</v>
      </c>
      <c r="G84" s="189" t="s">
        <v>680</v>
      </c>
      <c r="H84" s="190" t="s">
        <v>683</v>
      </c>
      <c r="I84" s="191">
        <v>212</v>
      </c>
      <c r="J84" s="192"/>
      <c r="K84" s="191">
        <v>212</v>
      </c>
      <c r="L84" s="191">
        <v>21</v>
      </c>
      <c r="M84" s="193">
        <v>9.9056603773584911E-2</v>
      </c>
      <c r="N84" s="194">
        <v>28245</v>
      </c>
      <c r="O84" s="195"/>
      <c r="P84" s="191">
        <v>0</v>
      </c>
      <c r="Q84" s="191">
        <v>0</v>
      </c>
      <c r="R84" s="193">
        <v>0</v>
      </c>
      <c r="S84" s="194">
        <v>0</v>
      </c>
      <c r="T84" s="187"/>
      <c r="U84" s="196">
        <v>21</v>
      </c>
      <c r="V84" s="197">
        <v>28245</v>
      </c>
    </row>
    <row r="85" spans="1:22">
      <c r="A85" s="187">
        <v>101329</v>
      </c>
      <c r="B85" s="188">
        <v>3023317</v>
      </c>
      <c r="C85" s="187">
        <v>302</v>
      </c>
      <c r="D85" s="189" t="s">
        <v>431</v>
      </c>
      <c r="E85" s="188">
        <v>3317</v>
      </c>
      <c r="F85" s="190" t="s">
        <v>257</v>
      </c>
      <c r="G85" s="189" t="s">
        <v>680</v>
      </c>
      <c r="H85" s="190" t="s">
        <v>683</v>
      </c>
      <c r="I85" s="191">
        <v>212</v>
      </c>
      <c r="J85" s="192"/>
      <c r="K85" s="191">
        <v>212</v>
      </c>
      <c r="L85" s="191">
        <v>47</v>
      </c>
      <c r="M85" s="193">
        <v>0.22169811320754718</v>
      </c>
      <c r="N85" s="194">
        <v>63215</v>
      </c>
      <c r="O85" s="195"/>
      <c r="P85" s="191">
        <v>0</v>
      </c>
      <c r="Q85" s="191">
        <v>0</v>
      </c>
      <c r="R85" s="193">
        <v>0</v>
      </c>
      <c r="S85" s="194">
        <v>0</v>
      </c>
      <c r="T85" s="187"/>
      <c r="U85" s="196">
        <v>47</v>
      </c>
      <c r="V85" s="197">
        <v>63215</v>
      </c>
    </row>
    <row r="86" spans="1:22">
      <c r="A86" s="187">
        <v>101330</v>
      </c>
      <c r="B86" s="188">
        <v>3023500</v>
      </c>
      <c r="C86" s="187">
        <v>302</v>
      </c>
      <c r="D86" s="189" t="s">
        <v>431</v>
      </c>
      <c r="E86" s="188">
        <v>3500</v>
      </c>
      <c r="F86" s="190" t="s">
        <v>382</v>
      </c>
      <c r="G86" s="189" t="s">
        <v>680</v>
      </c>
      <c r="H86" s="190" t="s">
        <v>681</v>
      </c>
      <c r="I86" s="191">
        <v>129</v>
      </c>
      <c r="J86" s="192"/>
      <c r="K86" s="191">
        <v>129</v>
      </c>
      <c r="L86" s="191">
        <v>14</v>
      </c>
      <c r="M86" s="193">
        <v>0.10852713178294573</v>
      </c>
      <c r="N86" s="194">
        <v>18830</v>
      </c>
      <c r="O86" s="195"/>
      <c r="P86" s="191">
        <v>0</v>
      </c>
      <c r="Q86" s="191">
        <v>0</v>
      </c>
      <c r="R86" s="193">
        <v>0</v>
      </c>
      <c r="S86" s="194">
        <v>0</v>
      </c>
      <c r="T86" s="187"/>
      <c r="U86" s="196">
        <v>14</v>
      </c>
      <c r="V86" s="197">
        <v>18830</v>
      </c>
    </row>
    <row r="87" spans="1:22">
      <c r="A87" s="187">
        <v>101331</v>
      </c>
      <c r="B87" s="188">
        <v>3023501</v>
      </c>
      <c r="C87" s="187">
        <v>302</v>
      </c>
      <c r="D87" s="189" t="s">
        <v>431</v>
      </c>
      <c r="E87" s="188">
        <v>3501</v>
      </c>
      <c r="F87" s="190" t="s">
        <v>85</v>
      </c>
      <c r="G87" s="189" t="s">
        <v>680</v>
      </c>
      <c r="H87" s="190" t="s">
        <v>682</v>
      </c>
      <c r="I87" s="191">
        <v>199</v>
      </c>
      <c r="J87" s="192"/>
      <c r="K87" s="191">
        <v>199</v>
      </c>
      <c r="L87" s="191">
        <v>31</v>
      </c>
      <c r="M87" s="193">
        <v>0.15577889447236182</v>
      </c>
      <c r="N87" s="194">
        <v>41695</v>
      </c>
      <c r="O87" s="195"/>
      <c r="P87" s="191">
        <v>0</v>
      </c>
      <c r="Q87" s="191">
        <v>0</v>
      </c>
      <c r="R87" s="193">
        <v>0</v>
      </c>
      <c r="S87" s="194">
        <v>0</v>
      </c>
      <c r="T87" s="187"/>
      <c r="U87" s="196">
        <v>31</v>
      </c>
      <c r="V87" s="197">
        <v>41695</v>
      </c>
    </row>
    <row r="88" spans="1:22">
      <c r="A88" s="187">
        <v>101332</v>
      </c>
      <c r="B88" s="188">
        <v>3023502</v>
      </c>
      <c r="C88" s="187">
        <v>302</v>
      </c>
      <c r="D88" s="189" t="s">
        <v>431</v>
      </c>
      <c r="E88" s="188">
        <v>3502</v>
      </c>
      <c r="F88" s="190" t="s">
        <v>633</v>
      </c>
      <c r="G88" s="189" t="s">
        <v>680</v>
      </c>
      <c r="H88" s="190" t="s">
        <v>682</v>
      </c>
      <c r="I88" s="191">
        <v>367</v>
      </c>
      <c r="J88" s="192"/>
      <c r="K88" s="191">
        <v>367</v>
      </c>
      <c r="L88" s="191">
        <v>90</v>
      </c>
      <c r="M88" s="193">
        <v>0.24523160762942781</v>
      </c>
      <c r="N88" s="194">
        <v>121050</v>
      </c>
      <c r="O88" s="195"/>
      <c r="P88" s="191">
        <v>0</v>
      </c>
      <c r="Q88" s="191">
        <v>0</v>
      </c>
      <c r="R88" s="193">
        <v>0</v>
      </c>
      <c r="S88" s="194">
        <v>0</v>
      </c>
      <c r="T88" s="187"/>
      <c r="U88" s="196">
        <v>90</v>
      </c>
      <c r="V88" s="197">
        <v>121050</v>
      </c>
    </row>
    <row r="89" spans="1:22">
      <c r="A89" s="187">
        <v>101333</v>
      </c>
      <c r="B89" s="188">
        <v>3023504</v>
      </c>
      <c r="C89" s="187">
        <v>302</v>
      </c>
      <c r="D89" s="189" t="s">
        <v>431</v>
      </c>
      <c r="E89" s="188">
        <v>3504</v>
      </c>
      <c r="F89" s="190" t="s">
        <v>287</v>
      </c>
      <c r="G89" s="189" t="s">
        <v>680</v>
      </c>
      <c r="H89" s="190" t="s">
        <v>683</v>
      </c>
      <c r="I89" s="191">
        <v>417</v>
      </c>
      <c r="J89" s="192"/>
      <c r="K89" s="191">
        <v>417</v>
      </c>
      <c r="L89" s="191">
        <v>39</v>
      </c>
      <c r="M89" s="193">
        <v>9.3525179856115109E-2</v>
      </c>
      <c r="N89" s="194">
        <v>52455</v>
      </c>
      <c r="O89" s="195"/>
      <c r="P89" s="191">
        <v>0</v>
      </c>
      <c r="Q89" s="191">
        <v>0</v>
      </c>
      <c r="R89" s="193">
        <v>0</v>
      </c>
      <c r="S89" s="194">
        <v>0</v>
      </c>
      <c r="T89" s="187"/>
      <c r="U89" s="196">
        <v>39</v>
      </c>
      <c r="V89" s="197">
        <v>52455</v>
      </c>
    </row>
    <row r="90" spans="1:22">
      <c r="A90" s="187">
        <v>101334</v>
      </c>
      <c r="B90" s="188">
        <v>3023506</v>
      </c>
      <c r="C90" s="187">
        <v>302</v>
      </c>
      <c r="D90" s="189" t="s">
        <v>431</v>
      </c>
      <c r="E90" s="188">
        <v>3506</v>
      </c>
      <c r="F90" s="190" t="s">
        <v>386</v>
      </c>
      <c r="G90" s="189" t="s">
        <v>680</v>
      </c>
      <c r="H90" s="190" t="s">
        <v>681</v>
      </c>
      <c r="I90" s="191">
        <v>284</v>
      </c>
      <c r="J90" s="192"/>
      <c r="K90" s="191">
        <v>284</v>
      </c>
      <c r="L90" s="191">
        <v>14</v>
      </c>
      <c r="M90" s="193">
        <v>4.9295774647887321E-2</v>
      </c>
      <c r="N90" s="194">
        <v>18830</v>
      </c>
      <c r="O90" s="195"/>
      <c r="P90" s="191">
        <v>0</v>
      </c>
      <c r="Q90" s="191">
        <v>0</v>
      </c>
      <c r="R90" s="193">
        <v>0</v>
      </c>
      <c r="S90" s="194">
        <v>0</v>
      </c>
      <c r="T90" s="187"/>
      <c r="U90" s="196">
        <v>14</v>
      </c>
      <c r="V90" s="197">
        <v>18830</v>
      </c>
    </row>
    <row r="91" spans="1:22">
      <c r="A91" s="187">
        <v>101335</v>
      </c>
      <c r="B91" s="188">
        <v>3023507</v>
      </c>
      <c r="C91" s="187">
        <v>302</v>
      </c>
      <c r="D91" s="189" t="s">
        <v>431</v>
      </c>
      <c r="E91" s="188">
        <v>3507</v>
      </c>
      <c r="F91" s="190" t="s">
        <v>429</v>
      </c>
      <c r="G91" s="189" t="s">
        <v>680</v>
      </c>
      <c r="H91" s="190" t="s">
        <v>682</v>
      </c>
      <c r="I91" s="191">
        <v>176</v>
      </c>
      <c r="J91" s="192"/>
      <c r="K91" s="191">
        <v>176</v>
      </c>
      <c r="L91" s="191">
        <v>22</v>
      </c>
      <c r="M91" s="193">
        <v>0.125</v>
      </c>
      <c r="N91" s="194">
        <v>29590</v>
      </c>
      <c r="O91" s="195"/>
      <c r="P91" s="191">
        <v>0</v>
      </c>
      <c r="Q91" s="191">
        <v>0</v>
      </c>
      <c r="R91" s="193">
        <v>0</v>
      </c>
      <c r="S91" s="194">
        <v>0</v>
      </c>
      <c r="T91" s="187"/>
      <c r="U91" s="196">
        <v>22</v>
      </c>
      <c r="V91" s="197">
        <v>29590</v>
      </c>
    </row>
    <row r="92" spans="1:22">
      <c r="A92" s="187">
        <v>101337</v>
      </c>
      <c r="B92" s="188">
        <v>3023509</v>
      </c>
      <c r="C92" s="187">
        <v>302</v>
      </c>
      <c r="D92" s="189" t="s">
        <v>431</v>
      </c>
      <c r="E92" s="188">
        <v>3509</v>
      </c>
      <c r="F92" s="190" t="s">
        <v>414</v>
      </c>
      <c r="G92" s="189" t="s">
        <v>680</v>
      </c>
      <c r="H92" s="190" t="s">
        <v>681</v>
      </c>
      <c r="I92" s="191">
        <v>486</v>
      </c>
      <c r="J92" s="192"/>
      <c r="K92" s="191">
        <v>486</v>
      </c>
      <c r="L92" s="191">
        <v>92</v>
      </c>
      <c r="M92" s="193">
        <v>0.18930041152263374</v>
      </c>
      <c r="N92" s="194">
        <v>123740</v>
      </c>
      <c r="O92" s="195"/>
      <c r="P92" s="191">
        <v>0</v>
      </c>
      <c r="Q92" s="191">
        <v>0</v>
      </c>
      <c r="R92" s="193">
        <v>0</v>
      </c>
      <c r="S92" s="194">
        <v>0</v>
      </c>
      <c r="T92" s="187"/>
      <c r="U92" s="196">
        <v>92</v>
      </c>
      <c r="V92" s="197">
        <v>123740</v>
      </c>
    </row>
    <row r="93" spans="1:22">
      <c r="A93" s="187">
        <v>101338</v>
      </c>
      <c r="B93" s="188">
        <v>3023510</v>
      </c>
      <c r="C93" s="187">
        <v>302</v>
      </c>
      <c r="D93" s="189" t="s">
        <v>431</v>
      </c>
      <c r="E93" s="188">
        <v>3510</v>
      </c>
      <c r="F93" s="190" t="s">
        <v>285</v>
      </c>
      <c r="G93" s="189" t="s">
        <v>680</v>
      </c>
      <c r="H93" s="190" t="s">
        <v>683</v>
      </c>
      <c r="I93" s="191">
        <v>396</v>
      </c>
      <c r="J93" s="192"/>
      <c r="K93" s="191">
        <v>396</v>
      </c>
      <c r="L93" s="191">
        <v>42</v>
      </c>
      <c r="M93" s="193">
        <v>0.10606060606060606</v>
      </c>
      <c r="N93" s="194">
        <v>56490</v>
      </c>
      <c r="O93" s="195"/>
      <c r="P93" s="191">
        <v>0</v>
      </c>
      <c r="Q93" s="191">
        <v>0</v>
      </c>
      <c r="R93" s="193">
        <v>0</v>
      </c>
      <c r="S93" s="194">
        <v>0</v>
      </c>
      <c r="T93" s="187"/>
      <c r="U93" s="196">
        <v>42</v>
      </c>
      <c r="V93" s="197">
        <v>56490</v>
      </c>
    </row>
    <row r="94" spans="1:22">
      <c r="A94" s="187">
        <v>101339</v>
      </c>
      <c r="B94" s="188">
        <v>3023511</v>
      </c>
      <c r="C94" s="187">
        <v>302</v>
      </c>
      <c r="D94" s="189" t="s">
        <v>431</v>
      </c>
      <c r="E94" s="188">
        <v>3511</v>
      </c>
      <c r="F94" s="190" t="s">
        <v>439</v>
      </c>
      <c r="G94" s="189" t="s">
        <v>680</v>
      </c>
      <c r="H94" s="190" t="s">
        <v>681</v>
      </c>
      <c r="I94" s="191">
        <v>405</v>
      </c>
      <c r="J94" s="192"/>
      <c r="K94" s="191">
        <v>405</v>
      </c>
      <c r="L94" s="191">
        <v>102</v>
      </c>
      <c r="M94" s="193">
        <v>0.25185185185185183</v>
      </c>
      <c r="N94" s="194">
        <v>137190</v>
      </c>
      <c r="O94" s="195"/>
      <c r="P94" s="191">
        <v>0</v>
      </c>
      <c r="Q94" s="191">
        <v>0</v>
      </c>
      <c r="R94" s="193">
        <v>0</v>
      </c>
      <c r="S94" s="194">
        <v>0</v>
      </c>
      <c r="T94" s="187"/>
      <c r="U94" s="196">
        <v>102</v>
      </c>
      <c r="V94" s="197">
        <v>137190</v>
      </c>
    </row>
    <row r="95" spans="1:22">
      <c r="A95" s="187">
        <v>101340</v>
      </c>
      <c r="B95" s="188">
        <v>3023512</v>
      </c>
      <c r="C95" s="187">
        <v>302</v>
      </c>
      <c r="D95" s="189" t="s">
        <v>431</v>
      </c>
      <c r="E95" s="188">
        <v>3512</v>
      </c>
      <c r="F95" s="190" t="s">
        <v>284</v>
      </c>
      <c r="G95" s="189" t="s">
        <v>680</v>
      </c>
      <c r="H95" s="190" t="s">
        <v>681</v>
      </c>
      <c r="I95" s="191">
        <v>374</v>
      </c>
      <c r="J95" s="192"/>
      <c r="K95" s="191">
        <v>374</v>
      </c>
      <c r="L95" s="191">
        <v>10</v>
      </c>
      <c r="M95" s="193">
        <v>2.6737967914438502E-2</v>
      </c>
      <c r="N95" s="194">
        <v>13450</v>
      </c>
      <c r="O95" s="195"/>
      <c r="P95" s="191">
        <v>0</v>
      </c>
      <c r="Q95" s="191">
        <v>0</v>
      </c>
      <c r="R95" s="193">
        <v>0</v>
      </c>
      <c r="S95" s="194">
        <v>0</v>
      </c>
      <c r="T95" s="187"/>
      <c r="U95" s="196">
        <v>10</v>
      </c>
      <c r="V95" s="197">
        <v>13450</v>
      </c>
    </row>
    <row r="96" spans="1:22">
      <c r="A96" s="187">
        <v>101341</v>
      </c>
      <c r="B96" s="188">
        <v>3023513</v>
      </c>
      <c r="C96" s="187">
        <v>302</v>
      </c>
      <c r="D96" s="189" t="s">
        <v>431</v>
      </c>
      <c r="E96" s="188">
        <v>3513</v>
      </c>
      <c r="F96" s="190" t="s">
        <v>77</v>
      </c>
      <c r="G96" s="189" t="s">
        <v>680</v>
      </c>
      <c r="H96" s="190" t="s">
        <v>682</v>
      </c>
      <c r="I96" s="191">
        <v>380</v>
      </c>
      <c r="J96" s="192"/>
      <c r="K96" s="191">
        <v>380</v>
      </c>
      <c r="L96" s="191">
        <v>15</v>
      </c>
      <c r="M96" s="193">
        <v>3.9473684210526314E-2</v>
      </c>
      <c r="N96" s="194">
        <v>20175</v>
      </c>
      <c r="O96" s="195"/>
      <c r="P96" s="191">
        <v>0</v>
      </c>
      <c r="Q96" s="191">
        <v>0</v>
      </c>
      <c r="R96" s="193">
        <v>0</v>
      </c>
      <c r="S96" s="194">
        <v>0</v>
      </c>
      <c r="T96" s="187"/>
      <c r="U96" s="196">
        <v>15</v>
      </c>
      <c r="V96" s="197">
        <v>20175</v>
      </c>
    </row>
    <row r="97" spans="1:22">
      <c r="A97" s="187">
        <v>101342</v>
      </c>
      <c r="B97" s="188">
        <v>3023514</v>
      </c>
      <c r="C97" s="187">
        <v>302</v>
      </c>
      <c r="D97" s="189" t="s">
        <v>431</v>
      </c>
      <c r="E97" s="188">
        <v>3514</v>
      </c>
      <c r="F97" s="190" t="s">
        <v>291</v>
      </c>
      <c r="G97" s="189" t="s">
        <v>680</v>
      </c>
      <c r="H97" s="190" t="s">
        <v>681</v>
      </c>
      <c r="I97" s="191">
        <v>207</v>
      </c>
      <c r="J97" s="192"/>
      <c r="K97" s="191">
        <v>207</v>
      </c>
      <c r="L97" s="191">
        <v>52</v>
      </c>
      <c r="M97" s="193">
        <v>0.25120772946859904</v>
      </c>
      <c r="N97" s="194">
        <v>69940</v>
      </c>
      <c r="O97" s="195"/>
      <c r="P97" s="191">
        <v>0</v>
      </c>
      <c r="Q97" s="191">
        <v>0</v>
      </c>
      <c r="R97" s="193">
        <v>0</v>
      </c>
      <c r="S97" s="194">
        <v>0</v>
      </c>
      <c r="T97" s="187"/>
      <c r="U97" s="196">
        <v>52</v>
      </c>
      <c r="V97" s="197">
        <v>69940</v>
      </c>
    </row>
    <row r="98" spans="1:22">
      <c r="A98" s="187">
        <v>130998</v>
      </c>
      <c r="B98" s="188">
        <v>3023516</v>
      </c>
      <c r="C98" s="187">
        <v>302</v>
      </c>
      <c r="D98" s="189" t="s">
        <v>431</v>
      </c>
      <c r="E98" s="188">
        <v>3516</v>
      </c>
      <c r="F98" s="190" t="s">
        <v>68</v>
      </c>
      <c r="G98" s="189" t="s">
        <v>680</v>
      </c>
      <c r="H98" s="190" t="s">
        <v>681</v>
      </c>
      <c r="I98" s="191">
        <v>203.5</v>
      </c>
      <c r="J98" s="192"/>
      <c r="K98" s="191">
        <v>203.5</v>
      </c>
      <c r="L98" s="191">
        <v>24</v>
      </c>
      <c r="M98" s="193">
        <v>0.11793611793611794</v>
      </c>
      <c r="N98" s="194">
        <v>32280</v>
      </c>
      <c r="O98" s="195"/>
      <c r="P98" s="191">
        <v>0</v>
      </c>
      <c r="Q98" s="191">
        <v>0</v>
      </c>
      <c r="R98" s="193">
        <v>0</v>
      </c>
      <c r="S98" s="194">
        <v>0</v>
      </c>
      <c r="T98" s="187"/>
      <c r="U98" s="196">
        <v>24</v>
      </c>
      <c r="V98" s="197">
        <v>32280</v>
      </c>
    </row>
    <row r="99" spans="1:22">
      <c r="A99" s="187">
        <v>134677</v>
      </c>
      <c r="B99" s="188">
        <v>3023518</v>
      </c>
      <c r="C99" s="187">
        <v>302</v>
      </c>
      <c r="D99" s="189" t="s">
        <v>431</v>
      </c>
      <c r="E99" s="188">
        <v>3518</v>
      </c>
      <c r="F99" s="190" t="s">
        <v>112</v>
      </c>
      <c r="G99" s="189" t="s">
        <v>680</v>
      </c>
      <c r="H99" s="190" t="s">
        <v>681</v>
      </c>
      <c r="I99" s="191">
        <v>390</v>
      </c>
      <c r="J99" s="192"/>
      <c r="K99" s="191">
        <v>390</v>
      </c>
      <c r="L99" s="191">
        <v>146</v>
      </c>
      <c r="M99" s="193">
        <v>0.37435897435897436</v>
      </c>
      <c r="N99" s="194">
        <v>196370</v>
      </c>
      <c r="O99" s="195"/>
      <c r="P99" s="191">
        <v>0</v>
      </c>
      <c r="Q99" s="191">
        <v>0</v>
      </c>
      <c r="R99" s="193">
        <v>0</v>
      </c>
      <c r="S99" s="194">
        <v>0</v>
      </c>
      <c r="T99" s="187"/>
      <c r="U99" s="196">
        <v>146</v>
      </c>
      <c r="V99" s="197">
        <v>196370</v>
      </c>
    </row>
    <row r="100" spans="1:22">
      <c r="A100" s="187">
        <v>135086</v>
      </c>
      <c r="B100" s="188">
        <v>3023520</v>
      </c>
      <c r="C100" s="187">
        <v>302</v>
      </c>
      <c r="D100" s="189" t="s">
        <v>431</v>
      </c>
      <c r="E100" s="188">
        <v>3520</v>
      </c>
      <c r="F100" s="190" t="s">
        <v>256</v>
      </c>
      <c r="G100" s="189" t="s">
        <v>680</v>
      </c>
      <c r="H100" s="190" t="s">
        <v>682</v>
      </c>
      <c r="I100" s="191">
        <v>420</v>
      </c>
      <c r="J100" s="192"/>
      <c r="K100" s="191">
        <v>420</v>
      </c>
      <c r="L100" s="191">
        <v>1</v>
      </c>
      <c r="M100" s="193">
        <v>2.3809523809523812E-3</v>
      </c>
      <c r="N100" s="194">
        <v>1345</v>
      </c>
      <c r="O100" s="195"/>
      <c r="P100" s="191">
        <v>0</v>
      </c>
      <c r="Q100" s="191">
        <v>0</v>
      </c>
      <c r="R100" s="193">
        <v>0</v>
      </c>
      <c r="S100" s="194">
        <v>0</v>
      </c>
      <c r="T100" s="187"/>
      <c r="U100" s="196">
        <v>1</v>
      </c>
      <c r="V100" s="197">
        <v>1345</v>
      </c>
    </row>
    <row r="101" spans="1:22">
      <c r="A101" s="187">
        <v>103119</v>
      </c>
      <c r="B101" s="188">
        <v>3023521</v>
      </c>
      <c r="C101" s="187">
        <v>302</v>
      </c>
      <c r="D101" s="189" t="s">
        <v>431</v>
      </c>
      <c r="E101" s="188">
        <v>3521</v>
      </c>
      <c r="F101" s="190" t="s">
        <v>440</v>
      </c>
      <c r="G101" s="189" t="s">
        <v>680</v>
      </c>
      <c r="H101" s="190" t="s">
        <v>681</v>
      </c>
      <c r="I101" s="191">
        <v>1423</v>
      </c>
      <c r="J101" s="192"/>
      <c r="K101" s="191">
        <v>599</v>
      </c>
      <c r="L101" s="191">
        <v>169</v>
      </c>
      <c r="M101" s="193">
        <v>0.28213689482470783</v>
      </c>
      <c r="N101" s="194">
        <v>227305</v>
      </c>
      <c r="O101" s="195"/>
      <c r="P101" s="191">
        <v>824</v>
      </c>
      <c r="Q101" s="191">
        <v>303</v>
      </c>
      <c r="R101" s="193">
        <v>0.36771844660194175</v>
      </c>
      <c r="S101" s="194">
        <v>289365</v>
      </c>
      <c r="T101" s="187"/>
      <c r="U101" s="196">
        <v>472</v>
      </c>
      <c r="V101" s="197">
        <v>516670</v>
      </c>
    </row>
    <row r="102" spans="1:22">
      <c r="A102" s="187">
        <v>135226</v>
      </c>
      <c r="B102" s="188">
        <v>3023523</v>
      </c>
      <c r="C102" s="187">
        <v>302</v>
      </c>
      <c r="D102" s="189" t="s">
        <v>431</v>
      </c>
      <c r="E102" s="188">
        <v>3523</v>
      </c>
      <c r="F102" s="190" t="s">
        <v>276</v>
      </c>
      <c r="G102" s="189" t="s">
        <v>680</v>
      </c>
      <c r="H102" s="190" t="s">
        <v>682</v>
      </c>
      <c r="I102" s="191">
        <v>621</v>
      </c>
      <c r="J102" s="192"/>
      <c r="K102" s="191">
        <v>621</v>
      </c>
      <c r="L102" s="191">
        <v>106</v>
      </c>
      <c r="M102" s="193">
        <v>0.17069243156199679</v>
      </c>
      <c r="N102" s="194">
        <v>142570</v>
      </c>
      <c r="O102" s="195"/>
      <c r="P102" s="191">
        <v>0</v>
      </c>
      <c r="Q102" s="191">
        <v>0</v>
      </c>
      <c r="R102" s="193">
        <v>0</v>
      </c>
      <c r="S102" s="194">
        <v>0</v>
      </c>
      <c r="T102" s="187"/>
      <c r="U102" s="196">
        <v>106</v>
      </c>
      <c r="V102" s="197">
        <v>142570</v>
      </c>
    </row>
    <row r="103" spans="1:22">
      <c r="A103" s="187">
        <v>136402</v>
      </c>
      <c r="B103" s="188">
        <v>3023524</v>
      </c>
      <c r="C103" s="187">
        <v>302</v>
      </c>
      <c r="D103" s="189" t="s">
        <v>431</v>
      </c>
      <c r="E103" s="188">
        <v>3524</v>
      </c>
      <c r="F103" s="190" t="s">
        <v>393</v>
      </c>
      <c r="G103" s="189" t="s">
        <v>680</v>
      </c>
      <c r="H103" s="190" t="s">
        <v>681</v>
      </c>
      <c r="I103" s="191">
        <v>188</v>
      </c>
      <c r="J103" s="192"/>
      <c r="K103" s="191">
        <v>188</v>
      </c>
      <c r="L103" s="191">
        <v>13</v>
      </c>
      <c r="M103" s="193">
        <v>6.9148936170212769E-2</v>
      </c>
      <c r="N103" s="194">
        <v>17485</v>
      </c>
      <c r="O103" s="195"/>
      <c r="P103" s="191">
        <v>0</v>
      </c>
      <c r="Q103" s="191">
        <v>0</v>
      </c>
      <c r="R103" s="193">
        <v>0</v>
      </c>
      <c r="S103" s="194">
        <v>0</v>
      </c>
      <c r="T103" s="187"/>
      <c r="U103" s="196">
        <v>13</v>
      </c>
      <c r="V103" s="197">
        <v>17485</v>
      </c>
    </row>
    <row r="104" spans="1:22">
      <c r="A104" s="187">
        <v>101345</v>
      </c>
      <c r="B104" s="188">
        <v>3024003</v>
      </c>
      <c r="C104" s="187">
        <v>302</v>
      </c>
      <c r="D104" s="189" t="s">
        <v>431</v>
      </c>
      <c r="E104" s="188">
        <v>4003</v>
      </c>
      <c r="F104" s="190" t="s">
        <v>116</v>
      </c>
      <c r="G104" s="189" t="s">
        <v>680</v>
      </c>
      <c r="H104" s="190" t="s">
        <v>683</v>
      </c>
      <c r="I104" s="191">
        <v>759.5</v>
      </c>
      <c r="J104" s="192"/>
      <c r="K104" s="191">
        <v>0</v>
      </c>
      <c r="L104" s="191">
        <v>0</v>
      </c>
      <c r="M104" s="193">
        <v>0</v>
      </c>
      <c r="N104" s="194">
        <v>0</v>
      </c>
      <c r="O104" s="195"/>
      <c r="P104" s="191">
        <v>759.5</v>
      </c>
      <c r="Q104" s="191">
        <v>307.5</v>
      </c>
      <c r="R104" s="193">
        <v>0.40487162606978278</v>
      </c>
      <c r="S104" s="194">
        <v>293662.5</v>
      </c>
      <c r="T104" s="187"/>
      <c r="U104" s="196">
        <v>307.5</v>
      </c>
      <c r="V104" s="197">
        <v>293662.5</v>
      </c>
    </row>
    <row r="105" spans="1:22">
      <c r="A105" s="187">
        <v>142627</v>
      </c>
      <c r="B105" s="188">
        <v>3024004</v>
      </c>
      <c r="C105" s="187">
        <v>302</v>
      </c>
      <c r="D105" s="189" t="s">
        <v>431</v>
      </c>
      <c r="E105" s="188">
        <v>4004</v>
      </c>
      <c r="F105" s="190" t="s">
        <v>432</v>
      </c>
      <c r="G105" s="189" t="s">
        <v>680</v>
      </c>
      <c r="H105" s="190" t="s">
        <v>686</v>
      </c>
      <c r="I105" s="191">
        <v>278</v>
      </c>
      <c r="J105" s="192"/>
      <c r="K105" s="191">
        <v>0</v>
      </c>
      <c r="L105" s="191">
        <v>0</v>
      </c>
      <c r="M105" s="193">
        <v>0</v>
      </c>
      <c r="N105" s="194">
        <v>0</v>
      </c>
      <c r="O105" s="195"/>
      <c r="P105" s="191">
        <v>278</v>
      </c>
      <c r="Q105" s="191">
        <v>16</v>
      </c>
      <c r="R105" s="193">
        <v>5.7553956834532377E-2</v>
      </c>
      <c r="S105" s="194">
        <v>15280</v>
      </c>
      <c r="T105" s="187"/>
      <c r="U105" s="196">
        <v>16</v>
      </c>
      <c r="V105" s="197">
        <v>15280</v>
      </c>
    </row>
    <row r="106" spans="1:22">
      <c r="A106" s="187">
        <v>101356</v>
      </c>
      <c r="B106" s="188">
        <v>3025201</v>
      </c>
      <c r="C106" s="187">
        <v>302</v>
      </c>
      <c r="D106" s="189" t="s">
        <v>431</v>
      </c>
      <c r="E106" s="188">
        <v>5201</v>
      </c>
      <c r="F106" s="190" t="s">
        <v>281</v>
      </c>
      <c r="G106" s="189" t="s">
        <v>680</v>
      </c>
      <c r="H106" s="190" t="s">
        <v>687</v>
      </c>
      <c r="I106" s="191">
        <v>394</v>
      </c>
      <c r="J106" s="192"/>
      <c r="K106" s="191">
        <v>394</v>
      </c>
      <c r="L106" s="191">
        <v>78</v>
      </c>
      <c r="M106" s="193">
        <v>0.19796954314720813</v>
      </c>
      <c r="N106" s="194">
        <v>104910</v>
      </c>
      <c r="O106" s="195"/>
      <c r="P106" s="191">
        <v>0</v>
      </c>
      <c r="Q106" s="191">
        <v>0</v>
      </c>
      <c r="R106" s="193">
        <v>0</v>
      </c>
      <c r="S106" s="194">
        <v>0</v>
      </c>
      <c r="T106" s="187"/>
      <c r="U106" s="196">
        <v>78</v>
      </c>
      <c r="V106" s="197">
        <v>104910</v>
      </c>
    </row>
    <row r="107" spans="1:22">
      <c r="A107" s="187">
        <v>101361</v>
      </c>
      <c r="B107" s="188">
        <v>3025404</v>
      </c>
      <c r="C107" s="187">
        <v>302</v>
      </c>
      <c r="D107" s="189" t="s">
        <v>431</v>
      </c>
      <c r="E107" s="188">
        <v>5404</v>
      </c>
      <c r="F107" s="190" t="s">
        <v>301</v>
      </c>
      <c r="G107" s="189" t="s">
        <v>680</v>
      </c>
      <c r="H107" s="190" t="s">
        <v>682</v>
      </c>
      <c r="I107" s="191">
        <v>542</v>
      </c>
      <c r="J107" s="192"/>
      <c r="K107" s="191">
        <v>0</v>
      </c>
      <c r="L107" s="191">
        <v>0</v>
      </c>
      <c r="M107" s="193">
        <v>0</v>
      </c>
      <c r="N107" s="194">
        <v>0</v>
      </c>
      <c r="O107" s="195"/>
      <c r="P107" s="191">
        <v>542</v>
      </c>
      <c r="Q107" s="191">
        <v>44</v>
      </c>
      <c r="R107" s="193">
        <v>8.1180811808118078E-2</v>
      </c>
      <c r="S107" s="194">
        <v>42020</v>
      </c>
      <c r="T107" s="187"/>
      <c r="U107" s="196">
        <v>44</v>
      </c>
      <c r="V107" s="197">
        <v>42020</v>
      </c>
    </row>
    <row r="108" spans="1:22">
      <c r="A108" s="187">
        <v>101362</v>
      </c>
      <c r="B108" s="188">
        <v>3025405</v>
      </c>
      <c r="C108" s="187">
        <v>302</v>
      </c>
      <c r="D108" s="189" t="s">
        <v>431</v>
      </c>
      <c r="E108" s="188">
        <v>5405</v>
      </c>
      <c r="F108" s="190" t="s">
        <v>115</v>
      </c>
      <c r="G108" s="189" t="s">
        <v>680</v>
      </c>
      <c r="H108" s="190" t="s">
        <v>683</v>
      </c>
      <c r="I108" s="191">
        <v>885</v>
      </c>
      <c r="J108" s="192"/>
      <c r="K108" s="191">
        <v>0</v>
      </c>
      <c r="L108" s="191">
        <v>0</v>
      </c>
      <c r="M108" s="193">
        <v>0</v>
      </c>
      <c r="N108" s="194">
        <v>0</v>
      </c>
      <c r="O108" s="195"/>
      <c r="P108" s="191">
        <v>885</v>
      </c>
      <c r="Q108" s="191">
        <v>116</v>
      </c>
      <c r="R108" s="193">
        <v>0.13107344632768361</v>
      </c>
      <c r="S108" s="194">
        <v>110780</v>
      </c>
      <c r="T108" s="187"/>
      <c r="U108" s="196">
        <v>116</v>
      </c>
      <c r="V108" s="197">
        <v>110780</v>
      </c>
    </row>
    <row r="109" spans="1:22">
      <c r="A109" s="187">
        <v>101364</v>
      </c>
      <c r="B109" s="188">
        <v>3025407</v>
      </c>
      <c r="C109" s="187">
        <v>302</v>
      </c>
      <c r="D109" s="189" t="s">
        <v>431</v>
      </c>
      <c r="E109" s="188">
        <v>5407</v>
      </c>
      <c r="F109" s="190" t="s">
        <v>120</v>
      </c>
      <c r="G109" s="189" t="s">
        <v>680</v>
      </c>
      <c r="H109" s="190" t="s">
        <v>681</v>
      </c>
      <c r="I109" s="191">
        <v>1021</v>
      </c>
      <c r="J109" s="192"/>
      <c r="K109" s="191">
        <v>0</v>
      </c>
      <c r="L109" s="191">
        <v>0</v>
      </c>
      <c r="M109" s="193">
        <v>0</v>
      </c>
      <c r="N109" s="194">
        <v>0</v>
      </c>
      <c r="O109" s="195"/>
      <c r="P109" s="191">
        <v>1021</v>
      </c>
      <c r="Q109" s="191">
        <v>254</v>
      </c>
      <c r="R109" s="193">
        <v>0.24877571008814886</v>
      </c>
      <c r="S109" s="194">
        <v>242570</v>
      </c>
      <c r="T109" s="187"/>
      <c r="U109" s="196">
        <v>254</v>
      </c>
      <c r="V109" s="197">
        <v>242570</v>
      </c>
    </row>
    <row r="110" spans="1:22">
      <c r="A110" s="187">
        <v>135747</v>
      </c>
      <c r="B110" s="188">
        <v>3025427</v>
      </c>
      <c r="C110" s="187">
        <v>302</v>
      </c>
      <c r="D110" s="189" t="s">
        <v>431</v>
      </c>
      <c r="E110" s="188">
        <v>5427</v>
      </c>
      <c r="F110" s="190" t="s">
        <v>315</v>
      </c>
      <c r="G110" s="189" t="s">
        <v>680</v>
      </c>
      <c r="H110" s="190" t="s">
        <v>683</v>
      </c>
      <c r="I110" s="191">
        <v>996</v>
      </c>
      <c r="J110" s="192"/>
      <c r="K110" s="191">
        <v>0</v>
      </c>
      <c r="L110" s="191">
        <v>0</v>
      </c>
      <c r="M110" s="193">
        <v>0</v>
      </c>
      <c r="N110" s="194">
        <v>0</v>
      </c>
      <c r="O110" s="195"/>
      <c r="P110" s="191">
        <v>996</v>
      </c>
      <c r="Q110" s="191">
        <v>65</v>
      </c>
      <c r="R110" s="193">
        <v>6.5261044176706834E-2</v>
      </c>
      <c r="S110" s="194">
        <v>62075</v>
      </c>
      <c r="T110" s="187"/>
      <c r="U110" s="196">
        <v>65</v>
      </c>
      <c r="V110" s="197">
        <v>62075</v>
      </c>
    </row>
    <row r="111" spans="1:22">
      <c r="A111" s="187">
        <v>101376</v>
      </c>
      <c r="B111" s="188">
        <v>3025948</v>
      </c>
      <c r="C111" s="187">
        <v>302</v>
      </c>
      <c r="D111" s="189" t="s">
        <v>431</v>
      </c>
      <c r="E111" s="188">
        <v>5948</v>
      </c>
      <c r="F111" s="190" t="s">
        <v>277</v>
      </c>
      <c r="G111" s="189" t="s">
        <v>680</v>
      </c>
      <c r="H111" s="190" t="s">
        <v>681</v>
      </c>
      <c r="I111" s="191">
        <v>209</v>
      </c>
      <c r="J111" s="192"/>
      <c r="K111" s="191">
        <v>209</v>
      </c>
      <c r="L111" s="191">
        <v>6</v>
      </c>
      <c r="M111" s="193">
        <v>2.8708133971291867E-2</v>
      </c>
      <c r="N111" s="194">
        <v>8070</v>
      </c>
      <c r="O111" s="195"/>
      <c r="P111" s="191">
        <v>0</v>
      </c>
      <c r="Q111" s="191">
        <v>0</v>
      </c>
      <c r="R111" s="193">
        <v>0</v>
      </c>
      <c r="S111" s="194">
        <v>0</v>
      </c>
      <c r="T111" s="187"/>
      <c r="U111" s="196">
        <v>6</v>
      </c>
      <c r="V111" s="197">
        <v>8070</v>
      </c>
    </row>
    <row r="112" spans="1:22">
      <c r="A112" s="187">
        <v>131359</v>
      </c>
      <c r="B112" s="188">
        <v>3025949</v>
      </c>
      <c r="C112" s="187">
        <v>302</v>
      </c>
      <c r="D112" s="189" t="s">
        <v>431</v>
      </c>
      <c r="E112" s="188">
        <v>5949</v>
      </c>
      <c r="F112" s="190" t="s">
        <v>76</v>
      </c>
      <c r="G112" s="189" t="s">
        <v>680</v>
      </c>
      <c r="H112" s="190" t="s">
        <v>681</v>
      </c>
      <c r="I112" s="191">
        <v>379</v>
      </c>
      <c r="J112" s="192"/>
      <c r="K112" s="191">
        <v>379</v>
      </c>
      <c r="L112" s="191">
        <v>13</v>
      </c>
      <c r="M112" s="193">
        <v>3.430079155672823E-2</v>
      </c>
      <c r="N112" s="194">
        <v>17485</v>
      </c>
      <c r="O112" s="195"/>
      <c r="P112" s="191">
        <v>0</v>
      </c>
      <c r="Q112" s="191">
        <v>0</v>
      </c>
      <c r="R112" s="193">
        <v>0</v>
      </c>
      <c r="S112" s="194">
        <v>0</v>
      </c>
      <c r="T112" s="187"/>
      <c r="U112" s="196">
        <v>13</v>
      </c>
      <c r="V112" s="197">
        <v>17485</v>
      </c>
    </row>
    <row r="113" spans="1:22">
      <c r="A113" s="187">
        <v>101395</v>
      </c>
      <c r="B113" s="188">
        <v>3027005</v>
      </c>
      <c r="C113" s="187">
        <v>302</v>
      </c>
      <c r="D113" s="189" t="s">
        <v>431</v>
      </c>
      <c r="E113" s="188">
        <v>7005</v>
      </c>
      <c r="F113" s="190" t="s">
        <v>125</v>
      </c>
      <c r="G113" s="189" t="s">
        <v>688</v>
      </c>
      <c r="H113" s="190" t="s">
        <v>681</v>
      </c>
      <c r="I113" s="191">
        <v>124</v>
      </c>
      <c r="J113" s="192"/>
      <c r="K113" s="191">
        <v>124</v>
      </c>
      <c r="L113" s="191">
        <v>46</v>
      </c>
      <c r="M113" s="193">
        <v>0.37096774193548387</v>
      </c>
      <c r="N113" s="194">
        <v>61870</v>
      </c>
      <c r="O113" s="195"/>
      <c r="P113" s="191">
        <v>0</v>
      </c>
      <c r="Q113" s="191">
        <v>0</v>
      </c>
      <c r="R113" s="193">
        <v>0</v>
      </c>
      <c r="S113" s="194">
        <v>0</v>
      </c>
      <c r="T113" s="187"/>
      <c r="U113" s="196">
        <v>46</v>
      </c>
      <c r="V113" s="197">
        <v>61870</v>
      </c>
    </row>
    <row r="114" spans="1:22">
      <c r="A114" s="187">
        <v>101396</v>
      </c>
      <c r="B114" s="188">
        <v>3027009</v>
      </c>
      <c r="C114" s="187">
        <v>302</v>
      </c>
      <c r="D114" s="189" t="s">
        <v>431</v>
      </c>
      <c r="E114" s="188">
        <v>7009</v>
      </c>
      <c r="F114" s="190" t="s">
        <v>430</v>
      </c>
      <c r="G114" s="189" t="s">
        <v>688</v>
      </c>
      <c r="H114" s="190" t="s">
        <v>683</v>
      </c>
      <c r="I114" s="191">
        <v>115</v>
      </c>
      <c r="J114" s="192"/>
      <c r="K114" s="191">
        <v>115</v>
      </c>
      <c r="L114" s="191">
        <v>43</v>
      </c>
      <c r="M114" s="193">
        <v>0.37391304347826088</v>
      </c>
      <c r="N114" s="194">
        <v>57835</v>
      </c>
      <c r="O114" s="195"/>
      <c r="P114" s="191">
        <v>0</v>
      </c>
      <c r="Q114" s="191">
        <v>0</v>
      </c>
      <c r="R114" s="193">
        <v>0</v>
      </c>
      <c r="S114" s="194">
        <v>0</v>
      </c>
      <c r="T114" s="187"/>
      <c r="U114" s="196">
        <v>43</v>
      </c>
      <c r="V114" s="197">
        <v>57835</v>
      </c>
    </row>
    <row r="115" spans="1:22">
      <c r="A115" s="187">
        <v>101397</v>
      </c>
      <c r="B115" s="188">
        <v>3027010</v>
      </c>
      <c r="C115" s="187">
        <v>302</v>
      </c>
      <c r="D115" s="189" t="s">
        <v>431</v>
      </c>
      <c r="E115" s="188">
        <v>7010</v>
      </c>
      <c r="F115" s="190" t="s">
        <v>124</v>
      </c>
      <c r="G115" s="189" t="s">
        <v>688</v>
      </c>
      <c r="H115" s="190" t="s">
        <v>682</v>
      </c>
      <c r="I115" s="191">
        <v>68</v>
      </c>
      <c r="J115" s="192"/>
      <c r="K115" s="191">
        <v>0</v>
      </c>
      <c r="L115" s="191">
        <v>0</v>
      </c>
      <c r="M115" s="193">
        <v>0</v>
      </c>
      <c r="N115" s="194">
        <v>0</v>
      </c>
      <c r="O115" s="195"/>
      <c r="P115" s="191">
        <v>68</v>
      </c>
      <c r="Q115" s="191">
        <v>35</v>
      </c>
      <c r="R115" s="193">
        <v>0.51470588235294112</v>
      </c>
      <c r="S115" s="194">
        <v>33425</v>
      </c>
      <c r="T115" s="187"/>
      <c r="U115" s="196">
        <v>35</v>
      </c>
      <c r="V115" s="197">
        <v>33425</v>
      </c>
    </row>
    <row r="116" spans="1:22">
      <c r="A116" s="187">
        <v>101255</v>
      </c>
      <c r="B116" s="188">
        <v>3021100</v>
      </c>
      <c r="C116" s="187">
        <v>302</v>
      </c>
      <c r="D116" s="189" t="s">
        <v>431</v>
      </c>
      <c r="E116" s="188">
        <v>1100</v>
      </c>
      <c r="F116" s="190" t="s">
        <v>327</v>
      </c>
      <c r="G116" s="189" t="s">
        <v>346</v>
      </c>
      <c r="H116" s="190" t="s">
        <v>683</v>
      </c>
      <c r="I116" s="191">
        <v>45.5</v>
      </c>
      <c r="J116" s="192"/>
      <c r="K116" s="191">
        <v>2</v>
      </c>
      <c r="L116" s="191">
        <v>1.5</v>
      </c>
      <c r="M116" s="193">
        <v>0.75</v>
      </c>
      <c r="N116" s="194">
        <v>2017.5</v>
      </c>
      <c r="O116" s="195"/>
      <c r="P116" s="191">
        <v>43.5</v>
      </c>
      <c r="Q116" s="191">
        <v>29.5</v>
      </c>
      <c r="R116" s="193">
        <v>0.67816091954022983</v>
      </c>
      <c r="S116" s="194">
        <v>28172.5</v>
      </c>
      <c r="T116" s="187"/>
      <c r="U116" s="196">
        <v>31</v>
      </c>
      <c r="V116" s="197">
        <v>30190</v>
      </c>
    </row>
    <row r="117" spans="1:22">
      <c r="A117" s="187">
        <v>133749</v>
      </c>
      <c r="B117" s="188">
        <v>3021102</v>
      </c>
      <c r="C117" s="187">
        <v>302</v>
      </c>
      <c r="D117" s="189" t="s">
        <v>431</v>
      </c>
      <c r="E117" s="188">
        <v>1102</v>
      </c>
      <c r="F117" s="190" t="s">
        <v>348</v>
      </c>
      <c r="G117" s="189" t="s">
        <v>346</v>
      </c>
      <c r="H117" s="190" t="s">
        <v>681</v>
      </c>
      <c r="I117" s="191">
        <v>8</v>
      </c>
      <c r="J117" s="192"/>
      <c r="K117" s="191">
        <v>0</v>
      </c>
      <c r="L117" s="191">
        <v>0</v>
      </c>
      <c r="M117" s="193">
        <v>0</v>
      </c>
      <c r="N117" s="194">
        <v>0</v>
      </c>
      <c r="O117" s="195"/>
      <c r="P117" s="191">
        <v>8</v>
      </c>
      <c r="Q117" s="191">
        <v>4</v>
      </c>
      <c r="R117" s="193">
        <v>0.5</v>
      </c>
      <c r="S117" s="194">
        <v>3820</v>
      </c>
      <c r="T117" s="187"/>
      <c r="U117" s="196">
        <v>4</v>
      </c>
      <c r="V117" s="197">
        <v>3820</v>
      </c>
    </row>
  </sheetData>
  <mergeCells count="22">
    <mergeCell ref="A19:F19"/>
    <mergeCell ref="A8:F8"/>
    <mergeCell ref="A9:F9"/>
    <mergeCell ref="A10:F10"/>
    <mergeCell ref="A11:F11"/>
    <mergeCell ref="A12:F12"/>
    <mergeCell ref="A13:F13"/>
    <mergeCell ref="A14:F14"/>
    <mergeCell ref="A15:F15"/>
    <mergeCell ref="A16:F16"/>
    <mergeCell ref="A17:F17"/>
    <mergeCell ref="A18:F18"/>
    <mergeCell ref="K28:S28"/>
    <mergeCell ref="U28:V28"/>
    <mergeCell ref="K29:N29"/>
    <mergeCell ref="P29:S29"/>
    <mergeCell ref="A20:F20"/>
    <mergeCell ref="A21:F21"/>
    <mergeCell ref="A22:F22"/>
    <mergeCell ref="A23:F23"/>
    <mergeCell ref="A24:F24"/>
    <mergeCell ref="A25:F2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P266"/>
  <sheetViews>
    <sheetView zoomScaleNormal="100" workbookViewId="0">
      <selection activeCell="D6" sqref="D6"/>
    </sheetView>
  </sheetViews>
  <sheetFormatPr defaultColWidth="9.109375" defaultRowHeight="14.4"/>
  <cols>
    <col min="1" max="1" width="46.109375" style="97" bestFit="1" customWidth="1"/>
    <col min="2" max="2" width="10.6640625" style="97" bestFit="1" customWidth="1"/>
    <col min="3" max="3" width="10.6640625" style="97" customWidth="1"/>
    <col min="4" max="4" width="15" style="97" bestFit="1" customWidth="1"/>
    <col min="5" max="16" width="5" style="97" bestFit="1" customWidth="1"/>
    <col min="17" max="17" width="3" style="97" bestFit="1" customWidth="1"/>
    <col min="18" max="18" width="3.109375" style="97" bestFit="1" customWidth="1"/>
    <col min="19" max="19" width="6.88671875" style="97" customWidth="1"/>
    <col min="20" max="20" width="4" style="97" bestFit="1" customWidth="1"/>
    <col min="21" max="22" width="5" style="97" bestFit="1" customWidth="1"/>
    <col min="23" max="23" width="11.6640625" style="97" bestFit="1" customWidth="1"/>
    <col min="24" max="24" width="15.5546875" style="97" bestFit="1" customWidth="1"/>
    <col min="25" max="25" width="21.109375" style="97" bestFit="1" customWidth="1"/>
    <col min="26" max="26" width="15.5546875" style="97" bestFit="1" customWidth="1"/>
    <col min="27" max="27" width="21.109375" style="97" bestFit="1" customWidth="1"/>
    <col min="28" max="28" width="15.5546875" style="97" bestFit="1" customWidth="1"/>
    <col min="29" max="29" width="21.109375" style="97" bestFit="1" customWidth="1"/>
    <col min="30" max="30" width="15.5546875" style="97" bestFit="1" customWidth="1"/>
    <col min="31" max="31" width="21.109375" style="97" bestFit="1" customWidth="1"/>
    <col min="32" max="32" width="15.5546875" style="97" bestFit="1" customWidth="1"/>
    <col min="33" max="33" width="21.109375" style="97" bestFit="1" customWidth="1"/>
    <col min="34" max="34" width="15.5546875" style="97" bestFit="1" customWidth="1"/>
    <col min="35" max="35" width="21.109375" style="97" bestFit="1" customWidth="1"/>
    <col min="36" max="36" width="15.5546875" style="97" bestFit="1" customWidth="1"/>
    <col min="37" max="37" width="21.109375" style="97" bestFit="1" customWidth="1"/>
    <col min="38" max="38" width="15.5546875" style="97" bestFit="1" customWidth="1"/>
    <col min="39" max="39" width="21.109375" style="97" bestFit="1" customWidth="1"/>
    <col min="40" max="40" width="15.5546875" style="97" bestFit="1" customWidth="1"/>
    <col min="41" max="41" width="26.5546875" style="97" bestFit="1" customWidth="1"/>
    <col min="42" max="42" width="20.88671875" style="97" bestFit="1" customWidth="1"/>
    <col min="43" max="16384" width="9.109375" style="97"/>
  </cols>
  <sheetData>
    <row r="1" spans="1:42">
      <c r="A1" s="101" t="s">
        <v>553</v>
      </c>
    </row>
    <row r="2" spans="1:42" s="99" customFormat="1">
      <c r="C2" s="99">
        <v>1</v>
      </c>
      <c r="D2" s="99">
        <v>2</v>
      </c>
      <c r="E2" s="99">
        <v>3</v>
      </c>
      <c r="F2" s="99">
        <v>4</v>
      </c>
      <c r="G2" s="99">
        <v>5</v>
      </c>
      <c r="H2" s="99">
        <v>6</v>
      </c>
      <c r="I2" s="99">
        <v>7</v>
      </c>
      <c r="J2" s="99">
        <v>8</v>
      </c>
      <c r="K2" s="99">
        <v>9</v>
      </c>
      <c r="L2" s="99">
        <v>10</v>
      </c>
      <c r="M2" s="99">
        <v>11</v>
      </c>
      <c r="N2" s="99">
        <v>12</v>
      </c>
      <c r="O2" s="99">
        <v>13</v>
      </c>
      <c r="P2" s="99">
        <v>14</v>
      </c>
      <c r="Q2" s="99">
        <v>15</v>
      </c>
      <c r="R2" s="99">
        <v>16</v>
      </c>
      <c r="S2" s="99">
        <v>17</v>
      </c>
      <c r="T2" s="99">
        <v>18</v>
      </c>
      <c r="U2" s="99">
        <v>19</v>
      </c>
      <c r="V2" s="99">
        <v>20</v>
      </c>
      <c r="W2" s="99">
        <v>21</v>
      </c>
    </row>
    <row r="3" spans="1:42" s="98" customFormat="1">
      <c r="A3" s="27" t="s">
        <v>550</v>
      </c>
      <c r="B3" s="27"/>
      <c r="C3" s="27"/>
      <c r="D3" s="27" t="s">
        <v>551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row>
    <row r="4" spans="1:42" s="98" customFormat="1">
      <c r="A4" s="27" t="s">
        <v>133</v>
      </c>
      <c r="B4" s="27" t="s">
        <v>552</v>
      </c>
      <c r="C4" s="27" t="s">
        <v>410</v>
      </c>
      <c r="D4" s="27">
        <v>1</v>
      </c>
      <c r="E4" s="27">
        <v>2</v>
      </c>
      <c r="F4" s="27">
        <v>3</v>
      </c>
      <c r="G4" s="27">
        <v>4</v>
      </c>
      <c r="H4" s="27">
        <v>5</v>
      </c>
      <c r="I4" s="27">
        <v>6</v>
      </c>
      <c r="J4" s="27">
        <v>7</v>
      </c>
      <c r="K4" s="27">
        <v>8</v>
      </c>
      <c r="L4" s="27">
        <v>9</v>
      </c>
      <c r="M4" s="27">
        <v>10</v>
      </c>
      <c r="N4" s="27">
        <v>11</v>
      </c>
      <c r="O4" s="27">
        <v>12</v>
      </c>
      <c r="P4" s="27">
        <v>13</v>
      </c>
      <c r="Q4" s="27">
        <v>14</v>
      </c>
      <c r="R4" s="27" t="s">
        <v>477</v>
      </c>
      <c r="S4" s="27" t="s">
        <v>478</v>
      </c>
      <c r="T4" s="27" t="s">
        <v>349</v>
      </c>
      <c r="U4" s="27" t="s">
        <v>350</v>
      </c>
      <c r="V4" s="27" t="s">
        <v>351</v>
      </c>
      <c r="W4" s="27" t="s">
        <v>342</v>
      </c>
      <c r="X4" s="27"/>
      <c r="Y4" s="27"/>
      <c r="Z4" s="27"/>
      <c r="AA4" s="27"/>
      <c r="AB4" s="27"/>
      <c r="AC4" s="27"/>
      <c r="AD4" s="27"/>
      <c r="AE4" s="27"/>
      <c r="AF4" s="27"/>
      <c r="AG4" s="27"/>
      <c r="AH4" s="27"/>
      <c r="AI4" s="27"/>
      <c r="AJ4" s="27"/>
      <c r="AK4" s="27"/>
      <c r="AL4" s="27"/>
      <c r="AM4" s="27"/>
      <c r="AN4" s="27"/>
      <c r="AO4" s="27"/>
      <c r="AP4" s="27"/>
    </row>
    <row r="5" spans="1:42">
      <c r="A5" t="s">
        <v>27</v>
      </c>
      <c r="B5">
        <v>3021000</v>
      </c>
      <c r="C5">
        <v>1000</v>
      </c>
      <c r="D5"/>
      <c r="E5"/>
      <c r="F5"/>
      <c r="G5"/>
      <c r="H5"/>
      <c r="I5"/>
      <c r="J5"/>
      <c r="K5"/>
      <c r="L5"/>
      <c r="M5"/>
      <c r="N5"/>
      <c r="O5"/>
      <c r="P5"/>
      <c r="Q5"/>
      <c r="R5">
        <v>3</v>
      </c>
      <c r="S5">
        <v>10</v>
      </c>
      <c r="T5">
        <v>54</v>
      </c>
      <c r="U5">
        <v>80</v>
      </c>
      <c r="V5"/>
      <c r="W5">
        <v>147</v>
      </c>
      <c r="X5"/>
      <c r="Y5"/>
      <c r="Z5"/>
      <c r="AA5"/>
      <c r="AB5"/>
      <c r="AC5"/>
      <c r="AD5"/>
      <c r="AE5"/>
      <c r="AF5"/>
      <c r="AG5"/>
      <c r="AH5"/>
      <c r="AI5"/>
      <c r="AJ5"/>
      <c r="AK5"/>
      <c r="AL5"/>
      <c r="AM5"/>
      <c r="AN5"/>
      <c r="AO5"/>
      <c r="AP5"/>
    </row>
    <row r="6" spans="1:42">
      <c r="A6" t="s">
        <v>352</v>
      </c>
      <c r="B6">
        <v>3021001</v>
      </c>
      <c r="C6">
        <v>1001</v>
      </c>
      <c r="D6"/>
      <c r="E6"/>
      <c r="F6"/>
      <c r="G6"/>
      <c r="H6"/>
      <c r="I6"/>
      <c r="J6"/>
      <c r="K6"/>
      <c r="L6"/>
      <c r="M6"/>
      <c r="N6"/>
      <c r="O6"/>
      <c r="P6"/>
      <c r="Q6"/>
      <c r="R6"/>
      <c r="S6"/>
      <c r="T6">
        <v>51</v>
      </c>
      <c r="U6">
        <v>65</v>
      </c>
      <c r="V6"/>
      <c r="W6">
        <v>116</v>
      </c>
      <c r="X6"/>
      <c r="Y6"/>
      <c r="Z6"/>
      <c r="AA6"/>
      <c r="AB6"/>
      <c r="AC6"/>
      <c r="AD6"/>
      <c r="AE6"/>
      <c r="AF6"/>
      <c r="AG6"/>
      <c r="AH6"/>
      <c r="AI6"/>
      <c r="AJ6"/>
      <c r="AK6"/>
      <c r="AL6"/>
      <c r="AM6"/>
      <c r="AN6"/>
      <c r="AO6"/>
      <c r="AP6"/>
    </row>
    <row r="7" spans="1:42">
      <c r="A7" t="s">
        <v>354</v>
      </c>
      <c r="B7">
        <v>3021003</v>
      </c>
      <c r="C7">
        <v>1003</v>
      </c>
      <c r="D7"/>
      <c r="E7"/>
      <c r="F7"/>
      <c r="G7"/>
      <c r="H7"/>
      <c r="I7"/>
      <c r="J7"/>
      <c r="K7"/>
      <c r="L7"/>
      <c r="M7"/>
      <c r="N7"/>
      <c r="O7"/>
      <c r="P7"/>
      <c r="Q7"/>
      <c r="R7"/>
      <c r="S7"/>
      <c r="T7">
        <v>55</v>
      </c>
      <c r="U7">
        <v>82</v>
      </c>
      <c r="V7"/>
      <c r="W7">
        <v>137</v>
      </c>
      <c r="X7"/>
      <c r="Y7"/>
      <c r="Z7"/>
      <c r="AA7"/>
      <c r="AB7"/>
      <c r="AC7"/>
      <c r="AD7"/>
      <c r="AE7"/>
      <c r="AF7"/>
      <c r="AG7"/>
      <c r="AH7"/>
      <c r="AI7"/>
      <c r="AJ7"/>
      <c r="AK7"/>
      <c r="AL7"/>
      <c r="AM7"/>
      <c r="AN7"/>
      <c r="AO7"/>
      <c r="AP7"/>
    </row>
    <row r="8" spans="1:42" ht="15" thickBot="1">
      <c r="A8" s="15" t="s">
        <v>442</v>
      </c>
      <c r="B8"/>
      <c r="C8" s="27">
        <v>1000</v>
      </c>
      <c r="D8" s="100">
        <f>SUM(D5:D7)</f>
        <v>0</v>
      </c>
      <c r="E8" s="100">
        <f t="shared" ref="E8:W8" si="0">SUM(E5:E7)</f>
        <v>0</v>
      </c>
      <c r="F8" s="100">
        <f t="shared" si="0"/>
        <v>0</v>
      </c>
      <c r="G8" s="100">
        <f t="shared" si="0"/>
        <v>0</v>
      </c>
      <c r="H8" s="100">
        <f t="shared" si="0"/>
        <v>0</v>
      </c>
      <c r="I8" s="100">
        <f t="shared" si="0"/>
        <v>0</v>
      </c>
      <c r="J8" s="100">
        <f t="shared" si="0"/>
        <v>0</v>
      </c>
      <c r="K8" s="100">
        <f t="shared" si="0"/>
        <v>0</v>
      </c>
      <c r="L8" s="100">
        <f t="shared" si="0"/>
        <v>0</v>
      </c>
      <c r="M8" s="100">
        <f t="shared" si="0"/>
        <v>0</v>
      </c>
      <c r="N8" s="100">
        <f t="shared" si="0"/>
        <v>0</v>
      </c>
      <c r="O8" s="100">
        <f t="shared" si="0"/>
        <v>0</v>
      </c>
      <c r="P8" s="100">
        <f t="shared" si="0"/>
        <v>0</v>
      </c>
      <c r="Q8" s="100">
        <f t="shared" si="0"/>
        <v>0</v>
      </c>
      <c r="R8" s="100">
        <f t="shared" si="0"/>
        <v>3</v>
      </c>
      <c r="S8" s="100">
        <f t="shared" si="0"/>
        <v>10</v>
      </c>
      <c r="T8" s="100">
        <f t="shared" si="0"/>
        <v>160</v>
      </c>
      <c r="U8" s="100">
        <f t="shared" si="0"/>
        <v>227</v>
      </c>
      <c r="V8" s="100">
        <f t="shared" si="0"/>
        <v>0</v>
      </c>
      <c r="W8" s="100">
        <f t="shared" si="0"/>
        <v>400</v>
      </c>
      <c r="X8"/>
      <c r="Y8"/>
      <c r="Z8"/>
      <c r="AA8"/>
      <c r="AB8"/>
      <c r="AC8"/>
      <c r="AD8"/>
      <c r="AE8"/>
      <c r="AF8"/>
      <c r="AG8"/>
      <c r="AH8"/>
      <c r="AI8"/>
      <c r="AJ8"/>
      <c r="AK8"/>
      <c r="AL8"/>
      <c r="AM8"/>
      <c r="AN8"/>
      <c r="AO8"/>
      <c r="AP8"/>
    </row>
    <row r="9" spans="1:42" ht="15" thickTop="1">
      <c r="A9" t="s">
        <v>353</v>
      </c>
      <c r="B9">
        <v>3021002</v>
      </c>
      <c r="C9">
        <v>1002</v>
      </c>
      <c r="D9"/>
      <c r="E9"/>
      <c r="F9"/>
      <c r="G9"/>
      <c r="H9"/>
      <c r="I9"/>
      <c r="J9"/>
      <c r="K9"/>
      <c r="L9"/>
      <c r="M9"/>
      <c r="N9"/>
      <c r="O9"/>
      <c r="P9"/>
      <c r="Q9"/>
      <c r="R9"/>
      <c r="S9"/>
      <c r="T9">
        <v>1</v>
      </c>
      <c r="U9">
        <v>100</v>
      </c>
      <c r="V9"/>
      <c r="W9">
        <v>101</v>
      </c>
      <c r="X9"/>
      <c r="Y9"/>
      <c r="Z9"/>
      <c r="AA9"/>
      <c r="AB9"/>
      <c r="AC9"/>
      <c r="AD9"/>
      <c r="AE9"/>
      <c r="AF9"/>
      <c r="AG9"/>
      <c r="AH9"/>
      <c r="AI9"/>
      <c r="AJ9"/>
      <c r="AK9"/>
      <c r="AL9"/>
      <c r="AM9"/>
      <c r="AN9"/>
      <c r="AO9"/>
      <c r="AP9"/>
    </row>
    <row r="10" spans="1:42">
      <c r="A10" t="s">
        <v>466</v>
      </c>
      <c r="B10">
        <v>3021100</v>
      </c>
      <c r="C10">
        <v>1100</v>
      </c>
      <c r="D10"/>
      <c r="E10">
        <v>1</v>
      </c>
      <c r="F10"/>
      <c r="G10"/>
      <c r="H10"/>
      <c r="I10">
        <v>1</v>
      </c>
      <c r="J10">
        <v>3</v>
      </c>
      <c r="K10">
        <v>11</v>
      </c>
      <c r="L10">
        <v>19</v>
      </c>
      <c r="M10">
        <v>28</v>
      </c>
      <c r="N10">
        <v>50</v>
      </c>
      <c r="O10">
        <v>2</v>
      </c>
      <c r="P10">
        <v>1</v>
      </c>
      <c r="Q10"/>
      <c r="R10"/>
      <c r="S10"/>
      <c r="T10"/>
      <c r="U10"/>
      <c r="V10"/>
      <c r="W10">
        <v>116</v>
      </c>
      <c r="X10"/>
      <c r="Y10"/>
      <c r="Z10"/>
      <c r="AA10"/>
      <c r="AB10"/>
      <c r="AC10"/>
      <c r="AD10"/>
      <c r="AE10"/>
      <c r="AF10"/>
      <c r="AG10"/>
      <c r="AH10"/>
      <c r="AI10"/>
      <c r="AJ10"/>
      <c r="AK10"/>
      <c r="AL10"/>
      <c r="AM10"/>
      <c r="AN10"/>
      <c r="AO10"/>
      <c r="AP10"/>
    </row>
    <row r="11" spans="1:42">
      <c r="A11" t="s">
        <v>348</v>
      </c>
      <c r="B11">
        <v>3021102</v>
      </c>
      <c r="C11">
        <v>1102</v>
      </c>
      <c r="D11"/>
      <c r="E11"/>
      <c r="F11"/>
      <c r="G11"/>
      <c r="H11"/>
      <c r="I11"/>
      <c r="J11"/>
      <c r="K11"/>
      <c r="L11">
        <v>1</v>
      </c>
      <c r="M11">
        <v>3</v>
      </c>
      <c r="N11">
        <v>16</v>
      </c>
      <c r="O11">
        <v>1</v>
      </c>
      <c r="P11">
        <v>2</v>
      </c>
      <c r="Q11"/>
      <c r="R11"/>
      <c r="S11"/>
      <c r="T11"/>
      <c r="U11"/>
      <c r="V11"/>
      <c r="W11">
        <v>23</v>
      </c>
      <c r="X11"/>
      <c r="Y11"/>
      <c r="Z11"/>
      <c r="AA11"/>
      <c r="AB11"/>
      <c r="AC11"/>
      <c r="AD11"/>
      <c r="AE11"/>
      <c r="AF11"/>
      <c r="AG11"/>
      <c r="AH11"/>
      <c r="AI11"/>
      <c r="AJ11"/>
      <c r="AK11"/>
      <c r="AL11"/>
      <c r="AM11"/>
      <c r="AN11"/>
      <c r="AO11"/>
      <c r="AP11"/>
    </row>
    <row r="12" spans="1:42">
      <c r="A12" t="s">
        <v>355</v>
      </c>
      <c r="B12">
        <v>3022001</v>
      </c>
      <c r="C12">
        <v>2001</v>
      </c>
      <c r="D12">
        <v>28</v>
      </c>
      <c r="E12">
        <v>28</v>
      </c>
      <c r="F12">
        <v>28</v>
      </c>
      <c r="G12">
        <v>26</v>
      </c>
      <c r="H12">
        <v>27</v>
      </c>
      <c r="I12">
        <v>27</v>
      </c>
      <c r="J12"/>
      <c r="K12"/>
      <c r="L12"/>
      <c r="M12"/>
      <c r="N12"/>
      <c r="O12"/>
      <c r="P12"/>
      <c r="Q12"/>
      <c r="R12"/>
      <c r="S12"/>
      <c r="T12"/>
      <c r="U12">
        <v>17</v>
      </c>
      <c r="V12">
        <v>26</v>
      </c>
      <c r="W12">
        <v>207</v>
      </c>
      <c r="X12"/>
      <c r="Y12"/>
      <c r="Z12"/>
      <c r="AA12"/>
      <c r="AB12"/>
      <c r="AC12"/>
      <c r="AD12"/>
      <c r="AE12"/>
      <c r="AF12"/>
      <c r="AG12"/>
      <c r="AH12"/>
      <c r="AI12"/>
      <c r="AJ12"/>
      <c r="AK12"/>
      <c r="AL12"/>
      <c r="AM12"/>
      <c r="AN12"/>
      <c r="AO12"/>
      <c r="AP12"/>
    </row>
    <row r="13" spans="1:42">
      <c r="A13" t="s">
        <v>36</v>
      </c>
      <c r="B13">
        <v>3022002</v>
      </c>
      <c r="C13">
        <v>2002</v>
      </c>
      <c r="D13">
        <v>59</v>
      </c>
      <c r="E13">
        <v>59</v>
      </c>
      <c r="F13">
        <v>60</v>
      </c>
      <c r="G13">
        <v>60</v>
      </c>
      <c r="H13">
        <v>60</v>
      </c>
      <c r="I13">
        <v>60</v>
      </c>
      <c r="J13"/>
      <c r="K13"/>
      <c r="L13"/>
      <c r="M13"/>
      <c r="N13"/>
      <c r="O13"/>
      <c r="P13"/>
      <c r="Q13"/>
      <c r="R13"/>
      <c r="S13"/>
      <c r="T13"/>
      <c r="U13">
        <v>54</v>
      </c>
      <c r="V13">
        <v>60</v>
      </c>
      <c r="W13">
        <v>472</v>
      </c>
      <c r="X13"/>
      <c r="Y13"/>
      <c r="Z13"/>
      <c r="AA13"/>
      <c r="AB13"/>
      <c r="AC13"/>
      <c r="AD13"/>
      <c r="AE13"/>
      <c r="AF13"/>
      <c r="AG13"/>
      <c r="AH13"/>
      <c r="AI13"/>
      <c r="AJ13"/>
      <c r="AK13"/>
      <c r="AL13"/>
      <c r="AM13"/>
      <c r="AN13"/>
      <c r="AO13"/>
      <c r="AP13"/>
    </row>
    <row r="14" spans="1:42">
      <c r="A14" t="s">
        <v>260</v>
      </c>
      <c r="B14">
        <v>3022003</v>
      </c>
      <c r="C14">
        <v>2003</v>
      </c>
      <c r="D14">
        <v>49</v>
      </c>
      <c r="E14">
        <v>48</v>
      </c>
      <c r="F14">
        <v>58</v>
      </c>
      <c r="G14">
        <v>55</v>
      </c>
      <c r="H14">
        <v>48</v>
      </c>
      <c r="I14">
        <v>56</v>
      </c>
      <c r="J14"/>
      <c r="K14"/>
      <c r="L14"/>
      <c r="M14"/>
      <c r="N14"/>
      <c r="O14"/>
      <c r="P14"/>
      <c r="Q14"/>
      <c r="R14"/>
      <c r="S14">
        <v>12</v>
      </c>
      <c r="T14">
        <v>19</v>
      </c>
      <c r="U14">
        <v>28</v>
      </c>
      <c r="V14">
        <v>56</v>
      </c>
      <c r="W14">
        <v>429</v>
      </c>
      <c r="X14"/>
      <c r="Y14"/>
      <c r="Z14"/>
      <c r="AA14"/>
      <c r="AB14"/>
      <c r="AC14"/>
      <c r="AD14"/>
      <c r="AE14"/>
      <c r="AF14"/>
      <c r="AG14"/>
      <c r="AH14"/>
      <c r="AI14"/>
      <c r="AJ14"/>
      <c r="AK14"/>
      <c r="AL14"/>
      <c r="AM14"/>
      <c r="AN14"/>
      <c r="AO14"/>
      <c r="AP14"/>
    </row>
    <row r="15" spans="1:42">
      <c r="A15" t="s">
        <v>356</v>
      </c>
      <c r="B15">
        <v>3022004</v>
      </c>
      <c r="C15">
        <v>2004</v>
      </c>
      <c r="D15">
        <v>28</v>
      </c>
      <c r="E15">
        <v>26</v>
      </c>
      <c r="F15">
        <v>29</v>
      </c>
      <c r="G15">
        <v>28</v>
      </c>
      <c r="H15">
        <v>24</v>
      </c>
      <c r="I15">
        <v>21</v>
      </c>
      <c r="J15"/>
      <c r="K15"/>
      <c r="L15"/>
      <c r="M15"/>
      <c r="N15"/>
      <c r="O15"/>
      <c r="P15"/>
      <c r="Q15"/>
      <c r="R15"/>
      <c r="S15"/>
      <c r="T15"/>
      <c r="U15"/>
      <c r="V15">
        <v>30</v>
      </c>
      <c r="W15">
        <v>186</v>
      </c>
      <c r="X15"/>
      <c r="Y15"/>
      <c r="Z15"/>
      <c r="AA15"/>
      <c r="AB15"/>
      <c r="AC15"/>
      <c r="AD15"/>
      <c r="AE15"/>
      <c r="AF15"/>
      <c r="AG15"/>
      <c r="AH15"/>
      <c r="AI15"/>
      <c r="AJ15"/>
      <c r="AK15"/>
      <c r="AL15"/>
      <c r="AM15"/>
      <c r="AN15"/>
      <c r="AO15"/>
      <c r="AP15"/>
    </row>
    <row r="16" spans="1:42">
      <c r="A16" t="s">
        <v>42</v>
      </c>
      <c r="B16">
        <v>3022007</v>
      </c>
      <c r="C16">
        <v>2007</v>
      </c>
      <c r="D16"/>
      <c r="E16"/>
      <c r="F16">
        <v>89</v>
      </c>
      <c r="G16">
        <v>89</v>
      </c>
      <c r="H16">
        <v>90</v>
      </c>
      <c r="I16">
        <v>89</v>
      </c>
      <c r="J16"/>
      <c r="K16"/>
      <c r="L16"/>
      <c r="M16"/>
      <c r="N16"/>
      <c r="O16"/>
      <c r="P16"/>
      <c r="Q16"/>
      <c r="R16"/>
      <c r="S16"/>
      <c r="T16"/>
      <c r="U16"/>
      <c r="V16"/>
      <c r="W16">
        <v>357</v>
      </c>
      <c r="X16"/>
      <c r="Y16"/>
      <c r="Z16"/>
      <c r="AA16"/>
      <c r="AB16"/>
      <c r="AC16"/>
      <c r="AD16"/>
      <c r="AE16"/>
      <c r="AF16"/>
      <c r="AG16"/>
      <c r="AH16"/>
      <c r="AI16"/>
      <c r="AJ16"/>
      <c r="AK16"/>
      <c r="AL16"/>
      <c r="AM16"/>
      <c r="AN16"/>
      <c r="AO16"/>
      <c r="AP16"/>
    </row>
    <row r="17" spans="1:42">
      <c r="A17" t="s">
        <v>357</v>
      </c>
      <c r="B17">
        <v>3022008</v>
      </c>
      <c r="C17">
        <v>2008</v>
      </c>
      <c r="D17">
        <v>88</v>
      </c>
      <c r="E17">
        <v>90</v>
      </c>
      <c r="F17"/>
      <c r="G17"/>
      <c r="H17"/>
      <c r="I17"/>
      <c r="J17"/>
      <c r="K17"/>
      <c r="L17"/>
      <c r="M17"/>
      <c r="N17"/>
      <c r="O17"/>
      <c r="P17"/>
      <c r="Q17"/>
      <c r="R17"/>
      <c r="S17"/>
      <c r="T17"/>
      <c r="U17">
        <v>42</v>
      </c>
      <c r="V17">
        <v>89</v>
      </c>
      <c r="W17">
        <v>309</v>
      </c>
      <c r="X17"/>
      <c r="Y17"/>
      <c r="Z17"/>
      <c r="AA17"/>
      <c r="AB17"/>
      <c r="AC17"/>
      <c r="AD17"/>
      <c r="AE17"/>
      <c r="AF17"/>
      <c r="AG17"/>
      <c r="AH17"/>
      <c r="AI17"/>
      <c r="AJ17"/>
      <c r="AK17"/>
      <c r="AL17"/>
      <c r="AM17"/>
      <c r="AN17"/>
      <c r="AO17"/>
      <c r="AP17"/>
    </row>
    <row r="18" spans="1:42">
      <c r="A18" t="s">
        <v>358</v>
      </c>
      <c r="B18">
        <v>3022009</v>
      </c>
      <c r="C18">
        <v>2009</v>
      </c>
      <c r="D18">
        <v>60</v>
      </c>
      <c r="E18">
        <v>59</v>
      </c>
      <c r="F18">
        <v>60</v>
      </c>
      <c r="G18">
        <v>61</v>
      </c>
      <c r="H18">
        <v>62</v>
      </c>
      <c r="I18">
        <v>61</v>
      </c>
      <c r="J18"/>
      <c r="K18"/>
      <c r="L18"/>
      <c r="M18"/>
      <c r="N18"/>
      <c r="O18"/>
      <c r="P18"/>
      <c r="Q18"/>
      <c r="R18"/>
      <c r="S18"/>
      <c r="T18"/>
      <c r="U18">
        <v>32</v>
      </c>
      <c r="V18">
        <v>60</v>
      </c>
      <c r="W18">
        <v>455</v>
      </c>
      <c r="X18"/>
      <c r="Y18"/>
      <c r="Z18"/>
      <c r="AA18"/>
      <c r="AB18"/>
      <c r="AC18"/>
      <c r="AD18"/>
      <c r="AE18"/>
      <c r="AF18"/>
      <c r="AG18"/>
      <c r="AH18"/>
      <c r="AI18"/>
      <c r="AJ18"/>
      <c r="AK18"/>
      <c r="AL18"/>
      <c r="AM18"/>
      <c r="AN18"/>
      <c r="AO18"/>
      <c r="AP18"/>
    </row>
    <row r="19" spans="1:42">
      <c r="A19" t="s">
        <v>45</v>
      </c>
      <c r="B19">
        <v>3022010</v>
      </c>
      <c r="C19">
        <v>2010</v>
      </c>
      <c r="D19">
        <v>51</v>
      </c>
      <c r="E19">
        <v>55</v>
      </c>
      <c r="F19">
        <v>59</v>
      </c>
      <c r="G19">
        <v>45</v>
      </c>
      <c r="H19">
        <v>45</v>
      </c>
      <c r="I19">
        <v>47</v>
      </c>
      <c r="J19"/>
      <c r="K19"/>
      <c r="L19"/>
      <c r="M19"/>
      <c r="N19"/>
      <c r="O19"/>
      <c r="P19"/>
      <c r="Q19"/>
      <c r="R19"/>
      <c r="S19">
        <v>12</v>
      </c>
      <c r="T19">
        <v>11</v>
      </c>
      <c r="U19">
        <v>45</v>
      </c>
      <c r="V19">
        <v>61</v>
      </c>
      <c r="W19">
        <v>431</v>
      </c>
      <c r="X19"/>
      <c r="Y19"/>
      <c r="Z19"/>
      <c r="AA19"/>
      <c r="AB19"/>
      <c r="AC19"/>
      <c r="AD19"/>
      <c r="AE19"/>
      <c r="AF19"/>
      <c r="AG19"/>
      <c r="AH19"/>
      <c r="AI19"/>
      <c r="AJ19"/>
      <c r="AK19"/>
      <c r="AL19"/>
      <c r="AM19"/>
      <c r="AN19"/>
      <c r="AO19"/>
      <c r="AP19"/>
    </row>
    <row r="20" spans="1:42">
      <c r="A20" t="s">
        <v>359</v>
      </c>
      <c r="B20">
        <v>3022011</v>
      </c>
      <c r="C20">
        <v>2011</v>
      </c>
      <c r="D20">
        <v>30</v>
      </c>
      <c r="E20">
        <v>30</v>
      </c>
      <c r="F20">
        <v>30</v>
      </c>
      <c r="G20">
        <v>31</v>
      </c>
      <c r="H20">
        <v>30</v>
      </c>
      <c r="I20">
        <v>30</v>
      </c>
      <c r="J20"/>
      <c r="K20"/>
      <c r="L20"/>
      <c r="M20"/>
      <c r="N20"/>
      <c r="O20"/>
      <c r="P20"/>
      <c r="Q20"/>
      <c r="R20"/>
      <c r="S20"/>
      <c r="T20"/>
      <c r="U20"/>
      <c r="V20">
        <v>30</v>
      </c>
      <c r="W20">
        <v>211</v>
      </c>
      <c r="X20"/>
      <c r="Y20"/>
      <c r="Z20"/>
      <c r="AA20"/>
      <c r="AB20"/>
      <c r="AC20"/>
      <c r="AD20"/>
      <c r="AE20"/>
      <c r="AF20"/>
      <c r="AG20"/>
      <c r="AH20"/>
      <c r="AI20"/>
      <c r="AJ20"/>
      <c r="AK20"/>
      <c r="AL20"/>
      <c r="AM20"/>
      <c r="AN20"/>
      <c r="AO20"/>
      <c r="AP20"/>
    </row>
    <row r="21" spans="1:42">
      <c r="A21" t="s">
        <v>49</v>
      </c>
      <c r="B21">
        <v>3022014</v>
      </c>
      <c r="C21">
        <v>2014</v>
      </c>
      <c r="D21">
        <v>89</v>
      </c>
      <c r="E21">
        <v>90</v>
      </c>
      <c r="F21">
        <v>89</v>
      </c>
      <c r="G21">
        <v>89</v>
      </c>
      <c r="H21">
        <v>90</v>
      </c>
      <c r="I21">
        <v>90</v>
      </c>
      <c r="J21"/>
      <c r="K21"/>
      <c r="L21"/>
      <c r="M21"/>
      <c r="N21"/>
      <c r="O21"/>
      <c r="P21"/>
      <c r="Q21"/>
      <c r="R21"/>
      <c r="S21"/>
      <c r="T21"/>
      <c r="U21">
        <v>60</v>
      </c>
      <c r="V21">
        <v>89</v>
      </c>
      <c r="W21">
        <v>686</v>
      </c>
      <c r="X21"/>
      <c r="Y21"/>
      <c r="Z21"/>
      <c r="AA21"/>
      <c r="AB21"/>
      <c r="AC21"/>
      <c r="AD21"/>
      <c r="AE21"/>
      <c r="AF21"/>
      <c r="AG21"/>
      <c r="AH21"/>
      <c r="AI21"/>
      <c r="AJ21"/>
      <c r="AK21"/>
      <c r="AL21"/>
      <c r="AM21"/>
      <c r="AN21"/>
      <c r="AO21"/>
      <c r="AP21"/>
    </row>
    <row r="22" spans="1:42">
      <c r="A22" t="s">
        <v>360</v>
      </c>
      <c r="B22">
        <v>3022015</v>
      </c>
      <c r="C22">
        <v>2015</v>
      </c>
      <c r="D22">
        <v>30</v>
      </c>
      <c r="E22">
        <v>30</v>
      </c>
      <c r="F22">
        <v>30</v>
      </c>
      <c r="G22">
        <v>30</v>
      </c>
      <c r="H22">
        <v>31</v>
      </c>
      <c r="I22">
        <v>30</v>
      </c>
      <c r="J22"/>
      <c r="K22"/>
      <c r="L22"/>
      <c r="M22"/>
      <c r="N22"/>
      <c r="O22"/>
      <c r="P22"/>
      <c r="Q22"/>
      <c r="R22"/>
      <c r="S22"/>
      <c r="T22">
        <v>7</v>
      </c>
      <c r="U22">
        <v>35</v>
      </c>
      <c r="V22">
        <v>29</v>
      </c>
      <c r="W22">
        <v>252</v>
      </c>
      <c r="X22"/>
      <c r="Y22"/>
      <c r="Z22"/>
      <c r="AA22"/>
      <c r="AB22"/>
      <c r="AC22"/>
      <c r="AD22"/>
      <c r="AE22"/>
      <c r="AF22"/>
      <c r="AG22"/>
      <c r="AH22"/>
      <c r="AI22"/>
      <c r="AJ22"/>
      <c r="AK22"/>
      <c r="AL22"/>
      <c r="AM22"/>
      <c r="AN22"/>
      <c r="AO22"/>
      <c r="AP22"/>
    </row>
    <row r="23" spans="1:42">
      <c r="A23" t="s">
        <v>52</v>
      </c>
      <c r="B23">
        <v>3022016</v>
      </c>
      <c r="C23">
        <v>2016</v>
      </c>
      <c r="D23">
        <v>30</v>
      </c>
      <c r="E23">
        <v>30</v>
      </c>
      <c r="F23">
        <v>30</v>
      </c>
      <c r="G23">
        <v>30</v>
      </c>
      <c r="H23">
        <v>31</v>
      </c>
      <c r="I23">
        <v>30</v>
      </c>
      <c r="J23"/>
      <c r="K23"/>
      <c r="L23"/>
      <c r="M23"/>
      <c r="N23"/>
      <c r="O23"/>
      <c r="P23"/>
      <c r="Q23"/>
      <c r="R23"/>
      <c r="S23"/>
      <c r="T23"/>
      <c r="U23"/>
      <c r="V23">
        <v>30</v>
      </c>
      <c r="W23">
        <v>211</v>
      </c>
      <c r="X23"/>
      <c r="Y23"/>
      <c r="Z23"/>
      <c r="AA23"/>
      <c r="AB23"/>
      <c r="AC23"/>
      <c r="AD23"/>
      <c r="AE23"/>
      <c r="AF23"/>
      <c r="AG23"/>
      <c r="AH23"/>
      <c r="AI23"/>
      <c r="AJ23"/>
      <c r="AK23"/>
      <c r="AL23"/>
      <c r="AM23"/>
      <c r="AN23"/>
      <c r="AO23"/>
      <c r="AP23"/>
    </row>
    <row r="24" spans="1:42">
      <c r="A24" t="s">
        <v>268</v>
      </c>
      <c r="B24">
        <v>3022017</v>
      </c>
      <c r="C24">
        <v>2017</v>
      </c>
      <c r="D24">
        <v>59</v>
      </c>
      <c r="E24">
        <v>62</v>
      </c>
      <c r="F24">
        <v>62</v>
      </c>
      <c r="G24">
        <v>61</v>
      </c>
      <c r="H24">
        <v>60</v>
      </c>
      <c r="I24">
        <v>60</v>
      </c>
      <c r="J24"/>
      <c r="K24"/>
      <c r="L24"/>
      <c r="M24"/>
      <c r="N24"/>
      <c r="O24"/>
      <c r="P24"/>
      <c r="Q24"/>
      <c r="R24"/>
      <c r="S24"/>
      <c r="T24"/>
      <c r="U24"/>
      <c r="V24">
        <v>61</v>
      </c>
      <c r="W24">
        <v>425</v>
      </c>
      <c r="X24"/>
      <c r="Y24"/>
      <c r="Z24"/>
      <c r="AA24"/>
      <c r="AB24"/>
      <c r="AC24"/>
      <c r="AD24"/>
      <c r="AE24"/>
      <c r="AF24"/>
      <c r="AG24"/>
      <c r="AH24"/>
      <c r="AI24"/>
      <c r="AJ24"/>
      <c r="AK24"/>
      <c r="AL24"/>
      <c r="AM24"/>
      <c r="AN24"/>
      <c r="AO24"/>
      <c r="AP24"/>
    </row>
    <row r="25" spans="1:42">
      <c r="A25" t="s">
        <v>56</v>
      </c>
      <c r="B25">
        <v>3022018</v>
      </c>
      <c r="C25">
        <v>2018</v>
      </c>
      <c r="D25"/>
      <c r="E25"/>
      <c r="F25">
        <v>89</v>
      </c>
      <c r="G25">
        <v>88</v>
      </c>
      <c r="H25">
        <v>90</v>
      </c>
      <c r="I25">
        <v>88</v>
      </c>
      <c r="J25"/>
      <c r="K25"/>
      <c r="L25"/>
      <c r="M25"/>
      <c r="N25"/>
      <c r="O25"/>
      <c r="P25"/>
      <c r="Q25"/>
      <c r="R25"/>
      <c r="S25"/>
      <c r="T25"/>
      <c r="U25"/>
      <c r="V25"/>
      <c r="W25">
        <v>355</v>
      </c>
      <c r="X25"/>
      <c r="Y25"/>
      <c r="Z25"/>
      <c r="AA25"/>
      <c r="AB25"/>
      <c r="AC25"/>
      <c r="AD25"/>
      <c r="AE25"/>
      <c r="AF25"/>
      <c r="AG25"/>
      <c r="AH25"/>
      <c r="AI25"/>
      <c r="AJ25"/>
      <c r="AK25"/>
      <c r="AL25"/>
      <c r="AM25"/>
      <c r="AN25"/>
      <c r="AO25"/>
      <c r="AP25"/>
    </row>
    <row r="26" spans="1:42">
      <c r="A26" t="s">
        <v>55</v>
      </c>
      <c r="B26">
        <v>3022019</v>
      </c>
      <c r="C26">
        <v>2019</v>
      </c>
      <c r="D26">
        <v>77</v>
      </c>
      <c r="E26">
        <v>84</v>
      </c>
      <c r="F26"/>
      <c r="G26"/>
      <c r="H26"/>
      <c r="I26"/>
      <c r="J26"/>
      <c r="K26"/>
      <c r="L26"/>
      <c r="M26"/>
      <c r="N26"/>
      <c r="O26"/>
      <c r="P26"/>
      <c r="Q26"/>
      <c r="R26"/>
      <c r="S26"/>
      <c r="T26"/>
      <c r="U26">
        <v>45</v>
      </c>
      <c r="V26">
        <v>72</v>
      </c>
      <c r="W26">
        <v>278</v>
      </c>
      <c r="X26"/>
      <c r="Y26"/>
      <c r="Z26"/>
      <c r="AA26"/>
      <c r="AB26"/>
      <c r="AC26"/>
      <c r="AD26"/>
      <c r="AE26"/>
      <c r="AF26"/>
      <c r="AG26"/>
      <c r="AH26"/>
      <c r="AI26"/>
      <c r="AJ26"/>
      <c r="AK26"/>
      <c r="AL26"/>
      <c r="AM26"/>
      <c r="AN26"/>
      <c r="AO26"/>
      <c r="AP26"/>
    </row>
    <row r="27" spans="1:42">
      <c r="A27" t="s">
        <v>361</v>
      </c>
      <c r="B27">
        <v>3022020</v>
      </c>
      <c r="C27">
        <v>2020</v>
      </c>
      <c r="D27">
        <v>30</v>
      </c>
      <c r="E27">
        <v>30</v>
      </c>
      <c r="F27">
        <v>30</v>
      </c>
      <c r="G27">
        <v>30</v>
      </c>
      <c r="H27">
        <v>30</v>
      </c>
      <c r="I27">
        <v>29</v>
      </c>
      <c r="J27"/>
      <c r="K27"/>
      <c r="L27"/>
      <c r="M27"/>
      <c r="N27"/>
      <c r="O27"/>
      <c r="P27"/>
      <c r="Q27"/>
      <c r="R27"/>
      <c r="S27"/>
      <c r="T27"/>
      <c r="U27"/>
      <c r="V27">
        <v>30</v>
      </c>
      <c r="W27">
        <v>209</v>
      </c>
      <c r="X27"/>
      <c r="Y27"/>
      <c r="Z27"/>
      <c r="AA27"/>
      <c r="AB27"/>
      <c r="AC27"/>
      <c r="AD27"/>
      <c r="AE27"/>
      <c r="AF27"/>
      <c r="AG27"/>
      <c r="AH27"/>
      <c r="AI27"/>
      <c r="AJ27"/>
      <c r="AK27"/>
      <c r="AL27"/>
      <c r="AM27"/>
      <c r="AN27"/>
      <c r="AO27"/>
      <c r="AP27"/>
    </row>
    <row r="28" spans="1:42">
      <c r="A28" t="s">
        <v>474</v>
      </c>
      <c r="B28">
        <v>3022021</v>
      </c>
      <c r="C28">
        <v>2021</v>
      </c>
      <c r="D28">
        <v>56</v>
      </c>
      <c r="E28">
        <v>58</v>
      </c>
      <c r="F28">
        <v>80</v>
      </c>
      <c r="G28">
        <v>78</v>
      </c>
      <c r="H28">
        <v>80</v>
      </c>
      <c r="I28">
        <v>90</v>
      </c>
      <c r="J28"/>
      <c r="K28"/>
      <c r="L28"/>
      <c r="M28"/>
      <c r="N28"/>
      <c r="O28"/>
      <c r="P28"/>
      <c r="Q28"/>
      <c r="R28"/>
      <c r="S28">
        <v>15</v>
      </c>
      <c r="T28">
        <v>10</v>
      </c>
      <c r="U28">
        <v>41</v>
      </c>
      <c r="V28">
        <v>52</v>
      </c>
      <c r="W28">
        <v>560</v>
      </c>
      <c r="X28"/>
      <c r="Y28"/>
      <c r="Z28"/>
      <c r="AA28"/>
      <c r="AB28"/>
      <c r="AC28"/>
      <c r="AD28"/>
      <c r="AE28"/>
      <c r="AF28"/>
      <c r="AG28"/>
      <c r="AH28"/>
      <c r="AI28"/>
      <c r="AJ28"/>
      <c r="AK28"/>
      <c r="AL28"/>
      <c r="AM28"/>
      <c r="AN28"/>
      <c r="AO28"/>
      <c r="AP28"/>
    </row>
    <row r="29" spans="1:42">
      <c r="A29" t="s">
        <v>412</v>
      </c>
      <c r="B29">
        <v>3022023</v>
      </c>
      <c r="C29">
        <v>2023</v>
      </c>
      <c r="D29">
        <v>60</v>
      </c>
      <c r="E29">
        <v>74</v>
      </c>
      <c r="F29">
        <v>81</v>
      </c>
      <c r="G29">
        <v>87</v>
      </c>
      <c r="H29">
        <v>90</v>
      </c>
      <c r="I29">
        <v>89</v>
      </c>
      <c r="J29"/>
      <c r="K29"/>
      <c r="L29"/>
      <c r="M29"/>
      <c r="N29"/>
      <c r="O29"/>
      <c r="P29"/>
      <c r="Q29"/>
      <c r="R29"/>
      <c r="S29"/>
      <c r="T29"/>
      <c r="U29">
        <v>44</v>
      </c>
      <c r="V29">
        <v>58</v>
      </c>
      <c r="W29">
        <v>583</v>
      </c>
      <c r="X29"/>
      <c r="Y29"/>
      <c r="Z29"/>
      <c r="AA29"/>
      <c r="AB29"/>
      <c r="AC29"/>
      <c r="AD29"/>
      <c r="AE29"/>
      <c r="AF29"/>
      <c r="AG29"/>
      <c r="AH29"/>
      <c r="AI29"/>
      <c r="AJ29"/>
      <c r="AK29"/>
      <c r="AL29"/>
      <c r="AM29"/>
      <c r="AN29"/>
      <c r="AO29"/>
      <c r="AP29"/>
    </row>
    <row r="30" spans="1:42">
      <c r="A30" t="s">
        <v>362</v>
      </c>
      <c r="B30">
        <v>3022024</v>
      </c>
      <c r="C30">
        <v>2024</v>
      </c>
      <c r="D30">
        <v>27</v>
      </c>
      <c r="E30">
        <v>28</v>
      </c>
      <c r="F30">
        <v>29</v>
      </c>
      <c r="G30">
        <v>31</v>
      </c>
      <c r="H30">
        <v>30</v>
      </c>
      <c r="I30">
        <v>29</v>
      </c>
      <c r="J30"/>
      <c r="K30"/>
      <c r="L30"/>
      <c r="M30"/>
      <c r="N30"/>
      <c r="O30"/>
      <c r="P30"/>
      <c r="Q30"/>
      <c r="R30"/>
      <c r="S30">
        <v>25</v>
      </c>
      <c r="T30">
        <v>17</v>
      </c>
      <c r="U30">
        <v>56</v>
      </c>
      <c r="V30">
        <v>30</v>
      </c>
      <c r="W30">
        <v>302</v>
      </c>
      <c r="X30"/>
      <c r="Y30"/>
      <c r="Z30"/>
      <c r="AA30"/>
      <c r="AB30"/>
      <c r="AC30"/>
      <c r="AD30"/>
      <c r="AE30"/>
      <c r="AF30"/>
      <c r="AG30"/>
      <c r="AH30"/>
      <c r="AI30"/>
      <c r="AJ30"/>
      <c r="AK30"/>
      <c r="AL30"/>
      <c r="AM30"/>
      <c r="AN30"/>
      <c r="AO30"/>
      <c r="AP30"/>
    </row>
    <row r="31" spans="1:42">
      <c r="A31" t="s">
        <v>363</v>
      </c>
      <c r="B31">
        <v>3022025</v>
      </c>
      <c r="C31">
        <v>2025</v>
      </c>
      <c r="D31">
        <v>47</v>
      </c>
      <c r="E31">
        <v>47</v>
      </c>
      <c r="F31">
        <v>46</v>
      </c>
      <c r="G31">
        <v>46</v>
      </c>
      <c r="H31">
        <v>45</v>
      </c>
      <c r="I31">
        <v>44</v>
      </c>
      <c r="J31"/>
      <c r="K31"/>
      <c r="L31"/>
      <c r="M31"/>
      <c r="N31"/>
      <c r="O31"/>
      <c r="P31"/>
      <c r="Q31"/>
      <c r="R31"/>
      <c r="S31"/>
      <c r="T31"/>
      <c r="U31"/>
      <c r="V31">
        <v>45</v>
      </c>
      <c r="W31">
        <v>320</v>
      </c>
      <c r="X31"/>
      <c r="Y31"/>
      <c r="Z31"/>
      <c r="AA31"/>
      <c r="AB31"/>
      <c r="AC31"/>
      <c r="AD31"/>
      <c r="AE31"/>
      <c r="AF31"/>
      <c r="AG31"/>
      <c r="AH31"/>
      <c r="AI31"/>
      <c r="AJ31"/>
      <c r="AK31"/>
      <c r="AL31"/>
      <c r="AM31"/>
      <c r="AN31"/>
      <c r="AO31"/>
      <c r="AP31"/>
    </row>
    <row r="32" spans="1:42">
      <c r="A32" t="s">
        <v>63</v>
      </c>
      <c r="B32">
        <v>3022026</v>
      </c>
      <c r="C32">
        <v>2026</v>
      </c>
      <c r="D32">
        <v>82</v>
      </c>
      <c r="E32">
        <v>77</v>
      </c>
      <c r="F32">
        <v>71</v>
      </c>
      <c r="G32">
        <v>90</v>
      </c>
      <c r="H32">
        <v>75</v>
      </c>
      <c r="I32">
        <v>87</v>
      </c>
      <c r="J32"/>
      <c r="K32"/>
      <c r="L32"/>
      <c r="M32"/>
      <c r="N32"/>
      <c r="O32"/>
      <c r="P32"/>
      <c r="Q32"/>
      <c r="R32"/>
      <c r="S32"/>
      <c r="T32">
        <v>10</v>
      </c>
      <c r="U32">
        <v>38</v>
      </c>
      <c r="V32">
        <v>60</v>
      </c>
      <c r="W32">
        <v>590</v>
      </c>
      <c r="X32"/>
      <c r="Y32"/>
      <c r="Z32"/>
      <c r="AA32"/>
      <c r="AB32"/>
      <c r="AC32"/>
      <c r="AD32"/>
      <c r="AE32"/>
      <c r="AF32"/>
      <c r="AG32"/>
      <c r="AH32"/>
      <c r="AI32"/>
      <c r="AJ32"/>
      <c r="AK32"/>
      <c r="AL32"/>
      <c r="AM32"/>
      <c r="AN32"/>
      <c r="AO32"/>
      <c r="AP32"/>
    </row>
    <row r="33" spans="1:42">
      <c r="A33" t="s">
        <v>364</v>
      </c>
      <c r="B33">
        <v>3022027</v>
      </c>
      <c r="C33">
        <v>2027</v>
      </c>
      <c r="D33"/>
      <c r="E33"/>
      <c r="F33">
        <v>89</v>
      </c>
      <c r="G33">
        <v>89</v>
      </c>
      <c r="H33">
        <v>88</v>
      </c>
      <c r="I33">
        <v>89</v>
      </c>
      <c r="J33"/>
      <c r="K33"/>
      <c r="L33"/>
      <c r="M33"/>
      <c r="N33"/>
      <c r="O33"/>
      <c r="P33"/>
      <c r="Q33"/>
      <c r="R33"/>
      <c r="S33"/>
      <c r="T33"/>
      <c r="U33"/>
      <c r="V33"/>
      <c r="W33">
        <v>355</v>
      </c>
      <c r="X33"/>
      <c r="Y33"/>
      <c r="Z33"/>
      <c r="AA33"/>
      <c r="AB33"/>
      <c r="AC33"/>
      <c r="AD33"/>
      <c r="AE33"/>
      <c r="AF33"/>
      <c r="AG33"/>
      <c r="AH33"/>
      <c r="AI33"/>
      <c r="AJ33"/>
      <c r="AK33"/>
      <c r="AL33"/>
      <c r="AM33"/>
      <c r="AN33"/>
      <c r="AO33"/>
      <c r="AP33"/>
    </row>
    <row r="34" spans="1:42">
      <c r="A34" t="s">
        <v>64</v>
      </c>
      <c r="B34">
        <v>3022028</v>
      </c>
      <c r="C34">
        <v>2028</v>
      </c>
      <c r="D34">
        <v>79</v>
      </c>
      <c r="E34">
        <v>86</v>
      </c>
      <c r="F34"/>
      <c r="G34"/>
      <c r="H34"/>
      <c r="I34"/>
      <c r="J34"/>
      <c r="K34"/>
      <c r="L34"/>
      <c r="M34"/>
      <c r="N34"/>
      <c r="O34"/>
      <c r="P34"/>
      <c r="Q34"/>
      <c r="R34"/>
      <c r="S34"/>
      <c r="T34"/>
      <c r="U34"/>
      <c r="V34">
        <v>87</v>
      </c>
      <c r="W34">
        <v>252</v>
      </c>
      <c r="X34"/>
      <c r="Y34"/>
      <c r="Z34"/>
      <c r="AA34"/>
      <c r="AB34"/>
      <c r="AC34"/>
      <c r="AD34"/>
      <c r="AE34"/>
      <c r="AF34"/>
      <c r="AG34"/>
      <c r="AH34"/>
      <c r="AI34"/>
      <c r="AJ34"/>
      <c r="AK34"/>
      <c r="AL34"/>
      <c r="AM34"/>
      <c r="AN34"/>
      <c r="AO34"/>
      <c r="AP34"/>
    </row>
    <row r="35" spans="1:42">
      <c r="A35" t="s">
        <v>271</v>
      </c>
      <c r="B35">
        <v>3022029</v>
      </c>
      <c r="C35">
        <v>2029</v>
      </c>
      <c r="D35">
        <v>59</v>
      </c>
      <c r="E35">
        <v>61</v>
      </c>
      <c r="F35">
        <v>60</v>
      </c>
      <c r="G35">
        <v>62</v>
      </c>
      <c r="H35">
        <v>60</v>
      </c>
      <c r="I35">
        <v>60</v>
      </c>
      <c r="J35"/>
      <c r="K35"/>
      <c r="L35"/>
      <c r="M35"/>
      <c r="N35"/>
      <c r="O35"/>
      <c r="P35"/>
      <c r="Q35"/>
      <c r="R35"/>
      <c r="S35"/>
      <c r="T35"/>
      <c r="U35">
        <v>50</v>
      </c>
      <c r="V35">
        <v>60</v>
      </c>
      <c r="W35">
        <v>472</v>
      </c>
      <c r="X35"/>
      <c r="Y35"/>
      <c r="Z35"/>
      <c r="AA35"/>
      <c r="AB35"/>
      <c r="AC35"/>
      <c r="AD35"/>
      <c r="AE35"/>
      <c r="AF35"/>
      <c r="AG35"/>
      <c r="AH35"/>
      <c r="AI35"/>
      <c r="AJ35"/>
      <c r="AK35"/>
      <c r="AL35"/>
      <c r="AM35"/>
      <c r="AN35"/>
      <c r="AO35"/>
      <c r="AP35"/>
    </row>
    <row r="36" spans="1:42">
      <c r="A36" t="s">
        <v>365</v>
      </c>
      <c r="B36">
        <v>3022030</v>
      </c>
      <c r="C36">
        <v>2030</v>
      </c>
      <c r="D36">
        <v>29</v>
      </c>
      <c r="E36">
        <v>30</v>
      </c>
      <c r="F36"/>
      <c r="G36"/>
      <c r="H36"/>
      <c r="I36"/>
      <c r="J36"/>
      <c r="K36"/>
      <c r="L36"/>
      <c r="M36"/>
      <c r="N36"/>
      <c r="O36"/>
      <c r="P36"/>
      <c r="Q36"/>
      <c r="R36"/>
      <c r="S36"/>
      <c r="T36"/>
      <c r="U36"/>
      <c r="V36">
        <v>21</v>
      </c>
      <c r="W36">
        <v>80</v>
      </c>
      <c r="X36"/>
      <c r="Y36"/>
      <c r="Z36"/>
      <c r="AA36"/>
      <c r="AB36"/>
      <c r="AC36"/>
      <c r="AD36"/>
      <c r="AE36"/>
      <c r="AF36"/>
      <c r="AG36"/>
      <c r="AH36"/>
      <c r="AI36"/>
      <c r="AJ36"/>
      <c r="AK36"/>
      <c r="AL36"/>
      <c r="AM36"/>
      <c r="AN36"/>
      <c r="AO36"/>
      <c r="AP36"/>
    </row>
    <row r="37" spans="1:42">
      <c r="A37" t="s">
        <v>272</v>
      </c>
      <c r="B37">
        <v>3022031</v>
      </c>
      <c r="C37">
        <v>2031</v>
      </c>
      <c r="D37">
        <v>25</v>
      </c>
      <c r="E37">
        <v>18</v>
      </c>
      <c r="F37">
        <v>28</v>
      </c>
      <c r="G37">
        <v>30</v>
      </c>
      <c r="H37">
        <v>31</v>
      </c>
      <c r="I37">
        <v>31</v>
      </c>
      <c r="J37"/>
      <c r="K37"/>
      <c r="L37"/>
      <c r="M37"/>
      <c r="N37"/>
      <c r="O37"/>
      <c r="P37"/>
      <c r="Q37"/>
      <c r="R37"/>
      <c r="S37"/>
      <c r="T37">
        <v>16</v>
      </c>
      <c r="U37">
        <v>17</v>
      </c>
      <c r="V37">
        <v>30</v>
      </c>
      <c r="W37">
        <v>226</v>
      </c>
      <c r="X37"/>
      <c r="Y37"/>
      <c r="Z37"/>
      <c r="AA37"/>
      <c r="AB37"/>
      <c r="AC37"/>
      <c r="AD37"/>
      <c r="AE37"/>
      <c r="AF37"/>
      <c r="AG37"/>
      <c r="AH37"/>
      <c r="AI37"/>
      <c r="AJ37"/>
      <c r="AK37"/>
      <c r="AL37"/>
      <c r="AM37"/>
      <c r="AN37"/>
      <c r="AO37"/>
      <c r="AP37"/>
    </row>
    <row r="38" spans="1:42">
      <c r="A38" t="s">
        <v>70</v>
      </c>
      <c r="B38">
        <v>3022032</v>
      </c>
      <c r="C38">
        <v>2032</v>
      </c>
      <c r="D38">
        <v>54</v>
      </c>
      <c r="E38">
        <v>87</v>
      </c>
      <c r="F38">
        <v>61</v>
      </c>
      <c r="G38">
        <v>59</v>
      </c>
      <c r="H38">
        <v>60</v>
      </c>
      <c r="I38">
        <v>60</v>
      </c>
      <c r="J38"/>
      <c r="K38"/>
      <c r="L38"/>
      <c r="M38"/>
      <c r="N38"/>
      <c r="O38"/>
      <c r="P38"/>
      <c r="Q38"/>
      <c r="R38"/>
      <c r="S38"/>
      <c r="T38"/>
      <c r="U38">
        <v>51</v>
      </c>
      <c r="V38">
        <v>60</v>
      </c>
      <c r="W38">
        <v>492</v>
      </c>
      <c r="X38"/>
      <c r="Y38"/>
      <c r="Z38"/>
      <c r="AA38"/>
      <c r="AB38"/>
      <c r="AC38"/>
      <c r="AD38"/>
      <c r="AE38"/>
      <c r="AF38"/>
      <c r="AG38"/>
      <c r="AH38"/>
      <c r="AI38"/>
      <c r="AJ38"/>
      <c r="AK38"/>
      <c r="AL38"/>
      <c r="AM38"/>
      <c r="AN38"/>
      <c r="AO38"/>
      <c r="AP38"/>
    </row>
    <row r="39" spans="1:42">
      <c r="A39" t="s">
        <v>72</v>
      </c>
      <c r="B39">
        <v>3022036</v>
      </c>
      <c r="C39">
        <v>2036</v>
      </c>
      <c r="D39">
        <v>31</v>
      </c>
      <c r="E39">
        <v>29</v>
      </c>
      <c r="F39">
        <v>31</v>
      </c>
      <c r="G39">
        <v>31</v>
      </c>
      <c r="H39">
        <v>62</v>
      </c>
      <c r="I39">
        <v>60</v>
      </c>
      <c r="J39"/>
      <c r="K39"/>
      <c r="L39"/>
      <c r="M39"/>
      <c r="N39"/>
      <c r="O39"/>
      <c r="P39"/>
      <c r="Q39"/>
      <c r="R39"/>
      <c r="S39"/>
      <c r="T39">
        <v>20</v>
      </c>
      <c r="U39">
        <v>30</v>
      </c>
      <c r="V39">
        <v>33</v>
      </c>
      <c r="W39">
        <v>327</v>
      </c>
      <c r="X39"/>
      <c r="Y39"/>
      <c r="Z39"/>
      <c r="AA39"/>
      <c r="AB39"/>
      <c r="AC39"/>
      <c r="AD39"/>
      <c r="AE39"/>
      <c r="AF39"/>
      <c r="AG39"/>
      <c r="AH39"/>
      <c r="AI39"/>
      <c r="AJ39"/>
      <c r="AK39"/>
      <c r="AL39"/>
      <c r="AM39"/>
      <c r="AN39"/>
      <c r="AO39"/>
      <c r="AP39"/>
    </row>
    <row r="40" spans="1:42">
      <c r="A40" t="s">
        <v>275</v>
      </c>
      <c r="B40">
        <v>3022037</v>
      </c>
      <c r="C40">
        <v>2037</v>
      </c>
      <c r="D40">
        <v>29</v>
      </c>
      <c r="E40">
        <v>30</v>
      </c>
      <c r="F40">
        <v>30</v>
      </c>
      <c r="G40">
        <v>59</v>
      </c>
      <c r="H40">
        <v>58</v>
      </c>
      <c r="I40">
        <v>30</v>
      </c>
      <c r="J40"/>
      <c r="K40"/>
      <c r="L40"/>
      <c r="M40"/>
      <c r="N40"/>
      <c r="O40"/>
      <c r="P40"/>
      <c r="Q40"/>
      <c r="R40"/>
      <c r="S40"/>
      <c r="T40">
        <v>8</v>
      </c>
      <c r="U40">
        <v>17</v>
      </c>
      <c r="V40">
        <v>30</v>
      </c>
      <c r="W40">
        <v>291</v>
      </c>
      <c r="X40"/>
      <c r="Y40"/>
      <c r="Z40"/>
      <c r="AA40"/>
      <c r="AB40"/>
      <c r="AC40"/>
      <c r="AD40"/>
      <c r="AE40"/>
      <c r="AF40"/>
      <c r="AG40"/>
      <c r="AH40"/>
      <c r="AI40"/>
      <c r="AJ40"/>
      <c r="AK40"/>
      <c r="AL40"/>
      <c r="AM40"/>
      <c r="AN40"/>
      <c r="AO40"/>
      <c r="AP40"/>
    </row>
    <row r="41" spans="1:42">
      <c r="A41" t="s">
        <v>283</v>
      </c>
      <c r="B41">
        <v>3022038</v>
      </c>
      <c r="C41">
        <v>2038</v>
      </c>
      <c r="D41">
        <v>54</v>
      </c>
      <c r="E41">
        <v>60</v>
      </c>
      <c r="F41">
        <v>48</v>
      </c>
      <c r="G41">
        <v>60</v>
      </c>
      <c r="H41">
        <v>57</v>
      </c>
      <c r="I41">
        <v>59</v>
      </c>
      <c r="J41"/>
      <c r="K41"/>
      <c r="L41"/>
      <c r="M41"/>
      <c r="N41"/>
      <c r="O41"/>
      <c r="P41"/>
      <c r="Q41"/>
      <c r="R41"/>
      <c r="S41"/>
      <c r="T41">
        <v>20</v>
      </c>
      <c r="U41">
        <v>65</v>
      </c>
      <c r="V41">
        <v>59</v>
      </c>
      <c r="W41">
        <v>482</v>
      </c>
      <c r="X41"/>
      <c r="Y41"/>
      <c r="Z41"/>
      <c r="AA41"/>
      <c r="AB41"/>
      <c r="AC41"/>
      <c r="AD41"/>
      <c r="AE41"/>
      <c r="AF41"/>
      <c r="AG41"/>
      <c r="AH41"/>
      <c r="AI41"/>
      <c r="AJ41"/>
      <c r="AK41"/>
      <c r="AL41"/>
      <c r="AM41"/>
      <c r="AN41"/>
      <c r="AO41"/>
      <c r="AP41"/>
    </row>
    <row r="42" spans="1:42">
      <c r="A42" t="s">
        <v>418</v>
      </c>
      <c r="B42">
        <v>3022041</v>
      </c>
      <c r="C42">
        <v>2041</v>
      </c>
      <c r="D42">
        <v>31</v>
      </c>
      <c r="E42">
        <v>30</v>
      </c>
      <c r="F42">
        <v>31</v>
      </c>
      <c r="G42">
        <v>31</v>
      </c>
      <c r="H42">
        <v>30</v>
      </c>
      <c r="I42">
        <v>31</v>
      </c>
      <c r="J42"/>
      <c r="K42"/>
      <c r="L42"/>
      <c r="M42"/>
      <c r="N42"/>
      <c r="O42"/>
      <c r="P42"/>
      <c r="Q42"/>
      <c r="R42"/>
      <c r="S42"/>
      <c r="T42"/>
      <c r="U42"/>
      <c r="V42">
        <v>24</v>
      </c>
      <c r="W42">
        <v>208</v>
      </c>
      <c r="X42"/>
      <c r="Y42"/>
      <c r="Z42"/>
      <c r="AA42"/>
      <c r="AB42"/>
      <c r="AC42"/>
      <c r="AD42"/>
      <c r="AE42"/>
      <c r="AF42"/>
      <c r="AG42"/>
      <c r="AH42"/>
      <c r="AI42"/>
      <c r="AJ42"/>
      <c r="AK42"/>
      <c r="AL42"/>
      <c r="AM42"/>
      <c r="AN42"/>
      <c r="AO42"/>
      <c r="AP42"/>
    </row>
    <row r="43" spans="1:42">
      <c r="A43" t="s">
        <v>79</v>
      </c>
      <c r="B43">
        <v>3022042</v>
      </c>
      <c r="C43">
        <v>2042</v>
      </c>
      <c r="D43">
        <v>59</v>
      </c>
      <c r="E43">
        <v>61</v>
      </c>
      <c r="F43">
        <v>62</v>
      </c>
      <c r="G43">
        <v>60</v>
      </c>
      <c r="H43">
        <v>62</v>
      </c>
      <c r="I43">
        <v>30</v>
      </c>
      <c r="J43"/>
      <c r="K43"/>
      <c r="L43"/>
      <c r="M43"/>
      <c r="N43"/>
      <c r="O43"/>
      <c r="P43"/>
      <c r="Q43"/>
      <c r="R43"/>
      <c r="S43"/>
      <c r="T43"/>
      <c r="U43"/>
      <c r="V43">
        <v>61</v>
      </c>
      <c r="W43">
        <v>395</v>
      </c>
      <c r="X43"/>
      <c r="Y43"/>
      <c r="Z43"/>
      <c r="AA43"/>
      <c r="AB43"/>
      <c r="AC43"/>
      <c r="AD43"/>
      <c r="AE43"/>
      <c r="AF43"/>
      <c r="AG43"/>
      <c r="AH43"/>
      <c r="AI43"/>
      <c r="AJ43"/>
      <c r="AK43"/>
      <c r="AL43"/>
      <c r="AM43"/>
      <c r="AN43"/>
      <c r="AO43"/>
      <c r="AP43"/>
    </row>
    <row r="44" spans="1:42">
      <c r="A44" t="s">
        <v>81</v>
      </c>
      <c r="B44">
        <v>3022043</v>
      </c>
      <c r="C44">
        <v>2043</v>
      </c>
      <c r="D44"/>
      <c r="E44"/>
      <c r="F44">
        <v>115</v>
      </c>
      <c r="G44">
        <v>119</v>
      </c>
      <c r="H44">
        <v>113</v>
      </c>
      <c r="I44">
        <v>114</v>
      </c>
      <c r="J44"/>
      <c r="K44"/>
      <c r="L44"/>
      <c r="M44"/>
      <c r="N44"/>
      <c r="O44"/>
      <c r="P44"/>
      <c r="Q44"/>
      <c r="R44"/>
      <c r="S44"/>
      <c r="T44"/>
      <c r="U44"/>
      <c r="V44"/>
      <c r="W44">
        <v>461</v>
      </c>
      <c r="X44"/>
      <c r="Y44"/>
      <c r="Z44"/>
      <c r="AA44"/>
      <c r="AB44"/>
      <c r="AC44"/>
      <c r="AD44"/>
      <c r="AE44"/>
      <c r="AF44"/>
      <c r="AG44"/>
      <c r="AH44"/>
      <c r="AI44"/>
      <c r="AJ44"/>
      <c r="AK44"/>
      <c r="AL44"/>
      <c r="AM44"/>
      <c r="AN44"/>
      <c r="AO44"/>
      <c r="AP44"/>
    </row>
    <row r="45" spans="1:42">
      <c r="A45" t="s">
        <v>80</v>
      </c>
      <c r="B45">
        <v>3022044</v>
      </c>
      <c r="C45">
        <v>2044</v>
      </c>
      <c r="D45">
        <v>120</v>
      </c>
      <c r="E45">
        <v>110</v>
      </c>
      <c r="F45"/>
      <c r="G45"/>
      <c r="H45"/>
      <c r="I45"/>
      <c r="J45"/>
      <c r="K45"/>
      <c r="L45"/>
      <c r="M45"/>
      <c r="N45"/>
      <c r="O45"/>
      <c r="P45"/>
      <c r="Q45"/>
      <c r="R45"/>
      <c r="S45"/>
      <c r="T45"/>
      <c r="U45"/>
      <c r="V45">
        <v>119</v>
      </c>
      <c r="W45">
        <v>349</v>
      </c>
      <c r="X45"/>
      <c r="Y45"/>
      <c r="Z45"/>
      <c r="AA45"/>
      <c r="AB45"/>
      <c r="AC45"/>
      <c r="AD45"/>
      <c r="AE45"/>
      <c r="AF45"/>
      <c r="AG45"/>
      <c r="AH45"/>
      <c r="AI45"/>
      <c r="AJ45"/>
      <c r="AK45"/>
      <c r="AL45"/>
      <c r="AM45"/>
      <c r="AN45"/>
      <c r="AO45"/>
      <c r="AP45"/>
    </row>
    <row r="46" spans="1:42">
      <c r="A46" t="s">
        <v>82</v>
      </c>
      <c r="B46">
        <v>3022045</v>
      </c>
      <c r="C46">
        <v>2045</v>
      </c>
      <c r="D46">
        <v>30</v>
      </c>
      <c r="E46">
        <v>31</v>
      </c>
      <c r="F46">
        <v>29</v>
      </c>
      <c r="G46">
        <v>31</v>
      </c>
      <c r="H46">
        <v>30</v>
      </c>
      <c r="I46">
        <v>61</v>
      </c>
      <c r="J46"/>
      <c r="K46"/>
      <c r="L46"/>
      <c r="M46"/>
      <c r="N46"/>
      <c r="O46"/>
      <c r="P46"/>
      <c r="Q46"/>
      <c r="R46"/>
      <c r="S46"/>
      <c r="T46">
        <v>4</v>
      </c>
      <c r="U46">
        <v>37</v>
      </c>
      <c r="V46">
        <v>30</v>
      </c>
      <c r="W46">
        <v>283</v>
      </c>
      <c r="X46"/>
      <c r="Y46"/>
      <c r="Z46"/>
      <c r="AA46"/>
      <c r="AB46"/>
      <c r="AC46"/>
      <c r="AD46"/>
      <c r="AE46"/>
      <c r="AF46"/>
      <c r="AG46"/>
      <c r="AH46"/>
      <c r="AI46"/>
      <c r="AJ46"/>
      <c r="AK46"/>
      <c r="AL46"/>
      <c r="AM46"/>
      <c r="AN46"/>
      <c r="AO46"/>
      <c r="AP46"/>
    </row>
    <row r="47" spans="1:42">
      <c r="A47" t="s">
        <v>292</v>
      </c>
      <c r="B47">
        <v>3022047</v>
      </c>
      <c r="C47">
        <v>2047</v>
      </c>
      <c r="D47">
        <v>60</v>
      </c>
      <c r="E47">
        <v>58</v>
      </c>
      <c r="F47">
        <v>59</v>
      </c>
      <c r="G47">
        <v>61</v>
      </c>
      <c r="H47">
        <v>63</v>
      </c>
      <c r="I47">
        <v>59</v>
      </c>
      <c r="J47"/>
      <c r="K47"/>
      <c r="L47"/>
      <c r="M47"/>
      <c r="N47"/>
      <c r="O47"/>
      <c r="P47"/>
      <c r="Q47"/>
      <c r="R47"/>
      <c r="S47"/>
      <c r="T47">
        <v>4</v>
      </c>
      <c r="U47">
        <v>57</v>
      </c>
      <c r="V47">
        <v>60</v>
      </c>
      <c r="W47">
        <v>481</v>
      </c>
      <c r="X47"/>
      <c r="Y47"/>
      <c r="Z47"/>
      <c r="AA47"/>
      <c r="AB47"/>
      <c r="AC47"/>
      <c r="AD47"/>
      <c r="AE47"/>
      <c r="AF47"/>
      <c r="AG47"/>
      <c r="AH47"/>
      <c r="AI47"/>
      <c r="AJ47"/>
      <c r="AK47"/>
      <c r="AL47"/>
      <c r="AM47"/>
      <c r="AN47"/>
      <c r="AO47"/>
      <c r="AP47"/>
    </row>
    <row r="48" spans="1:42">
      <c r="A48" t="s">
        <v>406</v>
      </c>
      <c r="B48">
        <v>3022048</v>
      </c>
      <c r="C48">
        <v>2048</v>
      </c>
      <c r="D48">
        <v>56</v>
      </c>
      <c r="E48">
        <v>60</v>
      </c>
      <c r="F48">
        <v>60</v>
      </c>
      <c r="G48">
        <v>54</v>
      </c>
      <c r="H48">
        <v>57</v>
      </c>
      <c r="I48"/>
      <c r="J48"/>
      <c r="K48"/>
      <c r="L48"/>
      <c r="M48"/>
      <c r="N48"/>
      <c r="O48"/>
      <c r="P48"/>
      <c r="Q48"/>
      <c r="R48"/>
      <c r="S48"/>
      <c r="T48"/>
      <c r="U48">
        <v>36</v>
      </c>
      <c r="V48">
        <v>59</v>
      </c>
      <c r="W48">
        <v>382</v>
      </c>
      <c r="X48"/>
      <c r="Y48"/>
      <c r="Z48"/>
      <c r="AA48"/>
      <c r="AB48"/>
      <c r="AC48"/>
      <c r="AD48"/>
      <c r="AE48"/>
      <c r="AF48"/>
      <c r="AG48"/>
      <c r="AH48"/>
      <c r="AI48"/>
      <c r="AJ48"/>
      <c r="AK48"/>
      <c r="AL48"/>
      <c r="AM48"/>
      <c r="AN48"/>
      <c r="AO48"/>
      <c r="AP48"/>
    </row>
    <row r="49" spans="1:42">
      <c r="A49" t="s">
        <v>437</v>
      </c>
      <c r="B49">
        <v>3022049</v>
      </c>
      <c r="C49">
        <v>2049</v>
      </c>
      <c r="D49">
        <v>40</v>
      </c>
      <c r="E49">
        <v>57</v>
      </c>
      <c r="F49">
        <v>51</v>
      </c>
      <c r="G49">
        <v>56</v>
      </c>
      <c r="H49"/>
      <c r="I49"/>
      <c r="J49"/>
      <c r="K49"/>
      <c r="L49"/>
      <c r="M49"/>
      <c r="N49"/>
      <c r="O49"/>
      <c r="P49"/>
      <c r="Q49"/>
      <c r="R49"/>
      <c r="S49"/>
      <c r="T49"/>
      <c r="U49"/>
      <c r="V49">
        <v>53</v>
      </c>
      <c r="W49">
        <v>257</v>
      </c>
      <c r="X49"/>
      <c r="Y49"/>
      <c r="Z49"/>
      <c r="AA49"/>
      <c r="AB49"/>
      <c r="AC49"/>
      <c r="AD49"/>
      <c r="AE49"/>
      <c r="AF49"/>
      <c r="AG49"/>
      <c r="AH49"/>
      <c r="AI49"/>
      <c r="AJ49"/>
      <c r="AK49"/>
      <c r="AL49"/>
      <c r="AM49"/>
      <c r="AN49"/>
      <c r="AO49"/>
      <c r="AP49"/>
    </row>
    <row r="50" spans="1:42">
      <c r="A50" t="s">
        <v>467</v>
      </c>
      <c r="B50">
        <v>3022050</v>
      </c>
      <c r="C50">
        <v>2050</v>
      </c>
      <c r="D50">
        <v>60</v>
      </c>
      <c r="E50">
        <v>60</v>
      </c>
      <c r="F50">
        <v>60</v>
      </c>
      <c r="G50"/>
      <c r="H50"/>
      <c r="I50"/>
      <c r="J50"/>
      <c r="K50"/>
      <c r="L50"/>
      <c r="M50"/>
      <c r="N50"/>
      <c r="O50"/>
      <c r="P50"/>
      <c r="Q50"/>
      <c r="R50"/>
      <c r="S50"/>
      <c r="T50"/>
      <c r="U50"/>
      <c r="V50">
        <v>60</v>
      </c>
      <c r="W50">
        <v>240</v>
      </c>
      <c r="X50"/>
      <c r="Y50"/>
      <c r="Z50"/>
      <c r="AA50"/>
      <c r="AB50"/>
      <c r="AC50"/>
      <c r="AD50"/>
      <c r="AE50"/>
      <c r="AF50"/>
      <c r="AG50"/>
      <c r="AH50"/>
      <c r="AI50"/>
      <c r="AJ50"/>
      <c r="AK50"/>
      <c r="AL50"/>
      <c r="AM50"/>
      <c r="AN50"/>
      <c r="AO50"/>
      <c r="AP50"/>
    </row>
    <row r="51" spans="1:42">
      <c r="A51" t="s">
        <v>450</v>
      </c>
      <c r="B51">
        <v>3022051</v>
      </c>
      <c r="C51">
        <v>2051</v>
      </c>
      <c r="D51">
        <v>48</v>
      </c>
      <c r="E51">
        <v>54</v>
      </c>
      <c r="F51">
        <v>54</v>
      </c>
      <c r="G51">
        <v>60</v>
      </c>
      <c r="H51">
        <v>53</v>
      </c>
      <c r="I51">
        <v>60</v>
      </c>
      <c r="J51"/>
      <c r="K51"/>
      <c r="L51"/>
      <c r="M51"/>
      <c r="N51"/>
      <c r="O51"/>
      <c r="P51"/>
      <c r="Q51"/>
      <c r="R51"/>
      <c r="S51"/>
      <c r="T51">
        <v>9</v>
      </c>
      <c r="U51">
        <v>22</v>
      </c>
      <c r="V51">
        <v>50</v>
      </c>
      <c r="W51">
        <v>410</v>
      </c>
      <c r="X51"/>
      <c r="Y51"/>
      <c r="Z51"/>
      <c r="AA51"/>
      <c r="AB51"/>
      <c r="AC51"/>
      <c r="AD51"/>
      <c r="AE51"/>
      <c r="AF51"/>
      <c r="AG51"/>
      <c r="AH51"/>
      <c r="AI51"/>
      <c r="AJ51"/>
      <c r="AK51"/>
      <c r="AL51"/>
      <c r="AM51"/>
      <c r="AN51"/>
      <c r="AO51"/>
      <c r="AP51"/>
    </row>
    <row r="52" spans="1:42">
      <c r="A52" t="s">
        <v>443</v>
      </c>
      <c r="B52">
        <v>3022053</v>
      </c>
      <c r="C52">
        <v>2053</v>
      </c>
      <c r="D52">
        <v>26</v>
      </c>
      <c r="E52">
        <v>29</v>
      </c>
      <c r="F52">
        <v>28</v>
      </c>
      <c r="G52">
        <v>24</v>
      </c>
      <c r="H52">
        <v>24</v>
      </c>
      <c r="I52">
        <v>23</v>
      </c>
      <c r="J52"/>
      <c r="K52"/>
      <c r="L52"/>
      <c r="M52"/>
      <c r="N52"/>
      <c r="O52"/>
      <c r="P52"/>
      <c r="Q52"/>
      <c r="R52"/>
      <c r="S52"/>
      <c r="T52"/>
      <c r="U52">
        <v>30</v>
      </c>
      <c r="V52">
        <v>28</v>
      </c>
      <c r="W52">
        <v>212</v>
      </c>
      <c r="X52"/>
      <c r="Y52"/>
      <c r="Z52"/>
      <c r="AA52"/>
      <c r="AB52"/>
      <c r="AC52"/>
      <c r="AD52"/>
      <c r="AE52"/>
      <c r="AF52"/>
      <c r="AG52"/>
      <c r="AH52"/>
      <c r="AI52"/>
      <c r="AJ52"/>
      <c r="AK52"/>
      <c r="AL52"/>
      <c r="AM52"/>
      <c r="AN52"/>
      <c r="AO52"/>
      <c r="AP52"/>
    </row>
    <row r="53" spans="1:42">
      <c r="A53" t="s">
        <v>367</v>
      </c>
      <c r="B53">
        <v>3022054</v>
      </c>
      <c r="C53">
        <v>2054</v>
      </c>
      <c r="D53">
        <v>29</v>
      </c>
      <c r="E53">
        <v>30</v>
      </c>
      <c r="F53">
        <v>30</v>
      </c>
      <c r="G53">
        <v>31</v>
      </c>
      <c r="H53">
        <v>30</v>
      </c>
      <c r="I53">
        <v>28</v>
      </c>
      <c r="J53"/>
      <c r="K53"/>
      <c r="L53"/>
      <c r="M53"/>
      <c r="N53"/>
      <c r="O53"/>
      <c r="P53"/>
      <c r="Q53"/>
      <c r="R53"/>
      <c r="S53"/>
      <c r="T53"/>
      <c r="U53"/>
      <c r="V53">
        <v>30</v>
      </c>
      <c r="W53">
        <v>208</v>
      </c>
      <c r="X53"/>
      <c r="Y53"/>
      <c r="Z53"/>
      <c r="AA53"/>
      <c r="AB53"/>
      <c r="AC53"/>
      <c r="AD53"/>
      <c r="AE53"/>
      <c r="AF53"/>
      <c r="AG53"/>
      <c r="AH53"/>
      <c r="AI53"/>
      <c r="AJ53"/>
      <c r="AK53"/>
      <c r="AL53"/>
      <c r="AM53"/>
      <c r="AN53"/>
      <c r="AO53"/>
      <c r="AP53"/>
    </row>
    <row r="54" spans="1:42">
      <c r="A54" t="s">
        <v>107</v>
      </c>
      <c r="B54">
        <v>3022055</v>
      </c>
      <c r="C54">
        <v>2055</v>
      </c>
      <c r="D54">
        <v>26</v>
      </c>
      <c r="E54">
        <v>29</v>
      </c>
      <c r="F54">
        <v>47</v>
      </c>
      <c r="G54">
        <v>27</v>
      </c>
      <c r="H54">
        <v>27</v>
      </c>
      <c r="I54">
        <v>30</v>
      </c>
      <c r="J54"/>
      <c r="K54"/>
      <c r="L54"/>
      <c r="M54"/>
      <c r="N54"/>
      <c r="O54"/>
      <c r="P54"/>
      <c r="Q54"/>
      <c r="R54"/>
      <c r="S54"/>
      <c r="T54">
        <v>2</v>
      </c>
      <c r="U54">
        <v>20</v>
      </c>
      <c r="V54">
        <v>30</v>
      </c>
      <c r="W54">
        <v>238</v>
      </c>
      <c r="X54"/>
      <c r="Y54"/>
      <c r="Z54"/>
      <c r="AA54"/>
      <c r="AB54"/>
      <c r="AC54"/>
      <c r="AD54"/>
      <c r="AE54"/>
      <c r="AF54"/>
      <c r="AG54"/>
      <c r="AH54"/>
      <c r="AI54"/>
      <c r="AJ54"/>
      <c r="AK54"/>
      <c r="AL54"/>
      <c r="AM54"/>
      <c r="AN54"/>
      <c r="AO54"/>
      <c r="AP54"/>
    </row>
    <row r="55" spans="1:42">
      <c r="A55" t="s">
        <v>413</v>
      </c>
      <c r="B55">
        <v>3022057</v>
      </c>
      <c r="C55">
        <v>2057</v>
      </c>
      <c r="D55">
        <v>61</v>
      </c>
      <c r="E55">
        <v>60</v>
      </c>
      <c r="F55">
        <v>88</v>
      </c>
      <c r="G55">
        <v>84</v>
      </c>
      <c r="H55">
        <v>56</v>
      </c>
      <c r="I55">
        <v>77</v>
      </c>
      <c r="J55"/>
      <c r="K55"/>
      <c r="L55"/>
      <c r="M55"/>
      <c r="N55"/>
      <c r="O55"/>
      <c r="P55"/>
      <c r="Q55"/>
      <c r="R55"/>
      <c r="S55"/>
      <c r="T55">
        <v>7</v>
      </c>
      <c r="U55">
        <v>31</v>
      </c>
      <c r="V55">
        <v>49</v>
      </c>
      <c r="W55">
        <v>513</v>
      </c>
      <c r="X55"/>
      <c r="Y55"/>
      <c r="Z55"/>
      <c r="AA55"/>
      <c r="AB55"/>
      <c r="AC55"/>
      <c r="AD55"/>
      <c r="AE55"/>
      <c r="AF55"/>
      <c r="AG55"/>
      <c r="AH55"/>
      <c r="AI55"/>
      <c r="AJ55"/>
      <c r="AK55"/>
      <c r="AL55"/>
      <c r="AM55"/>
      <c r="AN55"/>
      <c r="AO55"/>
      <c r="AP55"/>
    </row>
    <row r="56" spans="1:42">
      <c r="A56" t="s">
        <v>297</v>
      </c>
      <c r="B56">
        <v>3022060</v>
      </c>
      <c r="C56">
        <v>2060</v>
      </c>
      <c r="D56">
        <v>62</v>
      </c>
      <c r="E56">
        <v>61</v>
      </c>
      <c r="F56">
        <v>61</v>
      </c>
      <c r="G56">
        <v>60</v>
      </c>
      <c r="H56">
        <v>60</v>
      </c>
      <c r="I56">
        <v>61</v>
      </c>
      <c r="J56"/>
      <c r="K56"/>
      <c r="L56"/>
      <c r="M56"/>
      <c r="N56"/>
      <c r="O56"/>
      <c r="P56"/>
      <c r="Q56"/>
      <c r="R56"/>
      <c r="S56"/>
      <c r="T56">
        <v>42</v>
      </c>
      <c r="U56">
        <v>12</v>
      </c>
      <c r="V56">
        <v>60</v>
      </c>
      <c r="W56">
        <v>479</v>
      </c>
      <c r="X56"/>
      <c r="Y56"/>
      <c r="Z56"/>
      <c r="AA56"/>
      <c r="AB56"/>
      <c r="AC56"/>
      <c r="AD56"/>
      <c r="AE56"/>
      <c r="AF56"/>
      <c r="AG56"/>
      <c r="AH56"/>
      <c r="AI56"/>
      <c r="AJ56"/>
      <c r="AK56"/>
      <c r="AL56"/>
      <c r="AM56"/>
      <c r="AN56"/>
      <c r="AO56"/>
      <c r="AP56"/>
    </row>
    <row r="57" spans="1:42">
      <c r="A57" t="s">
        <v>263</v>
      </c>
      <c r="B57">
        <v>3022067</v>
      </c>
      <c r="C57">
        <v>2067</v>
      </c>
      <c r="D57">
        <v>29</v>
      </c>
      <c r="E57">
        <v>29</v>
      </c>
      <c r="F57">
        <v>27</v>
      </c>
      <c r="G57">
        <v>43</v>
      </c>
      <c r="H57">
        <v>43</v>
      </c>
      <c r="I57">
        <v>28</v>
      </c>
      <c r="J57"/>
      <c r="K57"/>
      <c r="L57"/>
      <c r="M57"/>
      <c r="N57"/>
      <c r="O57"/>
      <c r="P57"/>
      <c r="Q57"/>
      <c r="R57"/>
      <c r="S57"/>
      <c r="T57"/>
      <c r="U57"/>
      <c r="V57">
        <v>30</v>
      </c>
      <c r="W57">
        <v>229</v>
      </c>
      <c r="X57"/>
      <c r="Y57"/>
      <c r="Z57"/>
      <c r="AA57"/>
      <c r="AB57"/>
      <c r="AC57"/>
      <c r="AD57"/>
      <c r="AE57"/>
      <c r="AF57"/>
      <c r="AG57"/>
      <c r="AH57"/>
      <c r="AI57"/>
      <c r="AJ57"/>
      <c r="AK57"/>
      <c r="AL57"/>
      <c r="AM57"/>
      <c r="AN57"/>
      <c r="AO57"/>
      <c r="AP57"/>
    </row>
    <row r="58" spans="1:42">
      <c r="A58" t="s">
        <v>290</v>
      </c>
      <c r="B58">
        <v>3022070</v>
      </c>
      <c r="C58">
        <v>2070</v>
      </c>
      <c r="D58">
        <v>30</v>
      </c>
      <c r="E58">
        <v>30</v>
      </c>
      <c r="F58">
        <v>29</v>
      </c>
      <c r="G58">
        <v>27</v>
      </c>
      <c r="H58">
        <v>30</v>
      </c>
      <c r="I58">
        <v>30</v>
      </c>
      <c r="J58"/>
      <c r="K58"/>
      <c r="L58"/>
      <c r="M58"/>
      <c r="N58"/>
      <c r="O58"/>
      <c r="P58"/>
      <c r="Q58"/>
      <c r="R58">
        <v>7</v>
      </c>
      <c r="S58">
        <v>1</v>
      </c>
      <c r="T58">
        <v>9</v>
      </c>
      <c r="U58">
        <v>33</v>
      </c>
      <c r="V58">
        <v>30</v>
      </c>
      <c r="W58">
        <v>256</v>
      </c>
      <c r="X58"/>
      <c r="Y58"/>
      <c r="Z58"/>
      <c r="AA58"/>
      <c r="AB58"/>
      <c r="AC58"/>
      <c r="AD58"/>
      <c r="AE58"/>
      <c r="AF58"/>
      <c r="AG58"/>
      <c r="AH58"/>
      <c r="AI58"/>
      <c r="AJ58"/>
      <c r="AK58"/>
      <c r="AL58"/>
      <c r="AM58"/>
      <c r="AN58"/>
      <c r="AO58"/>
      <c r="AP58"/>
    </row>
    <row r="59" spans="1:42">
      <c r="A59" t="s">
        <v>368</v>
      </c>
      <c r="B59">
        <v>3022071</v>
      </c>
      <c r="C59">
        <v>2071</v>
      </c>
      <c r="D59">
        <v>56</v>
      </c>
      <c r="E59">
        <v>60</v>
      </c>
      <c r="F59"/>
      <c r="G59"/>
      <c r="H59"/>
      <c r="I59"/>
      <c r="J59"/>
      <c r="K59"/>
      <c r="L59"/>
      <c r="M59"/>
      <c r="N59"/>
      <c r="O59"/>
      <c r="P59"/>
      <c r="Q59"/>
      <c r="R59"/>
      <c r="S59">
        <v>12</v>
      </c>
      <c r="T59">
        <v>1</v>
      </c>
      <c r="U59">
        <v>41</v>
      </c>
      <c r="V59">
        <v>60</v>
      </c>
      <c r="W59">
        <v>230</v>
      </c>
      <c r="X59"/>
      <c r="Y59"/>
      <c r="Z59"/>
      <c r="AA59"/>
      <c r="AB59"/>
      <c r="AC59"/>
      <c r="AD59"/>
      <c r="AE59"/>
      <c r="AF59"/>
      <c r="AG59"/>
      <c r="AH59"/>
      <c r="AI59"/>
      <c r="AJ59"/>
      <c r="AK59"/>
      <c r="AL59"/>
      <c r="AM59"/>
      <c r="AN59"/>
      <c r="AO59"/>
      <c r="AP59"/>
    </row>
    <row r="60" spans="1:42">
      <c r="A60" t="s">
        <v>88</v>
      </c>
      <c r="B60">
        <v>3022072</v>
      </c>
      <c r="C60">
        <v>2072</v>
      </c>
      <c r="D60"/>
      <c r="E60"/>
      <c r="F60">
        <v>89</v>
      </c>
      <c r="G60">
        <v>90</v>
      </c>
      <c r="H60">
        <v>90</v>
      </c>
      <c r="I60">
        <v>78</v>
      </c>
      <c r="J60"/>
      <c r="K60"/>
      <c r="L60"/>
      <c r="M60"/>
      <c r="N60"/>
      <c r="O60"/>
      <c r="P60"/>
      <c r="Q60"/>
      <c r="R60"/>
      <c r="S60"/>
      <c r="T60"/>
      <c r="U60"/>
      <c r="V60"/>
      <c r="W60">
        <v>347</v>
      </c>
      <c r="X60"/>
      <c r="Y60"/>
      <c r="Z60"/>
      <c r="AA60"/>
      <c r="AB60"/>
      <c r="AC60"/>
      <c r="AD60"/>
      <c r="AE60"/>
      <c r="AF60"/>
      <c r="AG60"/>
      <c r="AH60"/>
      <c r="AI60"/>
      <c r="AJ60"/>
      <c r="AK60"/>
      <c r="AL60"/>
      <c r="AM60"/>
      <c r="AN60"/>
      <c r="AO60"/>
      <c r="AP60"/>
    </row>
    <row r="61" spans="1:42">
      <c r="A61" t="s">
        <v>369</v>
      </c>
      <c r="B61">
        <v>3022073</v>
      </c>
      <c r="C61">
        <v>2073</v>
      </c>
      <c r="D61">
        <v>90</v>
      </c>
      <c r="E61">
        <v>90</v>
      </c>
      <c r="F61">
        <v>88</v>
      </c>
      <c r="G61">
        <v>91</v>
      </c>
      <c r="H61">
        <v>90</v>
      </c>
      <c r="I61">
        <v>90</v>
      </c>
      <c r="J61"/>
      <c r="K61"/>
      <c r="L61"/>
      <c r="M61"/>
      <c r="N61"/>
      <c r="O61"/>
      <c r="P61"/>
      <c r="Q61"/>
      <c r="R61"/>
      <c r="S61"/>
      <c r="T61"/>
      <c r="U61"/>
      <c r="V61">
        <v>90</v>
      </c>
      <c r="W61">
        <v>629</v>
      </c>
      <c r="X61"/>
      <c r="Y61"/>
      <c r="Z61"/>
      <c r="AA61"/>
      <c r="AB61"/>
      <c r="AC61"/>
      <c r="AD61"/>
      <c r="AE61"/>
      <c r="AF61"/>
      <c r="AG61"/>
      <c r="AH61"/>
      <c r="AI61"/>
      <c r="AJ61"/>
      <c r="AK61"/>
      <c r="AL61"/>
      <c r="AM61"/>
      <c r="AN61"/>
      <c r="AO61"/>
      <c r="AP61"/>
    </row>
    <row r="62" spans="1:42">
      <c r="A62" t="s">
        <v>370</v>
      </c>
      <c r="B62">
        <v>3022076</v>
      </c>
      <c r="C62">
        <v>2076</v>
      </c>
      <c r="D62">
        <v>45</v>
      </c>
      <c r="E62">
        <v>49</v>
      </c>
      <c r="F62">
        <v>53</v>
      </c>
      <c r="G62">
        <v>60</v>
      </c>
      <c r="H62">
        <v>60</v>
      </c>
      <c r="I62">
        <v>56</v>
      </c>
      <c r="J62"/>
      <c r="K62"/>
      <c r="L62"/>
      <c r="M62"/>
      <c r="N62"/>
      <c r="O62"/>
      <c r="P62"/>
      <c r="Q62"/>
      <c r="R62"/>
      <c r="S62"/>
      <c r="T62">
        <v>5</v>
      </c>
      <c r="U62">
        <v>39</v>
      </c>
      <c r="V62">
        <v>41</v>
      </c>
      <c r="W62">
        <v>408</v>
      </c>
      <c r="X62"/>
      <c r="Y62"/>
      <c r="Z62"/>
      <c r="AA62"/>
      <c r="AB62"/>
      <c r="AC62"/>
      <c r="AD62"/>
      <c r="AE62"/>
      <c r="AF62"/>
      <c r="AG62"/>
      <c r="AH62"/>
      <c r="AI62"/>
      <c r="AJ62"/>
      <c r="AK62"/>
      <c r="AL62"/>
      <c r="AM62"/>
      <c r="AN62"/>
      <c r="AO62"/>
      <c r="AP62"/>
    </row>
    <row r="63" spans="1:42">
      <c r="A63" t="s">
        <v>293</v>
      </c>
      <c r="B63">
        <v>3022077</v>
      </c>
      <c r="C63">
        <v>2077</v>
      </c>
      <c r="D63">
        <v>118</v>
      </c>
      <c r="E63">
        <v>121</v>
      </c>
      <c r="F63">
        <v>120</v>
      </c>
      <c r="G63">
        <v>121</v>
      </c>
      <c r="H63">
        <v>150</v>
      </c>
      <c r="I63">
        <v>121</v>
      </c>
      <c r="J63"/>
      <c r="K63"/>
      <c r="L63"/>
      <c r="M63"/>
      <c r="N63"/>
      <c r="O63"/>
      <c r="P63"/>
      <c r="Q63"/>
      <c r="R63"/>
      <c r="S63"/>
      <c r="T63">
        <v>53</v>
      </c>
      <c r="U63">
        <v>96</v>
      </c>
      <c r="V63">
        <v>121</v>
      </c>
      <c r="W63">
        <v>1021</v>
      </c>
      <c r="X63"/>
      <c r="Y63"/>
      <c r="Z63"/>
      <c r="AA63"/>
      <c r="AB63"/>
      <c r="AC63"/>
      <c r="AD63"/>
      <c r="AE63"/>
      <c r="AF63"/>
      <c r="AG63"/>
      <c r="AH63"/>
      <c r="AI63"/>
      <c r="AJ63"/>
      <c r="AK63"/>
      <c r="AL63"/>
      <c r="AM63"/>
      <c r="AN63"/>
      <c r="AO63"/>
      <c r="AP63"/>
    </row>
    <row r="64" spans="1:42">
      <c r="A64" t="s">
        <v>86</v>
      </c>
      <c r="B64">
        <v>3022078</v>
      </c>
      <c r="C64">
        <v>2078</v>
      </c>
      <c r="D64">
        <v>49</v>
      </c>
      <c r="E64">
        <v>50</v>
      </c>
      <c r="F64">
        <v>51</v>
      </c>
      <c r="G64">
        <v>52</v>
      </c>
      <c r="H64">
        <v>47</v>
      </c>
      <c r="I64">
        <v>50</v>
      </c>
      <c r="J64"/>
      <c r="K64"/>
      <c r="L64"/>
      <c r="M64"/>
      <c r="N64"/>
      <c r="O64"/>
      <c r="P64"/>
      <c r="Q64"/>
      <c r="R64"/>
      <c r="S64"/>
      <c r="T64"/>
      <c r="U64"/>
      <c r="V64">
        <v>46</v>
      </c>
      <c r="W64">
        <v>345</v>
      </c>
      <c r="X64"/>
      <c r="Y64"/>
      <c r="Z64"/>
      <c r="AA64"/>
      <c r="AB64"/>
      <c r="AC64"/>
      <c r="AD64"/>
      <c r="AE64"/>
      <c r="AF64"/>
      <c r="AG64"/>
      <c r="AH64"/>
      <c r="AI64"/>
      <c r="AJ64"/>
      <c r="AK64"/>
      <c r="AL64"/>
      <c r="AM64"/>
      <c r="AN64"/>
      <c r="AO64"/>
      <c r="AP64"/>
    </row>
    <row r="65" spans="1:42">
      <c r="A65" t="s">
        <v>37</v>
      </c>
      <c r="B65">
        <v>3022079</v>
      </c>
      <c r="C65">
        <v>2079</v>
      </c>
      <c r="D65">
        <v>71</v>
      </c>
      <c r="E65">
        <v>56</v>
      </c>
      <c r="F65">
        <v>59</v>
      </c>
      <c r="G65">
        <v>60</v>
      </c>
      <c r="H65">
        <v>72</v>
      </c>
      <c r="I65">
        <v>58</v>
      </c>
      <c r="J65"/>
      <c r="K65"/>
      <c r="L65"/>
      <c r="M65"/>
      <c r="N65"/>
      <c r="O65"/>
      <c r="P65"/>
      <c r="Q65"/>
      <c r="R65"/>
      <c r="S65"/>
      <c r="T65"/>
      <c r="U65">
        <v>56</v>
      </c>
      <c r="V65">
        <v>54</v>
      </c>
      <c r="W65">
        <v>486</v>
      </c>
      <c r="X65"/>
      <c r="Y65"/>
      <c r="Z65"/>
      <c r="AA65"/>
      <c r="AB65"/>
      <c r="AC65"/>
      <c r="AD65"/>
      <c r="AE65"/>
      <c r="AF65"/>
      <c r="AG65"/>
      <c r="AH65"/>
      <c r="AI65"/>
      <c r="AJ65"/>
      <c r="AK65"/>
      <c r="AL65"/>
      <c r="AM65"/>
      <c r="AN65"/>
      <c r="AO65"/>
      <c r="AP65"/>
    </row>
    <row r="66" spans="1:42">
      <c r="A66" t="s">
        <v>424</v>
      </c>
      <c r="B66">
        <v>3023300</v>
      </c>
      <c r="C66">
        <v>3300</v>
      </c>
      <c r="D66">
        <v>25</v>
      </c>
      <c r="E66">
        <v>20</v>
      </c>
      <c r="F66">
        <v>24</v>
      </c>
      <c r="G66">
        <v>29</v>
      </c>
      <c r="H66">
        <v>29</v>
      </c>
      <c r="I66">
        <v>29</v>
      </c>
      <c r="J66"/>
      <c r="K66"/>
      <c r="L66"/>
      <c r="M66"/>
      <c r="N66"/>
      <c r="O66"/>
      <c r="P66"/>
      <c r="Q66"/>
      <c r="R66"/>
      <c r="S66"/>
      <c r="T66"/>
      <c r="U66"/>
      <c r="V66">
        <v>21</v>
      </c>
      <c r="W66">
        <v>177</v>
      </c>
      <c r="X66"/>
      <c r="Y66"/>
      <c r="Z66"/>
      <c r="AA66"/>
      <c r="AB66"/>
      <c r="AC66"/>
      <c r="AD66"/>
      <c r="AE66"/>
      <c r="AF66"/>
      <c r="AG66"/>
      <c r="AH66"/>
      <c r="AI66"/>
      <c r="AJ66"/>
      <c r="AK66"/>
      <c r="AL66"/>
      <c r="AM66"/>
      <c r="AN66"/>
      <c r="AO66"/>
      <c r="AP66"/>
    </row>
    <row r="67" spans="1:42">
      <c r="A67" t="s">
        <v>371</v>
      </c>
      <c r="B67">
        <v>3023302</v>
      </c>
      <c r="C67">
        <v>3302</v>
      </c>
      <c r="D67">
        <v>30</v>
      </c>
      <c r="E67">
        <v>31</v>
      </c>
      <c r="F67">
        <v>31</v>
      </c>
      <c r="G67">
        <v>30</v>
      </c>
      <c r="H67">
        <v>30</v>
      </c>
      <c r="I67">
        <v>30</v>
      </c>
      <c r="J67"/>
      <c r="K67"/>
      <c r="L67"/>
      <c r="M67"/>
      <c r="N67"/>
      <c r="O67"/>
      <c r="P67"/>
      <c r="Q67"/>
      <c r="R67"/>
      <c r="S67"/>
      <c r="T67">
        <v>5</v>
      </c>
      <c r="U67">
        <v>18</v>
      </c>
      <c r="V67">
        <v>30</v>
      </c>
      <c r="W67">
        <v>235</v>
      </c>
      <c r="X67"/>
      <c r="Y67"/>
      <c r="Z67"/>
      <c r="AA67"/>
      <c r="AB67"/>
      <c r="AC67"/>
      <c r="AD67"/>
      <c r="AE67"/>
      <c r="AF67"/>
      <c r="AG67"/>
      <c r="AH67"/>
      <c r="AI67"/>
      <c r="AJ67"/>
      <c r="AK67"/>
      <c r="AL67"/>
      <c r="AM67"/>
      <c r="AN67"/>
      <c r="AO67"/>
      <c r="AP67"/>
    </row>
    <row r="68" spans="1:42">
      <c r="A68" t="s">
        <v>372</v>
      </c>
      <c r="B68">
        <v>3023304</v>
      </c>
      <c r="C68">
        <v>3304</v>
      </c>
      <c r="D68">
        <v>25</v>
      </c>
      <c r="E68">
        <v>30</v>
      </c>
      <c r="F68">
        <v>29</v>
      </c>
      <c r="G68">
        <v>30</v>
      </c>
      <c r="H68">
        <v>29</v>
      </c>
      <c r="I68">
        <v>58</v>
      </c>
      <c r="J68"/>
      <c r="K68"/>
      <c r="L68"/>
      <c r="M68"/>
      <c r="N68"/>
      <c r="O68"/>
      <c r="P68"/>
      <c r="Q68"/>
      <c r="R68"/>
      <c r="S68"/>
      <c r="T68">
        <v>5</v>
      </c>
      <c r="U68">
        <v>27</v>
      </c>
      <c r="V68">
        <v>31</v>
      </c>
      <c r="W68">
        <v>264</v>
      </c>
      <c r="X68"/>
      <c r="Y68"/>
      <c r="Z68"/>
      <c r="AA68"/>
      <c r="AB68"/>
      <c r="AC68"/>
      <c r="AD68"/>
      <c r="AE68"/>
      <c r="AF68"/>
      <c r="AG68"/>
      <c r="AH68"/>
      <c r="AI68"/>
      <c r="AJ68"/>
      <c r="AK68"/>
      <c r="AL68"/>
      <c r="AM68"/>
      <c r="AN68"/>
      <c r="AO68"/>
      <c r="AP68"/>
    </row>
    <row r="69" spans="1:42">
      <c r="A69" t="s">
        <v>468</v>
      </c>
      <c r="B69">
        <v>3023305</v>
      </c>
      <c r="C69">
        <v>3305</v>
      </c>
      <c r="D69">
        <v>20</v>
      </c>
      <c r="E69">
        <v>21</v>
      </c>
      <c r="F69">
        <v>24</v>
      </c>
      <c r="G69">
        <v>19</v>
      </c>
      <c r="H69">
        <v>26</v>
      </c>
      <c r="I69">
        <v>19</v>
      </c>
      <c r="J69"/>
      <c r="K69"/>
      <c r="L69"/>
      <c r="M69"/>
      <c r="N69"/>
      <c r="O69"/>
      <c r="P69"/>
      <c r="Q69"/>
      <c r="R69"/>
      <c r="S69"/>
      <c r="T69"/>
      <c r="U69"/>
      <c r="V69">
        <v>19</v>
      </c>
      <c r="W69">
        <v>148</v>
      </c>
      <c r="X69"/>
      <c r="Y69"/>
      <c r="Z69"/>
      <c r="AA69"/>
      <c r="AB69"/>
      <c r="AC69"/>
      <c r="AD69"/>
      <c r="AE69"/>
      <c r="AF69"/>
      <c r="AG69"/>
      <c r="AH69"/>
      <c r="AI69"/>
      <c r="AJ69"/>
      <c r="AK69"/>
      <c r="AL69"/>
      <c r="AM69"/>
      <c r="AN69"/>
      <c r="AO69"/>
      <c r="AP69"/>
    </row>
    <row r="70" spans="1:42">
      <c r="A70" t="s">
        <v>374</v>
      </c>
      <c r="B70">
        <v>3023307</v>
      </c>
      <c r="C70">
        <v>3307</v>
      </c>
      <c r="D70">
        <v>30</v>
      </c>
      <c r="E70">
        <v>30</v>
      </c>
      <c r="F70">
        <v>30</v>
      </c>
      <c r="G70">
        <v>30</v>
      </c>
      <c r="H70">
        <v>30</v>
      </c>
      <c r="I70">
        <v>30</v>
      </c>
      <c r="J70"/>
      <c r="K70"/>
      <c r="L70"/>
      <c r="M70"/>
      <c r="N70"/>
      <c r="O70"/>
      <c r="P70"/>
      <c r="Q70"/>
      <c r="R70"/>
      <c r="S70"/>
      <c r="T70">
        <v>8</v>
      </c>
      <c r="U70">
        <v>16</v>
      </c>
      <c r="V70">
        <v>30</v>
      </c>
      <c r="W70">
        <v>234</v>
      </c>
      <c r="X70"/>
      <c r="Y70"/>
      <c r="Z70"/>
      <c r="AA70"/>
      <c r="AB70"/>
      <c r="AC70"/>
      <c r="AD70"/>
      <c r="AE70"/>
      <c r="AF70"/>
      <c r="AG70"/>
      <c r="AH70"/>
      <c r="AI70"/>
      <c r="AJ70"/>
      <c r="AK70"/>
      <c r="AL70"/>
      <c r="AM70"/>
      <c r="AN70"/>
      <c r="AO70"/>
      <c r="AP70"/>
    </row>
    <row r="71" spans="1:42">
      <c r="A71" t="s">
        <v>375</v>
      </c>
      <c r="B71">
        <v>3023309</v>
      </c>
      <c r="C71">
        <v>3309</v>
      </c>
      <c r="D71">
        <v>28</v>
      </c>
      <c r="E71">
        <v>30</v>
      </c>
      <c r="F71">
        <v>31</v>
      </c>
      <c r="G71">
        <v>30</v>
      </c>
      <c r="H71">
        <v>29</v>
      </c>
      <c r="I71">
        <v>30</v>
      </c>
      <c r="J71"/>
      <c r="K71"/>
      <c r="L71"/>
      <c r="M71"/>
      <c r="N71"/>
      <c r="O71"/>
      <c r="P71"/>
      <c r="Q71"/>
      <c r="R71"/>
      <c r="S71"/>
      <c r="T71"/>
      <c r="U71">
        <v>26</v>
      </c>
      <c r="V71">
        <v>30</v>
      </c>
      <c r="W71">
        <v>234</v>
      </c>
      <c r="X71"/>
      <c r="Y71"/>
      <c r="Z71"/>
      <c r="AA71"/>
      <c r="AB71"/>
      <c r="AC71"/>
      <c r="AD71"/>
      <c r="AE71"/>
      <c r="AF71"/>
      <c r="AG71"/>
      <c r="AH71"/>
      <c r="AI71"/>
      <c r="AJ71"/>
      <c r="AK71"/>
      <c r="AL71"/>
      <c r="AM71"/>
      <c r="AN71"/>
      <c r="AO71"/>
      <c r="AP71"/>
    </row>
    <row r="72" spans="1:42">
      <c r="A72" t="s">
        <v>376</v>
      </c>
      <c r="B72">
        <v>3023311</v>
      </c>
      <c r="C72">
        <v>3311</v>
      </c>
      <c r="D72">
        <v>60</v>
      </c>
      <c r="E72">
        <v>60</v>
      </c>
      <c r="F72">
        <v>59</v>
      </c>
      <c r="G72">
        <v>60</v>
      </c>
      <c r="H72">
        <v>60</v>
      </c>
      <c r="I72">
        <v>60</v>
      </c>
      <c r="J72"/>
      <c r="K72"/>
      <c r="L72"/>
      <c r="M72"/>
      <c r="N72"/>
      <c r="O72"/>
      <c r="P72"/>
      <c r="Q72"/>
      <c r="R72"/>
      <c r="S72"/>
      <c r="T72"/>
      <c r="U72">
        <v>57</v>
      </c>
      <c r="V72">
        <v>59</v>
      </c>
      <c r="W72">
        <v>475</v>
      </c>
      <c r="X72"/>
      <c r="Y72"/>
      <c r="Z72"/>
      <c r="AA72"/>
      <c r="AB72"/>
      <c r="AC72"/>
      <c r="AD72"/>
      <c r="AE72"/>
      <c r="AF72"/>
      <c r="AG72"/>
      <c r="AH72"/>
      <c r="AI72"/>
      <c r="AJ72"/>
      <c r="AK72"/>
      <c r="AL72"/>
      <c r="AM72"/>
      <c r="AN72"/>
      <c r="AO72"/>
      <c r="AP72"/>
    </row>
    <row r="73" spans="1:42">
      <c r="A73" t="s">
        <v>377</v>
      </c>
      <c r="B73">
        <v>3023312</v>
      </c>
      <c r="C73">
        <v>3312</v>
      </c>
      <c r="D73">
        <v>30</v>
      </c>
      <c r="E73">
        <v>31</v>
      </c>
      <c r="F73">
        <v>31</v>
      </c>
      <c r="G73">
        <v>31</v>
      </c>
      <c r="H73">
        <v>30</v>
      </c>
      <c r="I73">
        <v>32</v>
      </c>
      <c r="J73"/>
      <c r="K73"/>
      <c r="L73"/>
      <c r="M73"/>
      <c r="N73"/>
      <c r="O73"/>
      <c r="P73"/>
      <c r="Q73"/>
      <c r="R73"/>
      <c r="S73"/>
      <c r="T73"/>
      <c r="U73"/>
      <c r="V73">
        <v>30</v>
      </c>
      <c r="W73">
        <v>215</v>
      </c>
      <c r="X73"/>
      <c r="Y73"/>
      <c r="Z73"/>
      <c r="AA73"/>
      <c r="AB73"/>
      <c r="AC73"/>
      <c r="AD73"/>
      <c r="AE73"/>
      <c r="AF73"/>
      <c r="AG73"/>
      <c r="AH73"/>
      <c r="AI73"/>
      <c r="AJ73"/>
      <c r="AK73"/>
      <c r="AL73"/>
      <c r="AM73"/>
      <c r="AN73"/>
      <c r="AO73"/>
      <c r="AP73"/>
    </row>
    <row r="74" spans="1:42">
      <c r="A74" t="s">
        <v>378</v>
      </c>
      <c r="B74">
        <v>3023313</v>
      </c>
      <c r="C74">
        <v>3313</v>
      </c>
      <c r="D74">
        <v>25</v>
      </c>
      <c r="E74">
        <v>30</v>
      </c>
      <c r="F74">
        <v>26</v>
      </c>
      <c r="G74">
        <v>30</v>
      </c>
      <c r="H74">
        <v>24</v>
      </c>
      <c r="I74">
        <v>30</v>
      </c>
      <c r="J74"/>
      <c r="K74"/>
      <c r="L74"/>
      <c r="M74"/>
      <c r="N74"/>
      <c r="O74"/>
      <c r="P74"/>
      <c r="Q74"/>
      <c r="R74"/>
      <c r="S74"/>
      <c r="T74"/>
      <c r="U74">
        <v>27</v>
      </c>
      <c r="V74">
        <v>22</v>
      </c>
      <c r="W74">
        <v>214</v>
      </c>
      <c r="X74"/>
      <c r="Y74"/>
      <c r="Z74"/>
      <c r="AA74"/>
      <c r="AB74"/>
      <c r="AC74"/>
      <c r="AD74"/>
      <c r="AE74"/>
      <c r="AF74"/>
      <c r="AG74"/>
      <c r="AH74"/>
      <c r="AI74"/>
      <c r="AJ74"/>
      <c r="AK74"/>
      <c r="AL74"/>
      <c r="AM74"/>
      <c r="AN74"/>
      <c r="AO74"/>
      <c r="AP74"/>
    </row>
    <row r="75" spans="1:42">
      <c r="A75" t="s">
        <v>338</v>
      </c>
      <c r="B75">
        <v>3023314</v>
      </c>
      <c r="C75">
        <v>3314</v>
      </c>
      <c r="D75">
        <v>30</v>
      </c>
      <c r="E75">
        <v>29</v>
      </c>
      <c r="F75">
        <v>30</v>
      </c>
      <c r="G75">
        <v>30</v>
      </c>
      <c r="H75">
        <v>29</v>
      </c>
      <c r="I75">
        <v>30</v>
      </c>
      <c r="J75"/>
      <c r="K75"/>
      <c r="L75"/>
      <c r="M75"/>
      <c r="N75"/>
      <c r="O75"/>
      <c r="P75"/>
      <c r="Q75"/>
      <c r="R75"/>
      <c r="S75"/>
      <c r="T75"/>
      <c r="U75"/>
      <c r="V75">
        <v>27</v>
      </c>
      <c r="W75">
        <v>205</v>
      </c>
      <c r="X75"/>
      <c r="Y75"/>
      <c r="Z75"/>
      <c r="AA75"/>
      <c r="AB75"/>
      <c r="AC75"/>
      <c r="AD75"/>
      <c r="AE75"/>
      <c r="AF75"/>
      <c r="AG75"/>
      <c r="AH75"/>
      <c r="AI75"/>
      <c r="AJ75"/>
      <c r="AK75"/>
      <c r="AL75"/>
      <c r="AM75"/>
      <c r="AN75"/>
      <c r="AO75"/>
      <c r="AP75"/>
    </row>
    <row r="76" spans="1:42">
      <c r="A76" t="s">
        <v>379</v>
      </c>
      <c r="B76">
        <v>3023315</v>
      </c>
      <c r="C76">
        <v>3315</v>
      </c>
      <c r="D76">
        <v>30</v>
      </c>
      <c r="E76">
        <v>30</v>
      </c>
      <c r="F76">
        <v>29</v>
      </c>
      <c r="G76">
        <v>30</v>
      </c>
      <c r="H76">
        <v>30</v>
      </c>
      <c r="I76">
        <v>30</v>
      </c>
      <c r="J76"/>
      <c r="K76"/>
      <c r="L76"/>
      <c r="M76"/>
      <c r="N76"/>
      <c r="O76"/>
      <c r="P76"/>
      <c r="Q76"/>
      <c r="R76"/>
      <c r="S76"/>
      <c r="T76"/>
      <c r="U76"/>
      <c r="V76">
        <v>30</v>
      </c>
      <c r="W76">
        <v>209</v>
      </c>
      <c r="X76"/>
      <c r="Y76"/>
      <c r="Z76"/>
      <c r="AA76"/>
      <c r="AB76"/>
      <c r="AC76"/>
      <c r="AD76"/>
      <c r="AE76"/>
      <c r="AF76"/>
      <c r="AG76"/>
      <c r="AH76"/>
      <c r="AI76"/>
      <c r="AJ76"/>
      <c r="AK76"/>
      <c r="AL76"/>
      <c r="AM76"/>
      <c r="AN76"/>
      <c r="AO76"/>
      <c r="AP76"/>
    </row>
    <row r="77" spans="1:42">
      <c r="A77" t="s">
        <v>380</v>
      </c>
      <c r="B77">
        <v>3023316</v>
      </c>
      <c r="C77">
        <v>3316</v>
      </c>
      <c r="D77">
        <v>30</v>
      </c>
      <c r="E77">
        <v>30</v>
      </c>
      <c r="F77">
        <v>30</v>
      </c>
      <c r="G77">
        <v>31</v>
      </c>
      <c r="H77">
        <v>30</v>
      </c>
      <c r="I77">
        <v>29</v>
      </c>
      <c r="J77"/>
      <c r="K77"/>
      <c r="L77"/>
      <c r="M77"/>
      <c r="N77"/>
      <c r="O77"/>
      <c r="P77"/>
      <c r="Q77"/>
      <c r="R77"/>
      <c r="S77"/>
      <c r="T77"/>
      <c r="U77"/>
      <c r="V77">
        <v>31</v>
      </c>
      <c r="W77">
        <v>211</v>
      </c>
      <c r="X77"/>
      <c r="Y77"/>
      <c r="Z77"/>
      <c r="AA77"/>
      <c r="AB77"/>
      <c r="AC77"/>
      <c r="AD77"/>
      <c r="AE77"/>
      <c r="AF77"/>
      <c r="AG77"/>
      <c r="AH77"/>
      <c r="AI77"/>
      <c r="AJ77"/>
      <c r="AK77"/>
      <c r="AL77"/>
      <c r="AM77"/>
      <c r="AN77"/>
      <c r="AO77"/>
      <c r="AP77"/>
    </row>
    <row r="78" spans="1:42">
      <c r="A78" t="s">
        <v>381</v>
      </c>
      <c r="B78">
        <v>3023317</v>
      </c>
      <c r="C78">
        <v>3317</v>
      </c>
      <c r="D78">
        <v>30</v>
      </c>
      <c r="E78">
        <v>30</v>
      </c>
      <c r="F78">
        <v>30</v>
      </c>
      <c r="G78">
        <v>30</v>
      </c>
      <c r="H78">
        <v>31</v>
      </c>
      <c r="I78">
        <v>54</v>
      </c>
      <c r="J78"/>
      <c r="K78"/>
      <c r="L78"/>
      <c r="M78"/>
      <c r="N78"/>
      <c r="O78"/>
      <c r="P78"/>
      <c r="Q78"/>
      <c r="R78"/>
      <c r="S78"/>
      <c r="T78">
        <v>10</v>
      </c>
      <c r="U78">
        <v>25</v>
      </c>
      <c r="V78">
        <v>30</v>
      </c>
      <c r="W78">
        <v>270</v>
      </c>
      <c r="X78"/>
      <c r="Y78"/>
      <c r="Z78"/>
      <c r="AA78"/>
      <c r="AB78"/>
      <c r="AC78"/>
      <c r="AD78"/>
      <c r="AE78"/>
      <c r="AF78"/>
      <c r="AG78"/>
      <c r="AH78"/>
      <c r="AI78"/>
      <c r="AJ78"/>
      <c r="AK78"/>
      <c r="AL78"/>
      <c r="AM78"/>
      <c r="AN78"/>
      <c r="AO78"/>
      <c r="AP78"/>
    </row>
    <row r="79" spans="1:42">
      <c r="A79" t="s">
        <v>382</v>
      </c>
      <c r="B79">
        <v>3023500</v>
      </c>
      <c r="C79">
        <v>3500</v>
      </c>
      <c r="D79">
        <v>38</v>
      </c>
      <c r="E79">
        <v>55</v>
      </c>
      <c r="F79"/>
      <c r="G79"/>
      <c r="H79"/>
      <c r="I79"/>
      <c r="J79"/>
      <c r="K79"/>
      <c r="L79"/>
      <c r="M79"/>
      <c r="N79"/>
      <c r="O79"/>
      <c r="P79"/>
      <c r="Q79"/>
      <c r="R79"/>
      <c r="S79"/>
      <c r="T79"/>
      <c r="U79">
        <v>28</v>
      </c>
      <c r="V79">
        <v>51</v>
      </c>
      <c r="W79">
        <v>172</v>
      </c>
      <c r="X79"/>
      <c r="Y79"/>
      <c r="Z79"/>
      <c r="AA79"/>
      <c r="AB79"/>
      <c r="AC79"/>
      <c r="AD79"/>
      <c r="AE79"/>
      <c r="AF79"/>
      <c r="AG79"/>
      <c r="AH79"/>
      <c r="AI79"/>
      <c r="AJ79"/>
      <c r="AK79"/>
      <c r="AL79"/>
      <c r="AM79"/>
      <c r="AN79"/>
      <c r="AO79"/>
      <c r="AP79"/>
    </row>
    <row r="80" spans="1:42">
      <c r="A80" t="s">
        <v>383</v>
      </c>
      <c r="B80">
        <v>3023501</v>
      </c>
      <c r="C80">
        <v>3501</v>
      </c>
      <c r="D80">
        <v>28</v>
      </c>
      <c r="E80">
        <v>30</v>
      </c>
      <c r="F80">
        <v>30</v>
      </c>
      <c r="G80">
        <v>30</v>
      </c>
      <c r="H80">
        <v>30</v>
      </c>
      <c r="I80">
        <v>30</v>
      </c>
      <c r="J80"/>
      <c r="K80"/>
      <c r="L80"/>
      <c r="M80"/>
      <c r="N80"/>
      <c r="O80"/>
      <c r="P80"/>
      <c r="Q80"/>
      <c r="R80"/>
      <c r="S80"/>
      <c r="T80">
        <v>10</v>
      </c>
      <c r="U80">
        <v>18</v>
      </c>
      <c r="V80">
        <v>30</v>
      </c>
      <c r="W80">
        <v>236</v>
      </c>
      <c r="X80"/>
      <c r="Y80"/>
      <c r="Z80"/>
      <c r="AA80"/>
      <c r="AB80"/>
      <c r="AC80"/>
      <c r="AD80"/>
      <c r="AE80"/>
      <c r="AF80"/>
      <c r="AG80"/>
      <c r="AH80"/>
      <c r="AI80"/>
      <c r="AJ80"/>
      <c r="AK80"/>
      <c r="AL80"/>
      <c r="AM80"/>
      <c r="AN80"/>
      <c r="AO80"/>
      <c r="AP80"/>
    </row>
    <row r="81" spans="1:42">
      <c r="A81" t="s">
        <v>384</v>
      </c>
      <c r="B81">
        <v>3023502</v>
      </c>
      <c r="C81">
        <v>3502</v>
      </c>
      <c r="D81">
        <v>54</v>
      </c>
      <c r="E81">
        <v>56</v>
      </c>
      <c r="F81">
        <v>55</v>
      </c>
      <c r="G81">
        <v>42</v>
      </c>
      <c r="H81">
        <v>45</v>
      </c>
      <c r="I81">
        <v>36</v>
      </c>
      <c r="J81"/>
      <c r="K81"/>
      <c r="L81"/>
      <c r="M81"/>
      <c r="N81"/>
      <c r="O81"/>
      <c r="P81"/>
      <c r="Q81"/>
      <c r="R81"/>
      <c r="S81"/>
      <c r="T81">
        <v>2</v>
      </c>
      <c r="U81">
        <v>29</v>
      </c>
      <c r="V81">
        <v>60</v>
      </c>
      <c r="W81">
        <v>379</v>
      </c>
      <c r="X81"/>
      <c r="Y81"/>
      <c r="Z81"/>
      <c r="AA81"/>
      <c r="AB81"/>
      <c r="AC81"/>
      <c r="AD81"/>
      <c r="AE81"/>
      <c r="AF81"/>
      <c r="AG81"/>
      <c r="AH81"/>
      <c r="AI81"/>
      <c r="AJ81"/>
      <c r="AK81"/>
      <c r="AL81"/>
      <c r="AM81"/>
      <c r="AN81"/>
      <c r="AO81"/>
      <c r="AP81"/>
    </row>
    <row r="82" spans="1:42">
      <c r="A82" t="s">
        <v>385</v>
      </c>
      <c r="B82">
        <v>3023504</v>
      </c>
      <c r="C82">
        <v>3504</v>
      </c>
      <c r="D82">
        <v>58</v>
      </c>
      <c r="E82">
        <v>61</v>
      </c>
      <c r="F82">
        <v>59</v>
      </c>
      <c r="G82">
        <v>60</v>
      </c>
      <c r="H82">
        <v>61</v>
      </c>
      <c r="I82">
        <v>59</v>
      </c>
      <c r="J82"/>
      <c r="K82"/>
      <c r="L82"/>
      <c r="M82"/>
      <c r="N82"/>
      <c r="O82"/>
      <c r="P82"/>
      <c r="Q82"/>
      <c r="R82"/>
      <c r="S82"/>
      <c r="T82">
        <v>8</v>
      </c>
      <c r="U82">
        <v>39</v>
      </c>
      <c r="V82">
        <v>60</v>
      </c>
      <c r="W82">
        <v>465</v>
      </c>
      <c r="X82"/>
      <c r="Y82"/>
      <c r="Z82"/>
      <c r="AA82"/>
      <c r="AB82"/>
      <c r="AC82"/>
      <c r="AD82"/>
      <c r="AE82"/>
      <c r="AF82"/>
      <c r="AG82"/>
      <c r="AH82"/>
      <c r="AI82"/>
      <c r="AJ82"/>
      <c r="AK82"/>
      <c r="AL82"/>
      <c r="AM82"/>
      <c r="AN82"/>
      <c r="AO82"/>
      <c r="AP82"/>
    </row>
    <row r="83" spans="1:42">
      <c r="A83" t="s">
        <v>386</v>
      </c>
      <c r="B83">
        <v>3023506</v>
      </c>
      <c r="C83">
        <v>3506</v>
      </c>
      <c r="D83">
        <v>44</v>
      </c>
      <c r="E83">
        <v>40</v>
      </c>
      <c r="F83">
        <v>38</v>
      </c>
      <c r="G83">
        <v>43</v>
      </c>
      <c r="H83">
        <v>46</v>
      </c>
      <c r="I83">
        <v>57</v>
      </c>
      <c r="J83"/>
      <c r="K83"/>
      <c r="L83"/>
      <c r="M83"/>
      <c r="N83"/>
      <c r="O83"/>
      <c r="P83"/>
      <c r="Q83"/>
      <c r="R83"/>
      <c r="S83"/>
      <c r="T83"/>
      <c r="U83"/>
      <c r="V83">
        <v>31</v>
      </c>
      <c r="W83">
        <v>299</v>
      </c>
      <c r="X83"/>
      <c r="Y83"/>
      <c r="Z83"/>
      <c r="AA83"/>
      <c r="AB83"/>
      <c r="AC83"/>
      <c r="AD83"/>
      <c r="AE83"/>
      <c r="AF83"/>
      <c r="AG83"/>
      <c r="AH83"/>
      <c r="AI83"/>
      <c r="AJ83"/>
      <c r="AK83"/>
      <c r="AL83"/>
      <c r="AM83"/>
      <c r="AN83"/>
      <c r="AO83"/>
      <c r="AP83"/>
    </row>
    <row r="84" spans="1:42">
      <c r="A84" t="s">
        <v>387</v>
      </c>
      <c r="B84">
        <v>3023507</v>
      </c>
      <c r="C84">
        <v>3507</v>
      </c>
      <c r="D84">
        <v>25</v>
      </c>
      <c r="E84">
        <v>28</v>
      </c>
      <c r="F84">
        <v>29</v>
      </c>
      <c r="G84">
        <v>29</v>
      </c>
      <c r="H84">
        <v>27</v>
      </c>
      <c r="I84">
        <v>29</v>
      </c>
      <c r="J84"/>
      <c r="K84"/>
      <c r="L84"/>
      <c r="M84"/>
      <c r="N84"/>
      <c r="O84"/>
      <c r="P84"/>
      <c r="Q84"/>
      <c r="R84"/>
      <c r="S84"/>
      <c r="T84"/>
      <c r="U84"/>
      <c r="V84">
        <v>26</v>
      </c>
      <c r="W84">
        <v>193</v>
      </c>
      <c r="X84"/>
      <c r="Y84"/>
      <c r="Z84"/>
      <c r="AA84"/>
      <c r="AB84"/>
      <c r="AC84"/>
      <c r="AD84"/>
      <c r="AE84"/>
      <c r="AF84"/>
      <c r="AG84"/>
      <c r="AH84"/>
      <c r="AI84"/>
      <c r="AJ84"/>
      <c r="AK84"/>
      <c r="AL84"/>
      <c r="AM84"/>
      <c r="AN84"/>
      <c r="AO84"/>
      <c r="AP84"/>
    </row>
    <row r="85" spans="1:42">
      <c r="A85" t="s">
        <v>414</v>
      </c>
      <c r="B85">
        <v>3023509</v>
      </c>
      <c r="C85">
        <v>3509</v>
      </c>
      <c r="D85">
        <v>88</v>
      </c>
      <c r="E85">
        <v>83</v>
      </c>
      <c r="F85">
        <v>78</v>
      </c>
      <c r="G85">
        <v>77</v>
      </c>
      <c r="H85">
        <v>62</v>
      </c>
      <c r="I85">
        <v>58</v>
      </c>
      <c r="J85"/>
      <c r="K85"/>
      <c r="L85"/>
      <c r="M85"/>
      <c r="N85"/>
      <c r="O85"/>
      <c r="P85"/>
      <c r="Q85"/>
      <c r="R85"/>
      <c r="S85"/>
      <c r="T85"/>
      <c r="U85">
        <v>28</v>
      </c>
      <c r="V85">
        <v>60</v>
      </c>
      <c r="W85">
        <v>534</v>
      </c>
      <c r="X85"/>
      <c r="Y85"/>
      <c r="Z85"/>
      <c r="AA85"/>
      <c r="AB85"/>
      <c r="AC85"/>
      <c r="AD85"/>
      <c r="AE85"/>
      <c r="AF85"/>
      <c r="AG85"/>
      <c r="AH85"/>
      <c r="AI85"/>
      <c r="AJ85"/>
      <c r="AK85"/>
      <c r="AL85"/>
      <c r="AM85"/>
      <c r="AN85"/>
      <c r="AO85"/>
      <c r="AP85"/>
    </row>
    <row r="86" spans="1:42">
      <c r="A86" t="s">
        <v>388</v>
      </c>
      <c r="B86">
        <v>3023510</v>
      </c>
      <c r="C86">
        <v>3510</v>
      </c>
      <c r="D86">
        <v>50</v>
      </c>
      <c r="E86">
        <v>60</v>
      </c>
      <c r="F86">
        <v>60</v>
      </c>
      <c r="G86">
        <v>60</v>
      </c>
      <c r="H86">
        <v>60</v>
      </c>
      <c r="I86">
        <v>59</v>
      </c>
      <c r="J86"/>
      <c r="K86"/>
      <c r="L86"/>
      <c r="M86"/>
      <c r="N86"/>
      <c r="O86"/>
      <c r="P86"/>
      <c r="Q86"/>
      <c r="R86"/>
      <c r="S86"/>
      <c r="T86"/>
      <c r="U86"/>
      <c r="V86">
        <v>45</v>
      </c>
      <c r="W86">
        <v>394</v>
      </c>
      <c r="X86"/>
      <c r="Y86"/>
      <c r="Z86"/>
      <c r="AA86"/>
      <c r="AB86"/>
      <c r="AC86"/>
      <c r="AD86"/>
      <c r="AE86"/>
      <c r="AF86"/>
      <c r="AG86"/>
      <c r="AH86"/>
      <c r="AI86"/>
      <c r="AJ86"/>
      <c r="AK86"/>
      <c r="AL86"/>
      <c r="AM86"/>
      <c r="AN86"/>
      <c r="AO86"/>
      <c r="AP86"/>
    </row>
    <row r="87" spans="1:42">
      <c r="A87" t="s">
        <v>389</v>
      </c>
      <c r="B87">
        <v>3023511</v>
      </c>
      <c r="C87">
        <v>3511</v>
      </c>
      <c r="D87">
        <v>50</v>
      </c>
      <c r="E87">
        <v>56</v>
      </c>
      <c r="F87">
        <v>60</v>
      </c>
      <c r="G87">
        <v>57</v>
      </c>
      <c r="H87">
        <v>55</v>
      </c>
      <c r="I87">
        <v>52</v>
      </c>
      <c r="J87"/>
      <c r="K87"/>
      <c r="L87"/>
      <c r="M87"/>
      <c r="N87"/>
      <c r="O87"/>
      <c r="P87"/>
      <c r="Q87"/>
      <c r="R87"/>
      <c r="S87"/>
      <c r="T87"/>
      <c r="U87">
        <v>37</v>
      </c>
      <c r="V87">
        <v>60</v>
      </c>
      <c r="W87">
        <v>427</v>
      </c>
      <c r="X87"/>
      <c r="Y87"/>
      <c r="Z87"/>
      <c r="AA87"/>
      <c r="AB87"/>
      <c r="AC87"/>
      <c r="AD87"/>
      <c r="AE87"/>
      <c r="AF87"/>
      <c r="AG87"/>
      <c r="AH87"/>
      <c r="AI87"/>
      <c r="AJ87"/>
      <c r="AK87"/>
      <c r="AL87"/>
      <c r="AM87"/>
      <c r="AN87"/>
      <c r="AO87"/>
      <c r="AP87"/>
    </row>
    <row r="88" spans="1:42">
      <c r="A88" t="s">
        <v>284</v>
      </c>
      <c r="B88">
        <v>3023512</v>
      </c>
      <c r="C88">
        <v>3512</v>
      </c>
      <c r="D88">
        <v>59</v>
      </c>
      <c r="E88">
        <v>52</v>
      </c>
      <c r="F88">
        <v>56</v>
      </c>
      <c r="G88">
        <v>60</v>
      </c>
      <c r="H88">
        <v>58</v>
      </c>
      <c r="I88">
        <v>55</v>
      </c>
      <c r="J88"/>
      <c r="K88"/>
      <c r="L88"/>
      <c r="M88"/>
      <c r="N88"/>
      <c r="O88"/>
      <c r="P88"/>
      <c r="Q88"/>
      <c r="R88"/>
      <c r="S88"/>
      <c r="T88"/>
      <c r="U88">
        <v>25</v>
      </c>
      <c r="V88">
        <v>41</v>
      </c>
      <c r="W88">
        <v>406</v>
      </c>
      <c r="X88"/>
      <c r="Y88"/>
      <c r="Z88"/>
      <c r="AA88"/>
      <c r="AB88"/>
      <c r="AC88"/>
      <c r="AD88"/>
      <c r="AE88"/>
      <c r="AF88"/>
      <c r="AG88"/>
      <c r="AH88"/>
      <c r="AI88"/>
      <c r="AJ88"/>
      <c r="AK88"/>
      <c r="AL88"/>
      <c r="AM88"/>
      <c r="AN88"/>
      <c r="AO88"/>
      <c r="AP88"/>
    </row>
    <row r="89" spans="1:42">
      <c r="A89" t="s">
        <v>77</v>
      </c>
      <c r="B89">
        <v>3023513</v>
      </c>
      <c r="C89">
        <v>3513</v>
      </c>
      <c r="D89">
        <v>53</v>
      </c>
      <c r="E89">
        <v>57</v>
      </c>
      <c r="F89">
        <v>57</v>
      </c>
      <c r="G89">
        <v>56</v>
      </c>
      <c r="H89">
        <v>53</v>
      </c>
      <c r="I89">
        <v>53</v>
      </c>
      <c r="J89"/>
      <c r="K89"/>
      <c r="L89"/>
      <c r="M89"/>
      <c r="N89"/>
      <c r="O89"/>
      <c r="P89"/>
      <c r="Q89"/>
      <c r="R89"/>
      <c r="S89"/>
      <c r="T89"/>
      <c r="U89">
        <v>52</v>
      </c>
      <c r="V89">
        <v>50</v>
      </c>
      <c r="W89">
        <v>431</v>
      </c>
      <c r="X89"/>
      <c r="Y89"/>
      <c r="Z89"/>
      <c r="AA89"/>
      <c r="AB89"/>
      <c r="AC89"/>
      <c r="AD89"/>
      <c r="AE89"/>
      <c r="AF89"/>
      <c r="AG89"/>
      <c r="AH89"/>
      <c r="AI89"/>
      <c r="AJ89"/>
      <c r="AK89"/>
      <c r="AL89"/>
      <c r="AM89"/>
      <c r="AN89"/>
      <c r="AO89"/>
      <c r="AP89"/>
    </row>
    <row r="90" spans="1:42">
      <c r="A90" t="s">
        <v>391</v>
      </c>
      <c r="B90">
        <v>3023514</v>
      </c>
      <c r="C90">
        <v>3514</v>
      </c>
      <c r="D90"/>
      <c r="E90"/>
      <c r="F90">
        <v>50</v>
      </c>
      <c r="G90">
        <v>48</v>
      </c>
      <c r="H90">
        <v>58</v>
      </c>
      <c r="I90">
        <v>50</v>
      </c>
      <c r="J90"/>
      <c r="K90"/>
      <c r="L90"/>
      <c r="M90"/>
      <c r="N90"/>
      <c r="O90"/>
      <c r="P90"/>
      <c r="Q90"/>
      <c r="R90"/>
      <c r="S90"/>
      <c r="T90"/>
      <c r="U90"/>
      <c r="V90"/>
      <c r="W90">
        <v>206</v>
      </c>
      <c r="X90"/>
      <c r="Y90"/>
      <c r="Z90"/>
      <c r="AA90"/>
      <c r="AB90"/>
      <c r="AC90"/>
      <c r="AD90"/>
      <c r="AE90"/>
      <c r="AF90"/>
      <c r="AG90"/>
      <c r="AH90"/>
      <c r="AI90"/>
      <c r="AJ90"/>
      <c r="AK90"/>
      <c r="AL90"/>
      <c r="AM90"/>
      <c r="AN90"/>
      <c r="AO90"/>
      <c r="AP90"/>
    </row>
    <row r="91" spans="1:42">
      <c r="A91" t="s">
        <v>392</v>
      </c>
      <c r="B91">
        <v>3023515</v>
      </c>
      <c r="C91">
        <v>3515</v>
      </c>
      <c r="D91">
        <v>32</v>
      </c>
      <c r="E91">
        <v>30</v>
      </c>
      <c r="F91">
        <v>29</v>
      </c>
      <c r="G91">
        <v>27</v>
      </c>
      <c r="H91">
        <v>28</v>
      </c>
      <c r="I91">
        <v>30</v>
      </c>
      <c r="J91"/>
      <c r="K91"/>
      <c r="L91"/>
      <c r="M91"/>
      <c r="N91"/>
      <c r="O91"/>
      <c r="P91"/>
      <c r="Q91"/>
      <c r="R91"/>
      <c r="S91"/>
      <c r="T91"/>
      <c r="U91">
        <v>29</v>
      </c>
      <c r="V91">
        <v>29</v>
      </c>
      <c r="W91">
        <v>234</v>
      </c>
      <c r="X91"/>
      <c r="Y91"/>
      <c r="Z91"/>
      <c r="AA91"/>
      <c r="AB91"/>
      <c r="AC91"/>
      <c r="AD91"/>
      <c r="AE91"/>
      <c r="AF91"/>
      <c r="AG91"/>
      <c r="AH91"/>
      <c r="AI91"/>
      <c r="AJ91"/>
      <c r="AK91"/>
      <c r="AL91"/>
      <c r="AM91"/>
      <c r="AN91"/>
      <c r="AO91"/>
      <c r="AP91"/>
    </row>
    <row r="92" spans="1:42">
      <c r="A92" t="s">
        <v>68</v>
      </c>
      <c r="B92">
        <v>3023516</v>
      </c>
      <c r="C92">
        <v>3516</v>
      </c>
      <c r="D92">
        <v>30</v>
      </c>
      <c r="E92">
        <v>27</v>
      </c>
      <c r="F92">
        <v>30</v>
      </c>
      <c r="G92">
        <v>29</v>
      </c>
      <c r="H92">
        <v>30</v>
      </c>
      <c r="I92">
        <v>28</v>
      </c>
      <c r="J92"/>
      <c r="K92"/>
      <c r="L92"/>
      <c r="M92"/>
      <c r="N92"/>
      <c r="O92"/>
      <c r="P92"/>
      <c r="Q92"/>
      <c r="R92"/>
      <c r="S92"/>
      <c r="T92"/>
      <c r="U92">
        <v>26</v>
      </c>
      <c r="V92">
        <v>28</v>
      </c>
      <c r="W92">
        <v>228</v>
      </c>
      <c r="X92"/>
      <c r="Y92"/>
      <c r="Z92"/>
      <c r="AA92"/>
      <c r="AB92"/>
      <c r="AC92"/>
      <c r="AD92"/>
      <c r="AE92"/>
      <c r="AF92"/>
      <c r="AG92"/>
      <c r="AH92"/>
      <c r="AI92"/>
      <c r="AJ92"/>
      <c r="AK92"/>
      <c r="AL92"/>
      <c r="AM92"/>
      <c r="AN92"/>
      <c r="AO92"/>
      <c r="AP92"/>
    </row>
    <row r="93" spans="1:42">
      <c r="A93" t="s">
        <v>112</v>
      </c>
      <c r="B93">
        <v>3023518</v>
      </c>
      <c r="C93">
        <v>3518</v>
      </c>
      <c r="D93">
        <v>54</v>
      </c>
      <c r="E93">
        <v>57</v>
      </c>
      <c r="F93">
        <v>56</v>
      </c>
      <c r="G93">
        <v>60</v>
      </c>
      <c r="H93">
        <v>56</v>
      </c>
      <c r="I93">
        <v>60</v>
      </c>
      <c r="J93"/>
      <c r="K93"/>
      <c r="L93"/>
      <c r="M93"/>
      <c r="N93"/>
      <c r="O93"/>
      <c r="P93"/>
      <c r="Q93"/>
      <c r="R93"/>
      <c r="S93"/>
      <c r="T93"/>
      <c r="U93">
        <v>42</v>
      </c>
      <c r="V93">
        <v>52</v>
      </c>
      <c r="W93">
        <v>437</v>
      </c>
      <c r="X93"/>
      <c r="Y93"/>
      <c r="Z93"/>
      <c r="AA93"/>
      <c r="AB93"/>
      <c r="AC93"/>
      <c r="AD93"/>
      <c r="AE93"/>
      <c r="AF93"/>
      <c r="AG93"/>
      <c r="AH93"/>
      <c r="AI93"/>
      <c r="AJ93"/>
      <c r="AK93"/>
      <c r="AL93"/>
      <c r="AM93"/>
      <c r="AN93"/>
      <c r="AO93"/>
      <c r="AP93"/>
    </row>
    <row r="94" spans="1:42">
      <c r="A94" t="s">
        <v>40</v>
      </c>
      <c r="B94">
        <v>3023519</v>
      </c>
      <c r="C94">
        <v>3519</v>
      </c>
      <c r="D94">
        <v>86</v>
      </c>
      <c r="E94">
        <v>84</v>
      </c>
      <c r="F94">
        <v>91</v>
      </c>
      <c r="G94">
        <v>92</v>
      </c>
      <c r="H94">
        <v>99</v>
      </c>
      <c r="I94">
        <v>97</v>
      </c>
      <c r="J94"/>
      <c r="K94"/>
      <c r="L94"/>
      <c r="M94"/>
      <c r="N94"/>
      <c r="O94"/>
      <c r="P94"/>
      <c r="Q94"/>
      <c r="R94">
        <v>1</v>
      </c>
      <c r="S94">
        <v>15</v>
      </c>
      <c r="T94">
        <v>17</v>
      </c>
      <c r="U94">
        <v>61</v>
      </c>
      <c r="V94">
        <v>90</v>
      </c>
      <c r="W94">
        <v>733</v>
      </c>
      <c r="X94"/>
      <c r="Y94"/>
      <c r="Z94"/>
      <c r="AA94"/>
      <c r="AB94"/>
      <c r="AC94"/>
      <c r="AD94"/>
      <c r="AE94"/>
      <c r="AF94"/>
      <c r="AG94"/>
      <c r="AH94"/>
      <c r="AI94"/>
      <c r="AJ94"/>
      <c r="AK94"/>
      <c r="AL94"/>
      <c r="AM94"/>
      <c r="AN94"/>
      <c r="AO94"/>
      <c r="AP94"/>
    </row>
    <row r="95" spans="1:42">
      <c r="A95" t="s">
        <v>256</v>
      </c>
      <c r="B95">
        <v>3023520</v>
      </c>
      <c r="C95">
        <v>3520</v>
      </c>
      <c r="D95">
        <v>60</v>
      </c>
      <c r="E95">
        <v>60</v>
      </c>
      <c r="F95">
        <v>60</v>
      </c>
      <c r="G95">
        <v>60</v>
      </c>
      <c r="H95">
        <v>60</v>
      </c>
      <c r="I95">
        <v>60</v>
      </c>
      <c r="J95"/>
      <c r="K95"/>
      <c r="L95"/>
      <c r="M95"/>
      <c r="N95"/>
      <c r="O95"/>
      <c r="P95"/>
      <c r="Q95"/>
      <c r="R95"/>
      <c r="S95"/>
      <c r="T95"/>
      <c r="U95"/>
      <c r="V95">
        <v>60</v>
      </c>
      <c r="W95">
        <v>420</v>
      </c>
      <c r="X95"/>
      <c r="Y95"/>
      <c r="Z95"/>
      <c r="AA95"/>
      <c r="AB95"/>
      <c r="AC95"/>
      <c r="AD95"/>
      <c r="AE95"/>
      <c r="AF95"/>
      <c r="AG95"/>
      <c r="AH95"/>
      <c r="AI95"/>
      <c r="AJ95"/>
      <c r="AK95"/>
      <c r="AL95"/>
      <c r="AM95"/>
      <c r="AN95"/>
      <c r="AO95"/>
      <c r="AP95"/>
    </row>
    <row r="96" spans="1:42">
      <c r="A96" t="s">
        <v>415</v>
      </c>
      <c r="B96">
        <v>3023521</v>
      </c>
      <c r="C96">
        <v>3521</v>
      </c>
      <c r="D96">
        <v>82</v>
      </c>
      <c r="E96">
        <v>83</v>
      </c>
      <c r="F96">
        <v>86</v>
      </c>
      <c r="G96">
        <v>88</v>
      </c>
      <c r="H96">
        <v>90</v>
      </c>
      <c r="I96">
        <v>90</v>
      </c>
      <c r="J96">
        <v>180</v>
      </c>
      <c r="K96">
        <v>179</v>
      </c>
      <c r="L96">
        <v>179</v>
      </c>
      <c r="M96">
        <v>118</v>
      </c>
      <c r="N96">
        <v>118</v>
      </c>
      <c r="O96">
        <v>41</v>
      </c>
      <c r="P96"/>
      <c r="Q96"/>
      <c r="R96"/>
      <c r="S96"/>
      <c r="T96"/>
      <c r="U96">
        <v>45</v>
      </c>
      <c r="V96">
        <v>90</v>
      </c>
      <c r="W96">
        <v>1469</v>
      </c>
      <c r="X96"/>
      <c r="Y96"/>
      <c r="Z96"/>
      <c r="AA96"/>
      <c r="AB96"/>
      <c r="AC96"/>
      <c r="AD96"/>
      <c r="AE96"/>
      <c r="AF96"/>
      <c r="AG96"/>
      <c r="AH96"/>
      <c r="AI96"/>
      <c r="AJ96"/>
      <c r="AK96"/>
      <c r="AL96"/>
      <c r="AM96"/>
      <c r="AN96"/>
      <c r="AO96"/>
      <c r="AP96"/>
    </row>
    <row r="97" spans="1:42">
      <c r="A97" t="s">
        <v>265</v>
      </c>
      <c r="B97">
        <v>3023522</v>
      </c>
      <c r="C97">
        <v>3522</v>
      </c>
      <c r="D97">
        <v>30</v>
      </c>
      <c r="E97">
        <v>29</v>
      </c>
      <c r="F97">
        <v>40</v>
      </c>
      <c r="G97">
        <v>50</v>
      </c>
      <c r="H97">
        <v>57</v>
      </c>
      <c r="I97">
        <v>50</v>
      </c>
      <c r="J97"/>
      <c r="K97"/>
      <c r="L97"/>
      <c r="M97"/>
      <c r="N97"/>
      <c r="O97"/>
      <c r="P97"/>
      <c r="Q97"/>
      <c r="R97"/>
      <c r="S97">
        <v>2</v>
      </c>
      <c r="T97">
        <v>13</v>
      </c>
      <c r="U97">
        <v>30</v>
      </c>
      <c r="V97">
        <v>47</v>
      </c>
      <c r="W97">
        <v>348</v>
      </c>
      <c r="X97"/>
      <c r="Y97"/>
      <c r="Z97"/>
      <c r="AA97"/>
      <c r="AB97"/>
      <c r="AC97"/>
      <c r="AD97"/>
      <c r="AE97"/>
      <c r="AF97"/>
      <c r="AG97"/>
      <c r="AH97"/>
      <c r="AI97"/>
      <c r="AJ97"/>
      <c r="AK97"/>
      <c r="AL97"/>
      <c r="AM97"/>
      <c r="AN97"/>
      <c r="AO97"/>
      <c r="AP97"/>
    </row>
    <row r="98" spans="1:42">
      <c r="A98" t="s">
        <v>276</v>
      </c>
      <c r="B98">
        <v>3023523</v>
      </c>
      <c r="C98">
        <v>3523</v>
      </c>
      <c r="D98">
        <v>87</v>
      </c>
      <c r="E98">
        <v>91</v>
      </c>
      <c r="F98">
        <v>89</v>
      </c>
      <c r="G98">
        <v>88</v>
      </c>
      <c r="H98">
        <v>89</v>
      </c>
      <c r="I98">
        <v>88</v>
      </c>
      <c r="J98"/>
      <c r="K98"/>
      <c r="L98"/>
      <c r="M98"/>
      <c r="N98"/>
      <c r="O98"/>
      <c r="P98"/>
      <c r="Q98"/>
      <c r="R98"/>
      <c r="S98"/>
      <c r="T98"/>
      <c r="U98">
        <v>51</v>
      </c>
      <c r="V98">
        <v>91</v>
      </c>
      <c r="W98">
        <v>674</v>
      </c>
      <c r="X98"/>
      <c r="Y98"/>
      <c r="Z98"/>
      <c r="AA98"/>
      <c r="AB98"/>
      <c r="AC98"/>
      <c r="AD98"/>
      <c r="AE98"/>
      <c r="AF98"/>
      <c r="AG98"/>
      <c r="AH98"/>
      <c r="AI98"/>
      <c r="AJ98"/>
      <c r="AK98"/>
      <c r="AL98"/>
      <c r="AM98"/>
      <c r="AN98"/>
      <c r="AO98"/>
      <c r="AP98"/>
    </row>
    <row r="99" spans="1:42">
      <c r="A99" t="s">
        <v>393</v>
      </c>
      <c r="B99">
        <v>3023524</v>
      </c>
      <c r="C99">
        <v>3524</v>
      </c>
      <c r="D99">
        <v>30</v>
      </c>
      <c r="E99">
        <v>20</v>
      </c>
      <c r="F99">
        <v>30</v>
      </c>
      <c r="G99">
        <v>24</v>
      </c>
      <c r="H99">
        <v>27</v>
      </c>
      <c r="I99">
        <v>29</v>
      </c>
      <c r="J99"/>
      <c r="K99"/>
      <c r="L99"/>
      <c r="M99"/>
      <c r="N99"/>
      <c r="O99"/>
      <c r="P99"/>
      <c r="Q99"/>
      <c r="R99"/>
      <c r="S99"/>
      <c r="T99"/>
      <c r="U99">
        <v>28</v>
      </c>
      <c r="V99">
        <v>27</v>
      </c>
      <c r="W99">
        <v>215</v>
      </c>
      <c r="X99"/>
      <c r="Y99"/>
      <c r="Z99"/>
      <c r="AA99"/>
      <c r="AB99"/>
      <c r="AC99"/>
      <c r="AD99"/>
      <c r="AE99"/>
      <c r="AF99"/>
      <c r="AG99"/>
      <c r="AH99"/>
      <c r="AI99"/>
      <c r="AJ99"/>
      <c r="AK99"/>
      <c r="AL99"/>
      <c r="AM99"/>
      <c r="AN99"/>
      <c r="AO99"/>
      <c r="AP99"/>
    </row>
    <row r="100" spans="1:42">
      <c r="A100" t="s">
        <v>394</v>
      </c>
      <c r="B100">
        <v>3024000</v>
      </c>
      <c r="C100">
        <v>4000</v>
      </c>
      <c r="D100"/>
      <c r="E100"/>
      <c r="F100"/>
      <c r="G100"/>
      <c r="H100"/>
      <c r="I100"/>
      <c r="J100">
        <v>143</v>
      </c>
      <c r="K100">
        <v>149</v>
      </c>
      <c r="L100">
        <v>143</v>
      </c>
      <c r="M100">
        <v>137</v>
      </c>
      <c r="N100">
        <v>120</v>
      </c>
      <c r="O100">
        <v>26</v>
      </c>
      <c r="P100">
        <v>36</v>
      </c>
      <c r="Q100"/>
      <c r="R100"/>
      <c r="S100"/>
      <c r="T100"/>
      <c r="U100"/>
      <c r="V100"/>
      <c r="W100">
        <v>754</v>
      </c>
      <c r="X100"/>
      <c r="Y100"/>
      <c r="Z100"/>
      <c r="AA100"/>
      <c r="AB100"/>
      <c r="AC100"/>
      <c r="AD100"/>
      <c r="AE100"/>
      <c r="AF100"/>
      <c r="AG100"/>
      <c r="AH100"/>
      <c r="AI100"/>
      <c r="AJ100"/>
      <c r="AK100"/>
      <c r="AL100"/>
      <c r="AM100"/>
      <c r="AN100"/>
      <c r="AO100"/>
      <c r="AP100"/>
    </row>
    <row r="101" spans="1:42">
      <c r="A101" t="s">
        <v>395</v>
      </c>
      <c r="B101">
        <v>3024001</v>
      </c>
      <c r="C101">
        <v>4001</v>
      </c>
      <c r="D101"/>
      <c r="E101"/>
      <c r="F101"/>
      <c r="G101"/>
      <c r="H101"/>
      <c r="I101"/>
      <c r="J101">
        <v>161</v>
      </c>
      <c r="K101">
        <v>163</v>
      </c>
      <c r="L101">
        <v>160</v>
      </c>
      <c r="M101">
        <v>150</v>
      </c>
      <c r="N101">
        <v>153</v>
      </c>
      <c r="O101"/>
      <c r="P101"/>
      <c r="Q101"/>
      <c r="R101"/>
      <c r="S101"/>
      <c r="T101"/>
      <c r="U101"/>
      <c r="V101"/>
      <c r="W101">
        <v>787</v>
      </c>
      <c r="X101"/>
      <c r="Y101"/>
      <c r="Z101"/>
      <c r="AA101"/>
      <c r="AB101"/>
      <c r="AC101"/>
      <c r="AD101"/>
      <c r="AE101"/>
      <c r="AF101"/>
      <c r="AG101"/>
      <c r="AH101"/>
      <c r="AI101"/>
      <c r="AJ101"/>
      <c r="AK101"/>
      <c r="AL101"/>
      <c r="AM101"/>
      <c r="AN101"/>
      <c r="AO101"/>
      <c r="AP101"/>
    </row>
    <row r="102" spans="1:42">
      <c r="A102" t="s">
        <v>116</v>
      </c>
      <c r="B102">
        <v>3024003</v>
      </c>
      <c r="C102">
        <v>4003</v>
      </c>
      <c r="D102"/>
      <c r="E102"/>
      <c r="F102"/>
      <c r="G102"/>
      <c r="H102"/>
      <c r="I102"/>
      <c r="J102">
        <v>162</v>
      </c>
      <c r="K102">
        <v>160</v>
      </c>
      <c r="L102">
        <v>160</v>
      </c>
      <c r="M102">
        <v>150</v>
      </c>
      <c r="N102">
        <v>158</v>
      </c>
      <c r="O102"/>
      <c r="P102"/>
      <c r="Q102"/>
      <c r="R102"/>
      <c r="S102"/>
      <c r="T102"/>
      <c r="U102"/>
      <c r="V102"/>
      <c r="W102">
        <v>790</v>
      </c>
      <c r="X102"/>
      <c r="Y102"/>
      <c r="Z102"/>
      <c r="AA102"/>
      <c r="AB102"/>
      <c r="AC102"/>
      <c r="AD102"/>
      <c r="AE102"/>
      <c r="AF102"/>
      <c r="AG102"/>
      <c r="AH102"/>
      <c r="AI102"/>
      <c r="AJ102"/>
      <c r="AK102"/>
      <c r="AL102"/>
      <c r="AM102"/>
      <c r="AN102"/>
      <c r="AO102"/>
      <c r="AP102"/>
    </row>
    <row r="103" spans="1:42">
      <c r="A103" t="s">
        <v>469</v>
      </c>
      <c r="B103">
        <v>3024004</v>
      </c>
      <c r="C103">
        <v>4004</v>
      </c>
      <c r="D103"/>
      <c r="E103"/>
      <c r="F103"/>
      <c r="G103"/>
      <c r="H103"/>
      <c r="I103"/>
      <c r="J103">
        <v>69</v>
      </c>
      <c r="K103">
        <v>53</v>
      </c>
      <c r="L103">
        <v>53</v>
      </c>
      <c r="M103">
        <v>46</v>
      </c>
      <c r="N103">
        <v>47</v>
      </c>
      <c r="O103">
        <v>35</v>
      </c>
      <c r="P103">
        <v>32</v>
      </c>
      <c r="Q103"/>
      <c r="R103"/>
      <c r="S103"/>
      <c r="T103"/>
      <c r="U103"/>
      <c r="V103"/>
      <c r="W103">
        <v>335</v>
      </c>
      <c r="X103"/>
      <c r="Y103"/>
      <c r="Z103"/>
      <c r="AA103"/>
      <c r="AB103"/>
      <c r="AC103"/>
      <c r="AD103"/>
      <c r="AE103"/>
      <c r="AF103"/>
      <c r="AG103"/>
      <c r="AH103"/>
      <c r="AI103"/>
      <c r="AJ103"/>
      <c r="AK103"/>
      <c r="AL103"/>
      <c r="AM103"/>
      <c r="AN103"/>
      <c r="AO103"/>
      <c r="AP103"/>
    </row>
    <row r="104" spans="1:42">
      <c r="A104" t="s">
        <v>318</v>
      </c>
      <c r="B104">
        <v>3024010</v>
      </c>
      <c r="C104">
        <v>4010</v>
      </c>
      <c r="D104"/>
      <c r="E104"/>
      <c r="F104"/>
      <c r="G104"/>
      <c r="H104"/>
      <c r="I104"/>
      <c r="J104">
        <v>133</v>
      </c>
      <c r="K104">
        <v>140</v>
      </c>
      <c r="L104">
        <v>117</v>
      </c>
      <c r="M104">
        <v>84</v>
      </c>
      <c r="N104">
        <v>99</v>
      </c>
      <c r="O104"/>
      <c r="P104"/>
      <c r="Q104"/>
      <c r="R104"/>
      <c r="S104"/>
      <c r="T104"/>
      <c r="U104"/>
      <c r="V104"/>
      <c r="W104">
        <v>573</v>
      </c>
      <c r="X104"/>
      <c r="Y104"/>
      <c r="Z104"/>
      <c r="AA104"/>
      <c r="AB104"/>
      <c r="AC104"/>
      <c r="AD104"/>
      <c r="AE104"/>
      <c r="AF104"/>
      <c r="AG104"/>
      <c r="AH104"/>
      <c r="AI104"/>
      <c r="AJ104"/>
      <c r="AK104"/>
      <c r="AL104"/>
      <c r="AM104"/>
      <c r="AN104"/>
      <c r="AO104"/>
      <c r="AP104"/>
    </row>
    <row r="105" spans="1:42">
      <c r="A105" t="s">
        <v>465</v>
      </c>
      <c r="B105">
        <v>3024011</v>
      </c>
      <c r="C105">
        <v>4011</v>
      </c>
      <c r="D105"/>
      <c r="E105"/>
      <c r="F105"/>
      <c r="G105"/>
      <c r="H105"/>
      <c r="I105"/>
      <c r="J105">
        <v>154</v>
      </c>
      <c r="K105">
        <v>152</v>
      </c>
      <c r="L105"/>
      <c r="M105"/>
      <c r="N105"/>
      <c r="O105"/>
      <c r="P105"/>
      <c r="Q105"/>
      <c r="R105"/>
      <c r="S105"/>
      <c r="T105"/>
      <c r="U105"/>
      <c r="V105"/>
      <c r="W105">
        <v>306</v>
      </c>
      <c r="X105"/>
      <c r="Y105"/>
      <c r="Z105"/>
      <c r="AA105"/>
      <c r="AB105"/>
      <c r="AC105"/>
      <c r="AD105"/>
      <c r="AE105"/>
      <c r="AF105"/>
      <c r="AG105"/>
      <c r="AH105"/>
      <c r="AI105"/>
      <c r="AJ105"/>
      <c r="AK105"/>
      <c r="AL105"/>
      <c r="AM105"/>
      <c r="AN105"/>
      <c r="AO105"/>
      <c r="AP105"/>
    </row>
    <row r="106" spans="1:42">
      <c r="A106" t="s">
        <v>123</v>
      </c>
      <c r="B106">
        <v>3024012</v>
      </c>
      <c r="C106">
        <v>4012</v>
      </c>
      <c r="D106"/>
      <c r="E106"/>
      <c r="F106"/>
      <c r="G106"/>
      <c r="H106"/>
      <c r="I106"/>
      <c r="J106">
        <v>108</v>
      </c>
      <c r="K106">
        <v>114</v>
      </c>
      <c r="L106">
        <v>138</v>
      </c>
      <c r="M106">
        <v>145</v>
      </c>
      <c r="N106">
        <v>147</v>
      </c>
      <c r="O106">
        <v>55</v>
      </c>
      <c r="P106">
        <v>47</v>
      </c>
      <c r="Q106"/>
      <c r="R106"/>
      <c r="S106"/>
      <c r="T106"/>
      <c r="U106"/>
      <c r="V106"/>
      <c r="W106">
        <v>754</v>
      </c>
      <c r="X106"/>
      <c r="Y106"/>
      <c r="Z106"/>
      <c r="AA106"/>
      <c r="AB106"/>
      <c r="AC106"/>
      <c r="AD106"/>
      <c r="AE106"/>
      <c r="AF106"/>
      <c r="AG106"/>
      <c r="AH106"/>
      <c r="AI106"/>
      <c r="AJ106"/>
      <c r="AK106"/>
      <c r="AL106"/>
      <c r="AM106"/>
      <c r="AN106"/>
      <c r="AO106"/>
      <c r="AP106"/>
    </row>
    <row r="107" spans="1:42">
      <c r="A107" t="s">
        <v>514</v>
      </c>
      <c r="B107">
        <v>3024013</v>
      </c>
      <c r="C107">
        <v>4013</v>
      </c>
      <c r="D107"/>
      <c r="E107"/>
      <c r="F107"/>
      <c r="G107"/>
      <c r="H107"/>
      <c r="I107"/>
      <c r="J107">
        <v>171</v>
      </c>
      <c r="K107"/>
      <c r="L107"/>
      <c r="M107"/>
      <c r="N107"/>
      <c r="O107"/>
      <c r="P107"/>
      <c r="Q107"/>
      <c r="R107"/>
      <c r="S107"/>
      <c r="T107"/>
      <c r="U107"/>
      <c r="V107"/>
      <c r="W107">
        <v>171</v>
      </c>
      <c r="X107"/>
      <c r="Y107"/>
      <c r="Z107"/>
      <c r="AA107"/>
      <c r="AB107"/>
      <c r="AC107"/>
      <c r="AD107"/>
      <c r="AE107"/>
      <c r="AF107"/>
      <c r="AG107"/>
      <c r="AH107"/>
      <c r="AI107"/>
      <c r="AJ107"/>
      <c r="AK107"/>
      <c r="AL107"/>
      <c r="AM107"/>
      <c r="AN107"/>
      <c r="AO107"/>
      <c r="AP107"/>
    </row>
    <row r="108" spans="1:42">
      <c r="A108" t="s">
        <v>479</v>
      </c>
      <c r="B108">
        <v>3024014</v>
      </c>
      <c r="C108">
        <v>4014</v>
      </c>
      <c r="D108"/>
      <c r="E108"/>
      <c r="F108"/>
      <c r="G108"/>
      <c r="H108"/>
      <c r="I108"/>
      <c r="J108">
        <v>97</v>
      </c>
      <c r="K108">
        <v>91</v>
      </c>
      <c r="L108">
        <v>82</v>
      </c>
      <c r="M108">
        <v>90</v>
      </c>
      <c r="N108">
        <v>87</v>
      </c>
      <c r="O108">
        <v>51</v>
      </c>
      <c r="P108">
        <v>53</v>
      </c>
      <c r="Q108"/>
      <c r="R108"/>
      <c r="S108"/>
      <c r="T108"/>
      <c r="U108"/>
      <c r="V108"/>
      <c r="W108">
        <v>551</v>
      </c>
      <c r="X108"/>
      <c r="Y108"/>
      <c r="Z108"/>
      <c r="AA108"/>
      <c r="AB108"/>
      <c r="AC108"/>
      <c r="AD108"/>
      <c r="AE108"/>
      <c r="AF108"/>
      <c r="AG108"/>
      <c r="AH108"/>
      <c r="AI108"/>
      <c r="AJ108"/>
      <c r="AK108"/>
      <c r="AL108"/>
      <c r="AM108"/>
      <c r="AN108"/>
      <c r="AO108"/>
      <c r="AP108"/>
    </row>
    <row r="109" spans="1:42">
      <c r="A109" t="s">
        <v>470</v>
      </c>
      <c r="B109">
        <v>3024208</v>
      </c>
      <c r="C109">
        <v>4208</v>
      </c>
      <c r="D109"/>
      <c r="E109"/>
      <c r="F109"/>
      <c r="G109"/>
      <c r="H109"/>
      <c r="I109"/>
      <c r="J109">
        <v>185</v>
      </c>
      <c r="K109">
        <v>188</v>
      </c>
      <c r="L109">
        <v>176</v>
      </c>
      <c r="M109">
        <v>179</v>
      </c>
      <c r="N109">
        <v>172</v>
      </c>
      <c r="O109">
        <v>67</v>
      </c>
      <c r="P109">
        <v>73</v>
      </c>
      <c r="Q109"/>
      <c r="R109"/>
      <c r="S109"/>
      <c r="T109"/>
      <c r="U109"/>
      <c r="V109"/>
      <c r="W109">
        <v>1040</v>
      </c>
      <c r="X109"/>
      <c r="Y109"/>
      <c r="Z109"/>
      <c r="AA109"/>
      <c r="AB109"/>
      <c r="AC109"/>
      <c r="AD109"/>
      <c r="AE109"/>
      <c r="AF109"/>
      <c r="AG109"/>
      <c r="AH109"/>
      <c r="AI109"/>
      <c r="AJ109"/>
      <c r="AK109"/>
      <c r="AL109"/>
      <c r="AM109"/>
      <c r="AN109"/>
      <c r="AO109"/>
      <c r="AP109"/>
    </row>
    <row r="110" spans="1:42">
      <c r="A110" t="s">
        <v>396</v>
      </c>
      <c r="B110">
        <v>3024210</v>
      </c>
      <c r="C110">
        <v>4210</v>
      </c>
      <c r="D110"/>
      <c r="E110"/>
      <c r="F110"/>
      <c r="G110"/>
      <c r="H110"/>
      <c r="I110"/>
      <c r="J110">
        <v>155</v>
      </c>
      <c r="K110">
        <v>101</v>
      </c>
      <c r="L110">
        <v>134</v>
      </c>
      <c r="M110">
        <v>175</v>
      </c>
      <c r="N110">
        <v>182</v>
      </c>
      <c r="O110">
        <v>100</v>
      </c>
      <c r="P110">
        <v>73</v>
      </c>
      <c r="Q110"/>
      <c r="R110"/>
      <c r="S110"/>
      <c r="T110"/>
      <c r="U110"/>
      <c r="V110"/>
      <c r="W110">
        <v>920</v>
      </c>
      <c r="X110"/>
      <c r="Y110"/>
      <c r="Z110"/>
      <c r="AA110"/>
      <c r="AB110"/>
      <c r="AC110"/>
      <c r="AD110"/>
      <c r="AE110"/>
      <c r="AF110"/>
      <c r="AG110"/>
      <c r="AH110"/>
      <c r="AI110"/>
      <c r="AJ110"/>
      <c r="AK110"/>
      <c r="AL110"/>
      <c r="AM110"/>
      <c r="AN110"/>
      <c r="AO110"/>
      <c r="AP110"/>
    </row>
    <row r="111" spans="1:42">
      <c r="A111" t="s">
        <v>300</v>
      </c>
      <c r="B111">
        <v>3024211</v>
      </c>
      <c r="C111">
        <v>4211</v>
      </c>
      <c r="D111"/>
      <c r="E111"/>
      <c r="F111"/>
      <c r="G111"/>
      <c r="H111"/>
      <c r="I111"/>
      <c r="J111">
        <v>168</v>
      </c>
      <c r="K111">
        <v>164</v>
      </c>
      <c r="L111">
        <v>111</v>
      </c>
      <c r="M111">
        <v>111</v>
      </c>
      <c r="N111">
        <v>86</v>
      </c>
      <c r="O111">
        <v>78</v>
      </c>
      <c r="P111">
        <v>73</v>
      </c>
      <c r="Q111"/>
      <c r="R111"/>
      <c r="S111"/>
      <c r="T111"/>
      <c r="U111"/>
      <c r="V111"/>
      <c r="W111">
        <v>791</v>
      </c>
      <c r="X111"/>
      <c r="Y111"/>
      <c r="Z111"/>
      <c r="AA111"/>
      <c r="AB111"/>
      <c r="AC111"/>
      <c r="AD111"/>
      <c r="AE111"/>
      <c r="AF111"/>
      <c r="AG111"/>
      <c r="AH111"/>
      <c r="AI111"/>
      <c r="AJ111"/>
      <c r="AK111"/>
      <c r="AL111"/>
      <c r="AM111"/>
      <c r="AN111"/>
      <c r="AO111"/>
      <c r="AP111"/>
    </row>
    <row r="112" spans="1:42">
      <c r="A112" t="s">
        <v>397</v>
      </c>
      <c r="B112">
        <v>3024212</v>
      </c>
      <c r="C112">
        <v>4212</v>
      </c>
      <c r="D112"/>
      <c r="E112"/>
      <c r="F112"/>
      <c r="G112"/>
      <c r="H112"/>
      <c r="I112"/>
      <c r="J112">
        <v>213</v>
      </c>
      <c r="K112">
        <v>236</v>
      </c>
      <c r="L112">
        <v>235</v>
      </c>
      <c r="M112">
        <v>231</v>
      </c>
      <c r="N112">
        <v>210</v>
      </c>
      <c r="O112">
        <v>144</v>
      </c>
      <c r="P112">
        <v>117</v>
      </c>
      <c r="Q112">
        <v>5</v>
      </c>
      <c r="R112"/>
      <c r="S112"/>
      <c r="T112"/>
      <c r="U112"/>
      <c r="V112"/>
      <c r="W112">
        <v>1391</v>
      </c>
      <c r="X112"/>
      <c r="Y112"/>
      <c r="Z112"/>
      <c r="AA112"/>
      <c r="AB112"/>
      <c r="AC112"/>
      <c r="AD112"/>
      <c r="AE112"/>
      <c r="AF112"/>
      <c r="AG112"/>
      <c r="AH112"/>
      <c r="AI112"/>
      <c r="AJ112"/>
      <c r="AK112"/>
      <c r="AL112"/>
      <c r="AM112"/>
      <c r="AN112"/>
      <c r="AO112"/>
      <c r="AP112"/>
    </row>
    <row r="113" spans="1:42">
      <c r="A113" t="s">
        <v>398</v>
      </c>
      <c r="B113">
        <v>3024215</v>
      </c>
      <c r="C113">
        <v>4215</v>
      </c>
      <c r="D113"/>
      <c r="E113"/>
      <c r="F113"/>
      <c r="G113"/>
      <c r="H113"/>
      <c r="I113"/>
      <c r="J113">
        <v>211</v>
      </c>
      <c r="K113">
        <v>209</v>
      </c>
      <c r="L113">
        <v>210</v>
      </c>
      <c r="M113">
        <v>211</v>
      </c>
      <c r="N113">
        <v>210</v>
      </c>
      <c r="O113">
        <v>150</v>
      </c>
      <c r="P113">
        <v>137</v>
      </c>
      <c r="Q113"/>
      <c r="R113"/>
      <c r="S113"/>
      <c r="T113"/>
      <c r="U113"/>
      <c r="V113"/>
      <c r="W113">
        <v>1338</v>
      </c>
      <c r="X113"/>
      <c r="Y113"/>
      <c r="Z113"/>
      <c r="AA113"/>
      <c r="AB113"/>
      <c r="AC113"/>
      <c r="AD113"/>
      <c r="AE113"/>
      <c r="AF113"/>
      <c r="AG113"/>
      <c r="AH113"/>
      <c r="AI113"/>
      <c r="AJ113"/>
      <c r="AK113"/>
      <c r="AL113"/>
      <c r="AM113"/>
      <c r="AN113"/>
      <c r="AO113"/>
      <c r="AP113"/>
    </row>
    <row r="114" spans="1:42">
      <c r="A114" t="s">
        <v>302</v>
      </c>
      <c r="B114">
        <v>3024752</v>
      </c>
      <c r="C114">
        <v>4752</v>
      </c>
      <c r="D114"/>
      <c r="E114"/>
      <c r="F114"/>
      <c r="G114"/>
      <c r="H114"/>
      <c r="I114"/>
      <c r="J114">
        <v>104</v>
      </c>
      <c r="K114">
        <v>104</v>
      </c>
      <c r="L114">
        <v>104</v>
      </c>
      <c r="M114">
        <v>104</v>
      </c>
      <c r="N114">
        <v>99</v>
      </c>
      <c r="O114">
        <v>150</v>
      </c>
      <c r="P114">
        <v>127</v>
      </c>
      <c r="Q114"/>
      <c r="R114"/>
      <c r="S114"/>
      <c r="T114"/>
      <c r="U114"/>
      <c r="V114"/>
      <c r="W114">
        <v>792</v>
      </c>
      <c r="X114"/>
      <c r="Y114"/>
      <c r="Z114"/>
      <c r="AA114"/>
      <c r="AB114"/>
      <c r="AC114"/>
      <c r="AD114"/>
      <c r="AE114"/>
      <c r="AF114"/>
      <c r="AG114"/>
      <c r="AH114"/>
      <c r="AI114"/>
      <c r="AJ114"/>
      <c r="AK114"/>
      <c r="AL114"/>
      <c r="AM114"/>
      <c r="AN114"/>
      <c r="AO114"/>
      <c r="AP114"/>
    </row>
    <row r="115" spans="1:42">
      <c r="A115" t="s">
        <v>281</v>
      </c>
      <c r="B115">
        <v>3025201</v>
      </c>
      <c r="C115">
        <v>5201</v>
      </c>
      <c r="D115">
        <v>43</v>
      </c>
      <c r="E115">
        <v>48</v>
      </c>
      <c r="F115">
        <v>58</v>
      </c>
      <c r="G115">
        <v>60</v>
      </c>
      <c r="H115">
        <v>62</v>
      </c>
      <c r="I115">
        <v>61</v>
      </c>
      <c r="J115"/>
      <c r="K115"/>
      <c r="L115"/>
      <c r="M115"/>
      <c r="N115"/>
      <c r="O115"/>
      <c r="P115"/>
      <c r="Q115"/>
      <c r="R115"/>
      <c r="S115"/>
      <c r="T115"/>
      <c r="U115"/>
      <c r="V115">
        <v>59</v>
      </c>
      <c r="W115">
        <v>391</v>
      </c>
      <c r="X115"/>
      <c r="Y115"/>
      <c r="Z115"/>
      <c r="AA115"/>
      <c r="AB115"/>
      <c r="AC115"/>
      <c r="AD115"/>
      <c r="AE115"/>
      <c r="AF115"/>
      <c r="AG115"/>
      <c r="AH115"/>
      <c r="AI115"/>
      <c r="AJ115"/>
      <c r="AK115"/>
      <c r="AL115"/>
      <c r="AM115"/>
      <c r="AN115"/>
      <c r="AO115"/>
      <c r="AP115"/>
    </row>
    <row r="116" spans="1:42">
      <c r="A116" t="s">
        <v>117</v>
      </c>
      <c r="B116">
        <v>3025400</v>
      </c>
      <c r="C116">
        <v>5400</v>
      </c>
      <c r="D116"/>
      <c r="E116"/>
      <c r="F116"/>
      <c r="G116"/>
      <c r="H116"/>
      <c r="I116"/>
      <c r="J116">
        <v>208</v>
      </c>
      <c r="K116">
        <v>193</v>
      </c>
      <c r="L116">
        <v>212</v>
      </c>
      <c r="M116">
        <v>210</v>
      </c>
      <c r="N116">
        <v>203</v>
      </c>
      <c r="O116">
        <v>135</v>
      </c>
      <c r="P116">
        <v>96</v>
      </c>
      <c r="Q116"/>
      <c r="R116"/>
      <c r="S116"/>
      <c r="T116"/>
      <c r="U116"/>
      <c r="V116"/>
      <c r="W116">
        <v>1257</v>
      </c>
      <c r="X116"/>
      <c r="Y116"/>
      <c r="Z116"/>
      <c r="AA116"/>
      <c r="AB116"/>
      <c r="AC116"/>
      <c r="AD116"/>
      <c r="AE116"/>
      <c r="AF116"/>
      <c r="AG116"/>
      <c r="AH116"/>
      <c r="AI116"/>
      <c r="AJ116"/>
      <c r="AK116"/>
      <c r="AL116"/>
      <c r="AM116"/>
      <c r="AN116"/>
      <c r="AO116"/>
      <c r="AP116"/>
    </row>
    <row r="117" spans="1:42">
      <c r="A117" t="s">
        <v>399</v>
      </c>
      <c r="B117">
        <v>3025401</v>
      </c>
      <c r="C117">
        <v>5401</v>
      </c>
      <c r="D117"/>
      <c r="E117"/>
      <c r="F117"/>
      <c r="G117"/>
      <c r="H117"/>
      <c r="I117"/>
      <c r="J117">
        <v>192</v>
      </c>
      <c r="K117">
        <v>192</v>
      </c>
      <c r="L117">
        <v>191</v>
      </c>
      <c r="M117">
        <v>184</v>
      </c>
      <c r="N117">
        <v>185</v>
      </c>
      <c r="O117">
        <v>165</v>
      </c>
      <c r="P117">
        <v>153</v>
      </c>
      <c r="Q117"/>
      <c r="R117"/>
      <c r="S117"/>
      <c r="T117"/>
      <c r="U117"/>
      <c r="V117"/>
      <c r="W117">
        <v>1262</v>
      </c>
      <c r="X117"/>
      <c r="Y117"/>
      <c r="Z117"/>
      <c r="AA117"/>
      <c r="AB117"/>
      <c r="AC117"/>
      <c r="AD117"/>
      <c r="AE117"/>
      <c r="AF117"/>
      <c r="AG117"/>
      <c r="AH117"/>
      <c r="AI117"/>
      <c r="AJ117"/>
      <c r="AK117"/>
      <c r="AL117"/>
      <c r="AM117"/>
      <c r="AN117"/>
      <c r="AO117"/>
      <c r="AP117"/>
    </row>
    <row r="118" spans="1:42">
      <c r="A118" t="s">
        <v>319</v>
      </c>
      <c r="B118">
        <v>3025402</v>
      </c>
      <c r="C118">
        <v>5402</v>
      </c>
      <c r="D118"/>
      <c r="E118"/>
      <c r="F118"/>
      <c r="G118"/>
      <c r="H118"/>
      <c r="I118"/>
      <c r="J118">
        <v>242</v>
      </c>
      <c r="K118">
        <v>245</v>
      </c>
      <c r="L118">
        <v>274</v>
      </c>
      <c r="M118">
        <v>242</v>
      </c>
      <c r="N118">
        <v>237</v>
      </c>
      <c r="O118">
        <v>217</v>
      </c>
      <c r="P118">
        <v>204</v>
      </c>
      <c r="Q118"/>
      <c r="R118"/>
      <c r="S118"/>
      <c r="T118"/>
      <c r="U118"/>
      <c r="V118"/>
      <c r="W118">
        <v>1661</v>
      </c>
      <c r="X118"/>
      <c r="Y118"/>
      <c r="Z118"/>
      <c r="AA118"/>
      <c r="AB118"/>
      <c r="AC118"/>
      <c r="AD118"/>
      <c r="AE118"/>
      <c r="AF118"/>
      <c r="AG118"/>
      <c r="AH118"/>
      <c r="AI118"/>
      <c r="AJ118"/>
      <c r="AK118"/>
      <c r="AL118"/>
      <c r="AM118"/>
      <c r="AN118"/>
      <c r="AO118"/>
      <c r="AP118"/>
    </row>
    <row r="119" spans="1:42">
      <c r="A119" t="s">
        <v>400</v>
      </c>
      <c r="B119">
        <v>3025404</v>
      </c>
      <c r="C119">
        <v>5404</v>
      </c>
      <c r="D119"/>
      <c r="E119"/>
      <c r="F119"/>
      <c r="G119"/>
      <c r="H119"/>
      <c r="I119"/>
      <c r="J119">
        <v>128</v>
      </c>
      <c r="K119">
        <v>96</v>
      </c>
      <c r="L119">
        <v>96</v>
      </c>
      <c r="M119">
        <v>96</v>
      </c>
      <c r="N119">
        <v>96</v>
      </c>
      <c r="O119">
        <v>131</v>
      </c>
      <c r="P119">
        <v>105</v>
      </c>
      <c r="Q119"/>
      <c r="R119"/>
      <c r="S119"/>
      <c r="T119"/>
      <c r="U119"/>
      <c r="V119"/>
      <c r="W119">
        <v>748</v>
      </c>
      <c r="X119"/>
      <c r="Y119"/>
      <c r="Z119"/>
      <c r="AA119"/>
      <c r="AB119"/>
      <c r="AC119"/>
      <c r="AD119"/>
      <c r="AE119"/>
      <c r="AF119"/>
      <c r="AG119"/>
      <c r="AH119"/>
      <c r="AI119"/>
      <c r="AJ119"/>
      <c r="AK119"/>
      <c r="AL119"/>
      <c r="AM119"/>
      <c r="AN119"/>
      <c r="AO119"/>
      <c r="AP119"/>
    </row>
    <row r="120" spans="1:42">
      <c r="A120" t="s">
        <v>115</v>
      </c>
      <c r="B120">
        <v>3025405</v>
      </c>
      <c r="C120">
        <v>5405</v>
      </c>
      <c r="D120"/>
      <c r="E120"/>
      <c r="F120"/>
      <c r="G120"/>
      <c r="H120"/>
      <c r="I120"/>
      <c r="J120">
        <v>180</v>
      </c>
      <c r="K120">
        <v>181</v>
      </c>
      <c r="L120">
        <v>177</v>
      </c>
      <c r="M120">
        <v>172</v>
      </c>
      <c r="N120">
        <v>174</v>
      </c>
      <c r="O120">
        <v>170</v>
      </c>
      <c r="P120">
        <v>150</v>
      </c>
      <c r="Q120"/>
      <c r="R120"/>
      <c r="S120"/>
      <c r="T120"/>
      <c r="U120"/>
      <c r="V120"/>
      <c r="W120">
        <v>1204</v>
      </c>
      <c r="X120"/>
      <c r="Y120"/>
      <c r="Z120"/>
      <c r="AA120"/>
      <c r="AB120"/>
      <c r="AC120"/>
      <c r="AD120"/>
      <c r="AE120"/>
      <c r="AF120"/>
      <c r="AG120"/>
      <c r="AH120"/>
      <c r="AI120"/>
      <c r="AJ120"/>
      <c r="AK120"/>
      <c r="AL120"/>
      <c r="AM120"/>
      <c r="AN120"/>
      <c r="AO120"/>
      <c r="AP120"/>
    </row>
    <row r="121" spans="1:42">
      <c r="A121" t="s">
        <v>320</v>
      </c>
      <c r="B121">
        <v>3025406</v>
      </c>
      <c r="C121">
        <v>5406</v>
      </c>
      <c r="D121"/>
      <c r="E121"/>
      <c r="F121"/>
      <c r="G121"/>
      <c r="H121"/>
      <c r="I121"/>
      <c r="J121">
        <v>261</v>
      </c>
      <c r="K121">
        <v>261</v>
      </c>
      <c r="L121">
        <v>260</v>
      </c>
      <c r="M121">
        <v>261</v>
      </c>
      <c r="N121">
        <v>230</v>
      </c>
      <c r="O121">
        <v>217</v>
      </c>
      <c r="P121">
        <v>192</v>
      </c>
      <c r="Q121"/>
      <c r="R121"/>
      <c r="S121"/>
      <c r="T121"/>
      <c r="U121"/>
      <c r="V121"/>
      <c r="W121">
        <v>1682</v>
      </c>
      <c r="X121"/>
      <c r="Y121"/>
      <c r="Z121"/>
      <c r="AA121"/>
      <c r="AB121"/>
      <c r="AC121"/>
      <c r="AD121"/>
      <c r="AE121"/>
      <c r="AF121"/>
      <c r="AG121"/>
      <c r="AH121"/>
      <c r="AI121"/>
      <c r="AJ121"/>
      <c r="AK121"/>
      <c r="AL121"/>
      <c r="AM121"/>
      <c r="AN121"/>
      <c r="AO121"/>
      <c r="AP121"/>
    </row>
    <row r="122" spans="1:42">
      <c r="A122" t="s">
        <v>401</v>
      </c>
      <c r="B122">
        <v>3025407</v>
      </c>
      <c r="C122">
        <v>5407</v>
      </c>
      <c r="D122"/>
      <c r="E122"/>
      <c r="F122"/>
      <c r="G122"/>
      <c r="H122"/>
      <c r="I122"/>
      <c r="J122">
        <v>228</v>
      </c>
      <c r="K122">
        <v>203</v>
      </c>
      <c r="L122">
        <v>199</v>
      </c>
      <c r="M122">
        <v>178</v>
      </c>
      <c r="N122">
        <v>179</v>
      </c>
      <c r="O122">
        <v>86</v>
      </c>
      <c r="P122">
        <v>79</v>
      </c>
      <c r="Q122"/>
      <c r="R122"/>
      <c r="S122"/>
      <c r="T122"/>
      <c r="U122"/>
      <c r="V122"/>
      <c r="W122">
        <v>1152</v>
      </c>
      <c r="X122"/>
      <c r="Y122"/>
      <c r="Z122"/>
      <c r="AA122"/>
      <c r="AB122"/>
      <c r="AC122"/>
      <c r="AD122"/>
      <c r="AE122"/>
      <c r="AF122"/>
      <c r="AG122"/>
      <c r="AH122"/>
      <c r="AI122"/>
      <c r="AJ122"/>
      <c r="AK122"/>
      <c r="AL122"/>
      <c r="AM122"/>
      <c r="AN122"/>
      <c r="AO122"/>
      <c r="AP122"/>
    </row>
    <row r="123" spans="1:42">
      <c r="A123" t="s">
        <v>299</v>
      </c>
      <c r="B123">
        <v>3025408</v>
      </c>
      <c r="C123">
        <v>5408</v>
      </c>
      <c r="D123"/>
      <c r="E123"/>
      <c r="F123"/>
      <c r="G123"/>
      <c r="H123"/>
      <c r="I123"/>
      <c r="J123">
        <v>117</v>
      </c>
      <c r="K123">
        <v>122</v>
      </c>
      <c r="L123">
        <v>112</v>
      </c>
      <c r="M123">
        <v>141</v>
      </c>
      <c r="N123">
        <v>106</v>
      </c>
      <c r="O123">
        <v>73</v>
      </c>
      <c r="P123">
        <v>75</v>
      </c>
      <c r="Q123"/>
      <c r="R123"/>
      <c r="S123"/>
      <c r="T123"/>
      <c r="U123"/>
      <c r="V123"/>
      <c r="W123">
        <v>746</v>
      </c>
      <c r="X123"/>
      <c r="Y123"/>
      <c r="Z123"/>
      <c r="AA123"/>
      <c r="AB123"/>
      <c r="AC123"/>
      <c r="AD123"/>
      <c r="AE123"/>
      <c r="AF123"/>
      <c r="AG123"/>
      <c r="AH123"/>
      <c r="AI123"/>
      <c r="AJ123"/>
      <c r="AK123"/>
      <c r="AL123"/>
      <c r="AM123"/>
      <c r="AN123"/>
      <c r="AO123"/>
      <c r="AP123"/>
    </row>
    <row r="124" spans="1:42">
      <c r="A124" t="s">
        <v>512</v>
      </c>
      <c r="B124">
        <v>3025409</v>
      </c>
      <c r="C124">
        <v>5409</v>
      </c>
      <c r="D124"/>
      <c r="E124"/>
      <c r="F124"/>
      <c r="G124"/>
      <c r="H124"/>
      <c r="I124"/>
      <c r="J124">
        <v>95</v>
      </c>
      <c r="K124">
        <v>98</v>
      </c>
      <c r="L124">
        <v>114</v>
      </c>
      <c r="M124">
        <v>103</v>
      </c>
      <c r="N124">
        <v>88</v>
      </c>
      <c r="O124">
        <v>71</v>
      </c>
      <c r="P124">
        <v>57</v>
      </c>
      <c r="Q124"/>
      <c r="R124"/>
      <c r="S124"/>
      <c r="T124"/>
      <c r="U124"/>
      <c r="V124"/>
      <c r="W124">
        <v>626</v>
      </c>
      <c r="X124"/>
      <c r="Y124"/>
      <c r="Z124"/>
      <c r="AA124"/>
      <c r="AB124"/>
      <c r="AC124"/>
      <c r="AD124"/>
      <c r="AE124"/>
      <c r="AF124"/>
      <c r="AG124"/>
      <c r="AH124"/>
      <c r="AI124"/>
      <c r="AJ124"/>
      <c r="AK124"/>
      <c r="AL124"/>
      <c r="AM124"/>
      <c r="AN124"/>
      <c r="AO124"/>
      <c r="AP124"/>
    </row>
    <row r="125" spans="1:42">
      <c r="A125" t="s">
        <v>402</v>
      </c>
      <c r="B125">
        <v>3025427</v>
      </c>
      <c r="C125">
        <v>5427</v>
      </c>
      <c r="D125"/>
      <c r="E125"/>
      <c r="F125"/>
      <c r="G125"/>
      <c r="H125"/>
      <c r="I125"/>
      <c r="J125">
        <v>188</v>
      </c>
      <c r="K125">
        <v>217</v>
      </c>
      <c r="L125">
        <v>217</v>
      </c>
      <c r="M125">
        <v>187</v>
      </c>
      <c r="N125">
        <v>183</v>
      </c>
      <c r="O125">
        <v>174</v>
      </c>
      <c r="P125">
        <v>130</v>
      </c>
      <c r="Q125"/>
      <c r="R125"/>
      <c r="S125"/>
      <c r="T125"/>
      <c r="U125"/>
      <c r="V125"/>
      <c r="W125">
        <v>1296</v>
      </c>
      <c r="X125"/>
      <c r="Y125"/>
      <c r="Z125"/>
      <c r="AA125"/>
      <c r="AB125"/>
      <c r="AC125"/>
      <c r="AD125"/>
      <c r="AE125"/>
      <c r="AF125"/>
      <c r="AG125"/>
      <c r="AH125"/>
      <c r="AI125"/>
      <c r="AJ125"/>
      <c r="AK125"/>
      <c r="AL125"/>
      <c r="AM125"/>
      <c r="AN125"/>
      <c r="AO125"/>
      <c r="AP125"/>
    </row>
    <row r="126" spans="1:42">
      <c r="A126" t="s">
        <v>403</v>
      </c>
      <c r="B126">
        <v>3025948</v>
      </c>
      <c r="C126">
        <v>5948</v>
      </c>
      <c r="D126">
        <v>29</v>
      </c>
      <c r="E126">
        <v>30</v>
      </c>
      <c r="F126">
        <v>29</v>
      </c>
      <c r="G126">
        <v>30</v>
      </c>
      <c r="H126">
        <v>30</v>
      </c>
      <c r="I126">
        <v>28</v>
      </c>
      <c r="J126"/>
      <c r="K126"/>
      <c r="L126"/>
      <c r="M126"/>
      <c r="N126"/>
      <c r="O126"/>
      <c r="P126"/>
      <c r="Q126"/>
      <c r="R126"/>
      <c r="S126"/>
      <c r="T126"/>
      <c r="U126">
        <v>24</v>
      </c>
      <c r="V126">
        <v>30</v>
      </c>
      <c r="W126">
        <v>230</v>
      </c>
      <c r="X126"/>
      <c r="Y126"/>
      <c r="Z126"/>
      <c r="AA126"/>
      <c r="AB126"/>
      <c r="AC126"/>
      <c r="AD126"/>
      <c r="AE126"/>
      <c r="AF126"/>
      <c r="AG126"/>
      <c r="AH126"/>
      <c r="AI126"/>
      <c r="AJ126"/>
      <c r="AK126"/>
      <c r="AL126"/>
      <c r="AM126"/>
      <c r="AN126"/>
      <c r="AO126"/>
      <c r="AP126"/>
    </row>
    <row r="127" spans="1:42">
      <c r="A127" t="s">
        <v>76</v>
      </c>
      <c r="B127">
        <v>3025949</v>
      </c>
      <c r="C127">
        <v>5949</v>
      </c>
      <c r="D127">
        <v>51</v>
      </c>
      <c r="E127">
        <v>56</v>
      </c>
      <c r="F127">
        <v>56</v>
      </c>
      <c r="G127">
        <v>58</v>
      </c>
      <c r="H127">
        <v>58</v>
      </c>
      <c r="I127">
        <v>58</v>
      </c>
      <c r="J127"/>
      <c r="K127"/>
      <c r="L127"/>
      <c r="M127"/>
      <c r="N127"/>
      <c r="O127"/>
      <c r="P127"/>
      <c r="Q127"/>
      <c r="R127"/>
      <c r="S127"/>
      <c r="T127"/>
      <c r="U127">
        <v>51</v>
      </c>
      <c r="V127">
        <v>57</v>
      </c>
      <c r="W127">
        <v>445</v>
      </c>
      <c r="X127"/>
      <c r="Y127"/>
      <c r="Z127"/>
      <c r="AA127"/>
      <c r="AB127"/>
      <c r="AC127"/>
      <c r="AD127"/>
      <c r="AE127"/>
      <c r="AF127"/>
      <c r="AG127"/>
      <c r="AH127"/>
      <c r="AI127"/>
      <c r="AJ127"/>
      <c r="AK127"/>
      <c r="AL127"/>
      <c r="AM127"/>
      <c r="AN127"/>
      <c r="AO127"/>
      <c r="AP127"/>
    </row>
    <row r="128" spans="1:42">
      <c r="A128" t="s">
        <v>451</v>
      </c>
      <c r="B128">
        <v>3025950</v>
      </c>
      <c r="C128">
        <v>5950</v>
      </c>
      <c r="D128"/>
      <c r="E128"/>
      <c r="F128"/>
      <c r="G128"/>
      <c r="H128"/>
      <c r="I128"/>
      <c r="J128">
        <v>8</v>
      </c>
      <c r="K128">
        <v>8</v>
      </c>
      <c r="L128">
        <v>8</v>
      </c>
      <c r="M128">
        <v>8</v>
      </c>
      <c r="N128">
        <v>8</v>
      </c>
      <c r="O128"/>
      <c r="P128"/>
      <c r="Q128"/>
      <c r="R128"/>
      <c r="S128"/>
      <c r="T128"/>
      <c r="U128"/>
      <c r="V128"/>
      <c r="W128">
        <v>40</v>
      </c>
      <c r="X128"/>
      <c r="Y128"/>
      <c r="Z128"/>
      <c r="AA128"/>
      <c r="AB128"/>
      <c r="AC128"/>
      <c r="AD128"/>
      <c r="AE128"/>
      <c r="AF128"/>
      <c r="AG128"/>
      <c r="AH128"/>
      <c r="AI128"/>
      <c r="AJ128"/>
      <c r="AK128"/>
      <c r="AL128"/>
      <c r="AM128"/>
      <c r="AN128"/>
      <c r="AO128"/>
      <c r="AP128"/>
    </row>
    <row r="129" spans="1:42">
      <c r="A129" t="s">
        <v>480</v>
      </c>
      <c r="B129">
        <v>3026085</v>
      </c>
      <c r="C129">
        <v>6085</v>
      </c>
      <c r="D129">
        <v>2</v>
      </c>
      <c r="E129">
        <v>2</v>
      </c>
      <c r="F129"/>
      <c r="G129"/>
      <c r="H129">
        <v>2</v>
      </c>
      <c r="I129">
        <v>3</v>
      </c>
      <c r="J129">
        <v>5</v>
      </c>
      <c r="K129">
        <v>4</v>
      </c>
      <c r="L129">
        <v>1</v>
      </c>
      <c r="M129">
        <v>3</v>
      </c>
      <c r="N129">
        <v>4</v>
      </c>
      <c r="O129">
        <v>2</v>
      </c>
      <c r="P129">
        <v>3</v>
      </c>
      <c r="Q129">
        <v>5</v>
      </c>
      <c r="R129"/>
      <c r="S129"/>
      <c r="T129"/>
      <c r="U129"/>
      <c r="V129"/>
      <c r="W129">
        <v>36</v>
      </c>
      <c r="X129"/>
      <c r="Y129"/>
      <c r="Z129"/>
      <c r="AA129"/>
      <c r="AB129"/>
      <c r="AC129"/>
      <c r="AD129"/>
      <c r="AE129"/>
      <c r="AF129"/>
      <c r="AG129"/>
      <c r="AH129"/>
      <c r="AI129"/>
      <c r="AJ129"/>
      <c r="AK129"/>
      <c r="AL129"/>
      <c r="AM129"/>
      <c r="AN129"/>
      <c r="AO129"/>
      <c r="AP129"/>
    </row>
    <row r="130" spans="1:42">
      <c r="A130" t="s">
        <v>325</v>
      </c>
      <c r="B130">
        <v>3026905</v>
      </c>
      <c r="C130">
        <v>6905</v>
      </c>
      <c r="D130">
        <v>51</v>
      </c>
      <c r="E130">
        <v>39</v>
      </c>
      <c r="F130">
        <v>52</v>
      </c>
      <c r="G130">
        <v>37</v>
      </c>
      <c r="H130"/>
      <c r="I130"/>
      <c r="J130">
        <v>209</v>
      </c>
      <c r="K130">
        <v>207</v>
      </c>
      <c r="L130">
        <v>210</v>
      </c>
      <c r="M130">
        <v>202</v>
      </c>
      <c r="N130">
        <v>215</v>
      </c>
      <c r="O130">
        <v>193</v>
      </c>
      <c r="P130">
        <v>155</v>
      </c>
      <c r="Q130"/>
      <c r="R130"/>
      <c r="S130"/>
      <c r="T130"/>
      <c r="U130"/>
      <c r="V130">
        <v>34</v>
      </c>
      <c r="W130">
        <v>1604</v>
      </c>
      <c r="X130"/>
      <c r="Y130"/>
      <c r="Z130"/>
      <c r="AA130"/>
      <c r="AB130"/>
      <c r="AC130"/>
      <c r="AD130"/>
      <c r="AE130"/>
      <c r="AF130"/>
      <c r="AG130"/>
      <c r="AH130"/>
      <c r="AI130"/>
      <c r="AJ130"/>
      <c r="AK130"/>
      <c r="AL130"/>
      <c r="AM130"/>
      <c r="AN130"/>
      <c r="AO130"/>
      <c r="AP130"/>
    </row>
    <row r="131" spans="1:42">
      <c r="A131" t="s">
        <v>326</v>
      </c>
      <c r="B131">
        <v>3026906</v>
      </c>
      <c r="C131">
        <v>6906</v>
      </c>
      <c r="D131">
        <v>60</v>
      </c>
      <c r="E131">
        <v>60</v>
      </c>
      <c r="F131">
        <v>60</v>
      </c>
      <c r="G131">
        <v>61</v>
      </c>
      <c r="H131"/>
      <c r="I131"/>
      <c r="J131">
        <v>183</v>
      </c>
      <c r="K131">
        <v>183</v>
      </c>
      <c r="L131">
        <v>184</v>
      </c>
      <c r="M131">
        <v>183</v>
      </c>
      <c r="N131">
        <v>184</v>
      </c>
      <c r="O131">
        <v>133</v>
      </c>
      <c r="P131">
        <v>137</v>
      </c>
      <c r="Q131"/>
      <c r="R131"/>
      <c r="S131"/>
      <c r="T131"/>
      <c r="U131"/>
      <c r="V131">
        <v>61</v>
      </c>
      <c r="W131">
        <v>1489</v>
      </c>
      <c r="X131"/>
      <c r="Y131"/>
      <c r="Z131"/>
      <c r="AA131"/>
      <c r="AB131"/>
      <c r="AC131"/>
      <c r="AD131"/>
      <c r="AE131"/>
      <c r="AF131"/>
      <c r="AG131"/>
      <c r="AH131"/>
      <c r="AI131"/>
      <c r="AJ131"/>
      <c r="AK131"/>
      <c r="AL131"/>
      <c r="AM131"/>
      <c r="AN131"/>
      <c r="AO131"/>
      <c r="AP131"/>
    </row>
    <row r="132" spans="1:42">
      <c r="A132" t="s">
        <v>126</v>
      </c>
      <c r="B132">
        <v>3027000</v>
      </c>
      <c r="C132">
        <v>7000</v>
      </c>
      <c r="D132"/>
      <c r="E132"/>
      <c r="F132"/>
      <c r="G132"/>
      <c r="H132"/>
      <c r="I132"/>
      <c r="J132">
        <v>29</v>
      </c>
      <c r="K132">
        <v>30</v>
      </c>
      <c r="L132">
        <v>36</v>
      </c>
      <c r="M132">
        <v>23</v>
      </c>
      <c r="N132">
        <v>28</v>
      </c>
      <c r="O132">
        <v>16</v>
      </c>
      <c r="P132">
        <v>16</v>
      </c>
      <c r="Q132">
        <v>14</v>
      </c>
      <c r="R132"/>
      <c r="S132"/>
      <c r="T132"/>
      <c r="U132"/>
      <c r="V132"/>
      <c r="W132">
        <v>192</v>
      </c>
      <c r="X132"/>
      <c r="Y132"/>
      <c r="Z132"/>
      <c r="AA132"/>
      <c r="AB132"/>
      <c r="AC132"/>
      <c r="AD132"/>
      <c r="AE132"/>
      <c r="AF132"/>
      <c r="AG132"/>
      <c r="AH132"/>
      <c r="AI132"/>
      <c r="AJ132"/>
      <c r="AK132"/>
      <c r="AL132"/>
      <c r="AM132"/>
      <c r="AN132"/>
      <c r="AO132"/>
      <c r="AP132"/>
    </row>
    <row r="133" spans="1:42">
      <c r="A133" t="s">
        <v>125</v>
      </c>
      <c r="B133">
        <v>3027005</v>
      </c>
      <c r="C133">
        <v>7005</v>
      </c>
      <c r="D133">
        <v>19</v>
      </c>
      <c r="E133">
        <v>20</v>
      </c>
      <c r="F133">
        <v>14</v>
      </c>
      <c r="G133">
        <v>25</v>
      </c>
      <c r="H133">
        <v>12</v>
      </c>
      <c r="I133">
        <v>11</v>
      </c>
      <c r="J133"/>
      <c r="K133"/>
      <c r="L133"/>
      <c r="M133"/>
      <c r="N133"/>
      <c r="O133"/>
      <c r="P133"/>
      <c r="Q133"/>
      <c r="R133"/>
      <c r="S133"/>
      <c r="T133"/>
      <c r="U133"/>
      <c r="V133">
        <v>11</v>
      </c>
      <c r="W133">
        <v>112</v>
      </c>
      <c r="X133"/>
      <c r="Y133"/>
      <c r="Z133"/>
      <c r="AA133"/>
      <c r="AB133"/>
      <c r="AC133"/>
      <c r="AD133"/>
      <c r="AE133"/>
      <c r="AF133"/>
      <c r="AG133"/>
      <c r="AH133"/>
      <c r="AI133"/>
      <c r="AJ133"/>
      <c r="AK133"/>
      <c r="AL133"/>
      <c r="AM133"/>
      <c r="AN133"/>
      <c r="AO133"/>
      <c r="AP133"/>
    </row>
    <row r="134" spans="1:42">
      <c r="A134" t="s">
        <v>127</v>
      </c>
      <c r="B134">
        <v>3027009</v>
      </c>
      <c r="C134">
        <v>7009</v>
      </c>
      <c r="D134">
        <v>11</v>
      </c>
      <c r="E134">
        <v>11</v>
      </c>
      <c r="F134">
        <v>10</v>
      </c>
      <c r="G134">
        <v>16</v>
      </c>
      <c r="H134">
        <v>17</v>
      </c>
      <c r="I134">
        <v>15</v>
      </c>
      <c r="J134"/>
      <c r="K134"/>
      <c r="L134"/>
      <c r="M134"/>
      <c r="N134"/>
      <c r="O134"/>
      <c r="P134"/>
      <c r="Q134"/>
      <c r="R134"/>
      <c r="S134"/>
      <c r="T134">
        <v>14</v>
      </c>
      <c r="U134">
        <v>33</v>
      </c>
      <c r="V134">
        <v>18</v>
      </c>
      <c r="W134">
        <v>145</v>
      </c>
      <c r="X134"/>
      <c r="Y134"/>
      <c r="Z134"/>
      <c r="AA134"/>
      <c r="AB134"/>
      <c r="AC134"/>
      <c r="AD134"/>
      <c r="AE134"/>
      <c r="AF134"/>
      <c r="AG134"/>
      <c r="AH134"/>
      <c r="AI134"/>
      <c r="AJ134"/>
      <c r="AK134"/>
      <c r="AL134"/>
      <c r="AM134"/>
      <c r="AN134"/>
      <c r="AO134"/>
      <c r="AP134"/>
    </row>
    <row r="135" spans="1:42">
      <c r="A135" t="s">
        <v>124</v>
      </c>
      <c r="B135">
        <v>3027010</v>
      </c>
      <c r="C135">
        <v>7010</v>
      </c>
      <c r="D135"/>
      <c r="E135"/>
      <c r="F135"/>
      <c r="G135"/>
      <c r="H135"/>
      <c r="I135"/>
      <c r="J135">
        <v>12</v>
      </c>
      <c r="K135">
        <v>13</v>
      </c>
      <c r="L135">
        <v>14</v>
      </c>
      <c r="M135">
        <v>14</v>
      </c>
      <c r="N135">
        <v>9</v>
      </c>
      <c r="O135">
        <v>8</v>
      </c>
      <c r="P135">
        <v>5</v>
      </c>
      <c r="Q135">
        <v>10</v>
      </c>
      <c r="R135"/>
      <c r="S135"/>
      <c r="T135"/>
      <c r="U135"/>
      <c r="V135"/>
      <c r="W135">
        <v>85</v>
      </c>
      <c r="X135"/>
      <c r="Y135"/>
      <c r="Z135"/>
      <c r="AA135"/>
      <c r="AB135"/>
      <c r="AC135"/>
      <c r="AD135"/>
      <c r="AE135"/>
      <c r="AF135"/>
      <c r="AG135"/>
      <c r="AH135"/>
      <c r="AI135"/>
      <c r="AJ135"/>
      <c r="AK135"/>
      <c r="AL135"/>
      <c r="AM135"/>
      <c r="AN135"/>
      <c r="AO135"/>
      <c r="AP135"/>
    </row>
    <row r="136" spans="1:42">
      <c r="A136" t="s">
        <v>342</v>
      </c>
      <c r="B136"/>
      <c r="C136"/>
      <c r="D136">
        <v>4233</v>
      </c>
      <c r="E136">
        <v>4349</v>
      </c>
      <c r="F136">
        <v>4454</v>
      </c>
      <c r="G136">
        <v>4464</v>
      </c>
      <c r="H136">
        <v>4320</v>
      </c>
      <c r="I136">
        <v>4239</v>
      </c>
      <c r="J136">
        <v>4702</v>
      </c>
      <c r="K136">
        <v>4467</v>
      </c>
      <c r="L136">
        <v>4327</v>
      </c>
      <c r="M136">
        <v>4169</v>
      </c>
      <c r="N136">
        <v>4083</v>
      </c>
      <c r="O136">
        <v>2691</v>
      </c>
      <c r="P136">
        <v>2328</v>
      </c>
      <c r="Q136">
        <v>34</v>
      </c>
      <c r="R136">
        <v>11</v>
      </c>
      <c r="S136">
        <v>104</v>
      </c>
      <c r="T136">
        <v>527</v>
      </c>
      <c r="U136">
        <v>2476</v>
      </c>
      <c r="V136">
        <v>4221</v>
      </c>
      <c r="W136">
        <v>60199</v>
      </c>
      <c r="X136"/>
      <c r="Y136"/>
      <c r="Z136"/>
      <c r="AA136"/>
      <c r="AB136"/>
      <c r="AC136"/>
      <c r="AD136"/>
      <c r="AE136"/>
      <c r="AF136"/>
      <c r="AG136"/>
      <c r="AH136"/>
      <c r="AI136"/>
      <c r="AJ136"/>
      <c r="AK136"/>
      <c r="AL136"/>
      <c r="AM136"/>
      <c r="AN136"/>
      <c r="AO136"/>
      <c r="AP136"/>
    </row>
    <row r="137" spans="1:42">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row>
    <row r="138" spans="1:42">
      <c r="A138"/>
      <c r="B138"/>
      <c r="C138"/>
      <c r="D138"/>
      <c r="E138"/>
      <c r="F138"/>
      <c r="G138"/>
      <c r="H138"/>
      <c r="I138"/>
      <c r="J138"/>
      <c r="K138"/>
      <c r="L138"/>
      <c r="M138"/>
      <c r="N138"/>
      <c r="O138"/>
      <c r="P138"/>
      <c r="Q138"/>
      <c r="R138"/>
      <c r="S138"/>
      <c r="T138"/>
      <c r="U138"/>
      <c r="V138"/>
      <c r="W138"/>
    </row>
    <row r="139" spans="1:42">
      <c r="A139"/>
      <c r="B139"/>
      <c r="C139"/>
      <c r="D139"/>
      <c r="E139"/>
      <c r="F139"/>
      <c r="G139"/>
      <c r="H139"/>
      <c r="I139"/>
      <c r="J139"/>
      <c r="K139"/>
      <c r="L139"/>
      <c r="M139"/>
      <c r="N139"/>
      <c r="O139"/>
      <c r="P139"/>
      <c r="Q139"/>
      <c r="R139"/>
      <c r="S139"/>
      <c r="T139"/>
      <c r="U139"/>
      <c r="V139"/>
      <c r="W139"/>
    </row>
    <row r="140" spans="1:42">
      <c r="A140"/>
      <c r="B140"/>
      <c r="C140"/>
      <c r="D140"/>
      <c r="E140"/>
      <c r="F140"/>
      <c r="G140"/>
      <c r="H140"/>
      <c r="I140"/>
      <c r="J140"/>
      <c r="K140"/>
      <c r="L140"/>
      <c r="M140"/>
      <c r="N140"/>
      <c r="O140"/>
      <c r="P140"/>
      <c r="Q140"/>
      <c r="R140"/>
      <c r="S140"/>
      <c r="T140"/>
      <c r="U140"/>
      <c r="V140"/>
      <c r="W140"/>
    </row>
    <row r="141" spans="1:42">
      <c r="A141"/>
      <c r="B141"/>
      <c r="C141"/>
      <c r="D141"/>
      <c r="E141"/>
      <c r="F141"/>
      <c r="G141"/>
      <c r="H141"/>
      <c r="I141"/>
      <c r="J141"/>
      <c r="K141"/>
      <c r="L141"/>
      <c r="M141"/>
      <c r="N141"/>
      <c r="O141"/>
      <c r="P141"/>
      <c r="Q141"/>
      <c r="R141"/>
      <c r="S141"/>
      <c r="T141"/>
      <c r="U141"/>
      <c r="V141"/>
      <c r="W141"/>
    </row>
    <row r="142" spans="1:42">
      <c r="A142"/>
      <c r="B142"/>
      <c r="C142"/>
      <c r="D142"/>
      <c r="E142"/>
      <c r="F142"/>
      <c r="G142"/>
      <c r="H142"/>
      <c r="I142"/>
      <c r="J142"/>
      <c r="K142"/>
      <c r="L142"/>
      <c r="M142"/>
      <c r="N142"/>
      <c r="O142"/>
      <c r="P142"/>
      <c r="Q142"/>
      <c r="R142"/>
      <c r="S142"/>
      <c r="T142"/>
      <c r="U142"/>
      <c r="V142"/>
      <c r="W142"/>
    </row>
    <row r="143" spans="1:42">
      <c r="A143"/>
      <c r="B143"/>
      <c r="C143"/>
      <c r="D143"/>
      <c r="E143"/>
      <c r="F143"/>
      <c r="G143"/>
      <c r="H143"/>
      <c r="I143"/>
      <c r="J143"/>
      <c r="K143"/>
      <c r="L143"/>
      <c r="M143"/>
      <c r="N143"/>
      <c r="O143"/>
      <c r="P143"/>
      <c r="Q143"/>
      <c r="R143"/>
      <c r="S143"/>
      <c r="T143"/>
      <c r="U143"/>
      <c r="V143"/>
      <c r="W143"/>
    </row>
    <row r="144" spans="1:42">
      <c r="A144"/>
      <c r="B144"/>
      <c r="C144"/>
      <c r="D144"/>
      <c r="E144"/>
      <c r="F144"/>
      <c r="G144"/>
      <c r="H144"/>
      <c r="I144"/>
      <c r="J144"/>
      <c r="K144"/>
      <c r="L144"/>
      <c r="M144"/>
      <c r="N144"/>
      <c r="O144"/>
      <c r="P144"/>
      <c r="Q144"/>
      <c r="R144"/>
      <c r="S144"/>
      <c r="T144"/>
      <c r="U144"/>
      <c r="V144"/>
      <c r="W144"/>
    </row>
    <row r="145" spans="1:23">
      <c r="A145"/>
      <c r="B145"/>
      <c r="C145"/>
      <c r="D145"/>
      <c r="E145"/>
      <c r="F145"/>
      <c r="G145"/>
      <c r="H145"/>
      <c r="I145"/>
      <c r="J145"/>
      <c r="K145"/>
      <c r="L145"/>
      <c r="M145"/>
      <c r="N145"/>
      <c r="O145"/>
      <c r="P145"/>
      <c r="Q145"/>
      <c r="R145"/>
      <c r="S145"/>
      <c r="T145"/>
      <c r="U145"/>
      <c r="V145"/>
      <c r="W145"/>
    </row>
    <row r="146" spans="1:23">
      <c r="A146"/>
      <c r="B146"/>
      <c r="C146"/>
      <c r="D146"/>
      <c r="E146"/>
      <c r="F146"/>
      <c r="G146"/>
      <c r="H146"/>
      <c r="I146"/>
      <c r="J146"/>
      <c r="K146"/>
      <c r="L146"/>
      <c r="M146"/>
      <c r="N146"/>
      <c r="O146"/>
      <c r="P146"/>
      <c r="Q146"/>
      <c r="R146"/>
      <c r="S146"/>
      <c r="T146"/>
      <c r="U146"/>
      <c r="V146"/>
      <c r="W146"/>
    </row>
    <row r="147" spans="1:23">
      <c r="A147"/>
      <c r="B147"/>
      <c r="C147"/>
      <c r="D147"/>
      <c r="E147"/>
      <c r="F147"/>
      <c r="G147"/>
      <c r="H147"/>
      <c r="I147"/>
      <c r="J147"/>
      <c r="K147"/>
      <c r="L147"/>
      <c r="M147"/>
      <c r="N147"/>
      <c r="O147"/>
      <c r="P147"/>
      <c r="Q147"/>
      <c r="R147"/>
      <c r="S147"/>
      <c r="T147"/>
      <c r="U147"/>
      <c r="V147"/>
      <c r="W147"/>
    </row>
    <row r="148" spans="1:23">
      <c r="A148"/>
      <c r="B148"/>
      <c r="C148"/>
      <c r="D148"/>
      <c r="E148"/>
      <c r="F148"/>
      <c r="G148"/>
      <c r="H148"/>
      <c r="I148"/>
      <c r="J148"/>
      <c r="K148"/>
      <c r="L148"/>
      <c r="M148"/>
      <c r="N148"/>
      <c r="O148"/>
      <c r="P148"/>
      <c r="Q148"/>
      <c r="R148"/>
      <c r="S148"/>
      <c r="T148"/>
      <c r="U148"/>
      <c r="V148"/>
      <c r="W148"/>
    </row>
    <row r="149" spans="1:23">
      <c r="A149"/>
      <c r="B149"/>
      <c r="C149"/>
      <c r="D149"/>
      <c r="E149"/>
      <c r="F149"/>
      <c r="G149"/>
      <c r="H149"/>
      <c r="I149"/>
      <c r="J149"/>
      <c r="K149"/>
      <c r="L149"/>
      <c r="M149"/>
      <c r="N149"/>
      <c r="O149"/>
      <c r="P149"/>
      <c r="Q149"/>
      <c r="R149"/>
      <c r="S149"/>
      <c r="T149"/>
      <c r="U149"/>
      <c r="V149"/>
      <c r="W149"/>
    </row>
    <row r="150" spans="1:23">
      <c r="A150"/>
      <c r="B150"/>
      <c r="C150"/>
      <c r="D150"/>
      <c r="E150"/>
      <c r="F150"/>
      <c r="G150"/>
      <c r="H150"/>
      <c r="I150"/>
      <c r="J150"/>
      <c r="K150"/>
      <c r="L150"/>
      <c r="M150"/>
      <c r="N150"/>
      <c r="O150"/>
      <c r="P150"/>
      <c r="Q150"/>
      <c r="R150"/>
      <c r="S150"/>
      <c r="T150"/>
      <c r="U150"/>
      <c r="V150"/>
      <c r="W150"/>
    </row>
    <row r="151" spans="1:23">
      <c r="A151"/>
      <c r="B151"/>
      <c r="C151"/>
      <c r="D151"/>
      <c r="E151"/>
      <c r="F151"/>
      <c r="G151"/>
      <c r="H151"/>
      <c r="I151"/>
      <c r="J151"/>
      <c r="K151"/>
      <c r="L151"/>
      <c r="M151"/>
      <c r="N151"/>
      <c r="O151"/>
      <c r="P151"/>
      <c r="Q151"/>
      <c r="R151"/>
      <c r="S151"/>
      <c r="T151"/>
      <c r="U151"/>
      <c r="V151"/>
      <c r="W151"/>
    </row>
    <row r="152" spans="1:23">
      <c r="A152"/>
      <c r="B152"/>
      <c r="C152"/>
      <c r="D152"/>
      <c r="E152"/>
      <c r="F152"/>
      <c r="G152"/>
      <c r="H152"/>
      <c r="I152"/>
      <c r="J152"/>
      <c r="K152"/>
      <c r="L152"/>
      <c r="M152"/>
      <c r="N152"/>
      <c r="O152"/>
      <c r="P152"/>
      <c r="Q152"/>
      <c r="R152"/>
      <c r="S152"/>
      <c r="T152"/>
      <c r="U152"/>
      <c r="V152"/>
      <c r="W152"/>
    </row>
    <row r="153" spans="1:23">
      <c r="A153"/>
      <c r="B153"/>
      <c r="C153"/>
      <c r="D153"/>
      <c r="E153"/>
      <c r="F153"/>
      <c r="G153"/>
      <c r="H153"/>
      <c r="I153"/>
      <c r="J153"/>
      <c r="K153"/>
      <c r="L153"/>
      <c r="M153"/>
      <c r="N153"/>
      <c r="O153"/>
      <c r="P153"/>
      <c r="Q153"/>
      <c r="R153"/>
      <c r="S153"/>
      <c r="T153"/>
      <c r="U153"/>
      <c r="V153"/>
      <c r="W153"/>
    </row>
    <row r="154" spans="1:23">
      <c r="A154"/>
      <c r="B154"/>
      <c r="C154"/>
      <c r="D154"/>
      <c r="E154"/>
      <c r="F154"/>
      <c r="G154"/>
      <c r="H154"/>
      <c r="I154"/>
      <c r="J154"/>
      <c r="K154"/>
      <c r="L154"/>
      <c r="M154"/>
      <c r="N154"/>
      <c r="O154"/>
      <c r="P154"/>
      <c r="Q154"/>
      <c r="R154"/>
      <c r="S154"/>
      <c r="T154"/>
      <c r="U154"/>
      <c r="V154"/>
      <c r="W154"/>
    </row>
    <row r="155" spans="1:23">
      <c r="A155"/>
      <c r="B155"/>
      <c r="C155"/>
      <c r="D155"/>
      <c r="E155"/>
      <c r="F155"/>
      <c r="G155"/>
      <c r="H155"/>
      <c r="I155"/>
      <c r="J155"/>
      <c r="K155"/>
      <c r="L155"/>
      <c r="M155"/>
      <c r="N155"/>
      <c r="O155"/>
      <c r="P155"/>
      <c r="Q155"/>
      <c r="R155"/>
      <c r="S155"/>
      <c r="T155"/>
      <c r="U155"/>
      <c r="V155"/>
      <c r="W155"/>
    </row>
    <row r="156" spans="1:23">
      <c r="A156"/>
      <c r="B156"/>
      <c r="C156"/>
      <c r="D156"/>
      <c r="E156"/>
      <c r="F156"/>
      <c r="G156"/>
      <c r="H156"/>
      <c r="I156"/>
      <c r="J156"/>
      <c r="K156"/>
      <c r="L156"/>
      <c r="M156"/>
      <c r="N156"/>
      <c r="O156"/>
      <c r="P156"/>
      <c r="Q156"/>
      <c r="R156"/>
      <c r="S156"/>
      <c r="T156"/>
      <c r="U156"/>
      <c r="V156"/>
      <c r="W156"/>
    </row>
    <row r="157" spans="1:23">
      <c r="A157"/>
      <c r="B157"/>
      <c r="C157"/>
      <c r="D157"/>
      <c r="E157"/>
      <c r="F157"/>
      <c r="G157"/>
      <c r="H157"/>
      <c r="I157"/>
      <c r="J157"/>
      <c r="K157"/>
      <c r="L157"/>
      <c r="M157"/>
      <c r="N157"/>
      <c r="O157"/>
      <c r="P157"/>
      <c r="Q157"/>
      <c r="R157"/>
      <c r="S157"/>
      <c r="T157"/>
      <c r="U157"/>
      <c r="V157"/>
      <c r="W157"/>
    </row>
    <row r="158" spans="1:23">
      <c r="A158"/>
      <c r="B158"/>
      <c r="C158"/>
      <c r="D158"/>
      <c r="E158"/>
      <c r="F158"/>
      <c r="G158"/>
      <c r="H158"/>
      <c r="I158"/>
      <c r="J158"/>
      <c r="K158"/>
      <c r="L158"/>
      <c r="M158"/>
      <c r="N158"/>
      <c r="O158"/>
      <c r="P158"/>
      <c r="Q158"/>
      <c r="R158"/>
      <c r="S158"/>
      <c r="T158"/>
      <c r="U158"/>
      <c r="V158"/>
      <c r="W158"/>
    </row>
    <row r="159" spans="1:23">
      <c r="A159"/>
      <c r="B159"/>
      <c r="C159"/>
      <c r="D159"/>
      <c r="E159"/>
      <c r="F159"/>
      <c r="G159"/>
      <c r="H159"/>
      <c r="I159"/>
      <c r="J159"/>
      <c r="K159"/>
      <c r="L159"/>
      <c r="M159"/>
      <c r="N159"/>
      <c r="O159"/>
      <c r="P159"/>
      <c r="Q159"/>
      <c r="R159"/>
      <c r="S159"/>
      <c r="T159"/>
      <c r="U159"/>
      <c r="V159"/>
      <c r="W159"/>
    </row>
    <row r="160" spans="1:23">
      <c r="A160"/>
      <c r="B160"/>
      <c r="C160"/>
      <c r="D160"/>
      <c r="E160"/>
      <c r="F160"/>
      <c r="G160"/>
      <c r="H160"/>
      <c r="I160"/>
      <c r="J160"/>
      <c r="K160"/>
      <c r="L160"/>
      <c r="M160"/>
      <c r="N160"/>
      <c r="O160"/>
      <c r="P160"/>
      <c r="Q160"/>
      <c r="R160"/>
      <c r="S160"/>
      <c r="T160"/>
      <c r="U160"/>
      <c r="V160"/>
      <c r="W160"/>
    </row>
    <row r="161" spans="1:23">
      <c r="A161"/>
      <c r="B161"/>
      <c r="C161"/>
      <c r="D161"/>
      <c r="E161"/>
      <c r="F161"/>
      <c r="G161"/>
      <c r="H161"/>
      <c r="I161"/>
      <c r="J161"/>
      <c r="K161"/>
      <c r="L161"/>
      <c r="M161"/>
      <c r="N161"/>
      <c r="O161"/>
      <c r="P161"/>
      <c r="Q161"/>
      <c r="R161"/>
      <c r="S161"/>
      <c r="T161"/>
      <c r="U161"/>
      <c r="V161"/>
      <c r="W161"/>
    </row>
    <row r="162" spans="1:23">
      <c r="A162"/>
      <c r="B162"/>
      <c r="C162"/>
      <c r="D162"/>
      <c r="E162"/>
      <c r="F162"/>
      <c r="G162"/>
      <c r="H162"/>
      <c r="I162"/>
      <c r="J162"/>
      <c r="K162"/>
      <c r="L162"/>
      <c r="M162"/>
      <c r="N162"/>
      <c r="O162"/>
      <c r="P162"/>
      <c r="Q162"/>
      <c r="R162"/>
      <c r="S162"/>
      <c r="T162"/>
      <c r="U162"/>
      <c r="V162"/>
      <c r="W162"/>
    </row>
    <row r="163" spans="1:23">
      <c r="A163"/>
      <c r="B163"/>
      <c r="C163"/>
      <c r="D163"/>
      <c r="E163"/>
      <c r="F163"/>
      <c r="G163"/>
      <c r="H163"/>
      <c r="I163"/>
      <c r="J163"/>
      <c r="K163"/>
      <c r="L163"/>
      <c r="M163"/>
      <c r="N163"/>
      <c r="O163"/>
      <c r="P163"/>
      <c r="Q163"/>
      <c r="R163"/>
      <c r="S163"/>
      <c r="T163"/>
      <c r="U163"/>
      <c r="V163"/>
      <c r="W163"/>
    </row>
    <row r="164" spans="1:23">
      <c r="A164"/>
      <c r="B164"/>
      <c r="C164"/>
      <c r="D164"/>
      <c r="E164"/>
      <c r="F164"/>
      <c r="G164"/>
      <c r="H164"/>
      <c r="I164"/>
      <c r="J164"/>
      <c r="K164"/>
      <c r="L164"/>
      <c r="M164"/>
      <c r="N164"/>
      <c r="O164"/>
      <c r="P164"/>
      <c r="Q164"/>
      <c r="R164"/>
      <c r="S164"/>
      <c r="T164"/>
      <c r="U164"/>
      <c r="V164"/>
      <c r="W164"/>
    </row>
    <row r="165" spans="1:23">
      <c r="A165"/>
      <c r="B165"/>
      <c r="C165"/>
      <c r="D165"/>
      <c r="E165"/>
      <c r="F165"/>
      <c r="G165"/>
      <c r="H165"/>
      <c r="I165"/>
      <c r="J165"/>
      <c r="K165"/>
      <c r="L165"/>
      <c r="M165"/>
      <c r="N165"/>
      <c r="O165"/>
      <c r="P165"/>
      <c r="Q165"/>
      <c r="R165"/>
      <c r="S165"/>
      <c r="T165"/>
      <c r="U165"/>
      <c r="V165"/>
      <c r="W165"/>
    </row>
    <row r="166" spans="1:23">
      <c r="A166"/>
      <c r="B166"/>
      <c r="C166"/>
      <c r="D166"/>
      <c r="E166"/>
      <c r="F166"/>
      <c r="G166"/>
      <c r="H166"/>
      <c r="I166"/>
      <c r="J166"/>
      <c r="K166"/>
      <c r="L166"/>
      <c r="M166"/>
      <c r="N166"/>
      <c r="O166"/>
      <c r="P166"/>
      <c r="Q166"/>
      <c r="R166"/>
      <c r="S166"/>
      <c r="T166"/>
      <c r="U166"/>
      <c r="V166"/>
      <c r="W166"/>
    </row>
    <row r="167" spans="1:23">
      <c r="A167"/>
      <c r="B167"/>
      <c r="C167"/>
      <c r="D167"/>
      <c r="E167"/>
      <c r="F167"/>
      <c r="G167"/>
      <c r="H167"/>
      <c r="I167"/>
      <c r="J167"/>
      <c r="K167"/>
      <c r="L167"/>
      <c r="M167"/>
      <c r="N167"/>
      <c r="O167"/>
      <c r="P167"/>
      <c r="Q167"/>
      <c r="R167"/>
      <c r="S167"/>
      <c r="T167"/>
      <c r="U167"/>
      <c r="V167"/>
      <c r="W167"/>
    </row>
    <row r="168" spans="1:23">
      <c r="A168"/>
      <c r="B168"/>
      <c r="C168"/>
      <c r="D168"/>
      <c r="E168"/>
      <c r="F168"/>
      <c r="G168"/>
      <c r="H168"/>
      <c r="I168"/>
      <c r="J168"/>
      <c r="K168"/>
      <c r="L168"/>
      <c r="M168"/>
      <c r="N168"/>
      <c r="O168"/>
      <c r="P168"/>
      <c r="Q168"/>
      <c r="R168"/>
      <c r="S168"/>
      <c r="T168"/>
      <c r="U168"/>
      <c r="V168"/>
      <c r="W168"/>
    </row>
    <row r="169" spans="1:23">
      <c r="A169"/>
      <c r="B169"/>
      <c r="C169"/>
      <c r="D169"/>
      <c r="E169"/>
      <c r="F169"/>
      <c r="G169"/>
      <c r="H169"/>
      <c r="I169"/>
      <c r="J169"/>
      <c r="K169"/>
      <c r="L169"/>
      <c r="M169"/>
      <c r="N169"/>
      <c r="O169"/>
      <c r="P169"/>
      <c r="Q169"/>
      <c r="R169"/>
      <c r="S169"/>
      <c r="T169"/>
      <c r="U169"/>
      <c r="V169"/>
      <c r="W169"/>
    </row>
    <row r="170" spans="1:23">
      <c r="A170"/>
      <c r="B170"/>
      <c r="C170"/>
      <c r="D170"/>
      <c r="E170"/>
      <c r="F170"/>
      <c r="G170"/>
      <c r="H170"/>
      <c r="I170"/>
      <c r="J170"/>
      <c r="K170"/>
      <c r="L170"/>
      <c r="M170"/>
      <c r="N170"/>
      <c r="O170"/>
      <c r="P170"/>
      <c r="Q170"/>
      <c r="R170"/>
      <c r="S170"/>
      <c r="T170"/>
      <c r="U170"/>
      <c r="V170"/>
      <c r="W170"/>
    </row>
    <row r="171" spans="1:23">
      <c r="A171"/>
      <c r="B171"/>
      <c r="C171"/>
      <c r="D171"/>
      <c r="E171"/>
      <c r="F171"/>
      <c r="G171"/>
      <c r="H171"/>
      <c r="I171"/>
      <c r="J171"/>
      <c r="K171"/>
      <c r="L171"/>
      <c r="M171"/>
      <c r="N171"/>
      <c r="O171"/>
      <c r="P171"/>
      <c r="Q171"/>
      <c r="R171"/>
      <c r="S171"/>
      <c r="T171"/>
      <c r="U171"/>
      <c r="V171"/>
      <c r="W171"/>
    </row>
    <row r="172" spans="1:23">
      <c r="A172"/>
      <c r="B172"/>
      <c r="C172"/>
      <c r="D172"/>
      <c r="E172"/>
      <c r="F172"/>
      <c r="G172"/>
      <c r="H172"/>
      <c r="I172"/>
      <c r="J172"/>
      <c r="K172"/>
      <c r="L172"/>
      <c r="M172"/>
      <c r="N172"/>
      <c r="O172"/>
      <c r="P172"/>
      <c r="Q172"/>
      <c r="R172"/>
      <c r="S172"/>
      <c r="T172"/>
      <c r="U172"/>
      <c r="V172"/>
      <c r="W172"/>
    </row>
    <row r="173" spans="1:23">
      <c r="A173"/>
      <c r="B173"/>
      <c r="C173"/>
      <c r="D173"/>
      <c r="E173"/>
      <c r="F173"/>
      <c r="G173"/>
      <c r="H173"/>
      <c r="I173"/>
      <c r="J173"/>
      <c r="K173"/>
      <c r="L173"/>
      <c r="M173"/>
      <c r="N173"/>
      <c r="O173"/>
      <c r="P173"/>
      <c r="Q173"/>
      <c r="R173"/>
      <c r="S173"/>
      <c r="T173"/>
      <c r="U173"/>
      <c r="V173"/>
      <c r="W173"/>
    </row>
    <row r="174" spans="1:23">
      <c r="A174"/>
      <c r="B174"/>
      <c r="C174"/>
      <c r="D174"/>
      <c r="E174"/>
      <c r="F174"/>
      <c r="G174"/>
      <c r="H174"/>
      <c r="I174"/>
      <c r="J174"/>
      <c r="K174"/>
      <c r="L174"/>
      <c r="M174"/>
      <c r="N174"/>
      <c r="O174"/>
      <c r="P174"/>
      <c r="Q174"/>
      <c r="R174"/>
      <c r="S174"/>
      <c r="T174"/>
      <c r="U174"/>
      <c r="V174"/>
      <c r="W174"/>
    </row>
    <row r="175" spans="1:23">
      <c r="A175"/>
      <c r="B175"/>
      <c r="C175"/>
      <c r="D175"/>
      <c r="E175"/>
      <c r="F175"/>
      <c r="G175"/>
      <c r="H175"/>
      <c r="I175"/>
      <c r="J175"/>
      <c r="K175"/>
      <c r="L175"/>
      <c r="M175"/>
      <c r="N175"/>
      <c r="O175"/>
      <c r="P175"/>
      <c r="Q175"/>
      <c r="R175"/>
      <c r="S175"/>
      <c r="T175"/>
      <c r="U175"/>
      <c r="V175"/>
      <c r="W175"/>
    </row>
    <row r="176" spans="1:23">
      <c r="A176"/>
      <c r="B176"/>
      <c r="C176"/>
      <c r="D176"/>
      <c r="E176"/>
      <c r="F176"/>
      <c r="G176"/>
      <c r="H176"/>
      <c r="I176"/>
      <c r="J176"/>
      <c r="K176"/>
      <c r="L176"/>
      <c r="M176"/>
      <c r="N176"/>
      <c r="O176"/>
      <c r="P176"/>
      <c r="Q176"/>
      <c r="R176"/>
      <c r="S176"/>
      <c r="T176"/>
      <c r="U176"/>
      <c r="V176"/>
      <c r="W176"/>
    </row>
    <row r="177" spans="1:23">
      <c r="A177"/>
      <c r="B177"/>
      <c r="C177"/>
      <c r="D177"/>
      <c r="E177"/>
      <c r="F177"/>
      <c r="G177"/>
      <c r="H177"/>
      <c r="I177"/>
      <c r="J177"/>
      <c r="K177"/>
      <c r="L177"/>
      <c r="M177"/>
      <c r="N177"/>
      <c r="O177"/>
      <c r="P177"/>
      <c r="Q177"/>
      <c r="R177"/>
      <c r="S177"/>
      <c r="T177"/>
      <c r="U177"/>
      <c r="V177"/>
      <c r="W177"/>
    </row>
    <row r="178" spans="1:23">
      <c r="A178"/>
      <c r="B178"/>
      <c r="C178"/>
      <c r="D178"/>
      <c r="E178"/>
      <c r="F178"/>
      <c r="G178"/>
      <c r="H178"/>
      <c r="I178"/>
      <c r="J178"/>
      <c r="K178"/>
      <c r="L178"/>
      <c r="M178"/>
      <c r="N178"/>
      <c r="O178"/>
      <c r="P178"/>
      <c r="Q178"/>
      <c r="R178"/>
      <c r="S178"/>
      <c r="T178"/>
      <c r="U178"/>
      <c r="V178"/>
      <c r="W178"/>
    </row>
    <row r="179" spans="1:23">
      <c r="A179"/>
      <c r="B179"/>
      <c r="C179"/>
      <c r="D179"/>
      <c r="E179"/>
      <c r="F179"/>
      <c r="G179"/>
      <c r="H179"/>
      <c r="I179"/>
      <c r="J179"/>
      <c r="K179"/>
      <c r="L179"/>
      <c r="M179"/>
      <c r="N179"/>
      <c r="O179"/>
      <c r="P179"/>
      <c r="Q179"/>
      <c r="R179"/>
      <c r="S179"/>
      <c r="T179"/>
      <c r="U179"/>
      <c r="V179"/>
      <c r="W179"/>
    </row>
    <row r="180" spans="1:23">
      <c r="A180"/>
      <c r="B180"/>
      <c r="C180"/>
      <c r="D180"/>
      <c r="E180"/>
      <c r="F180"/>
      <c r="G180"/>
      <c r="H180"/>
      <c r="I180"/>
      <c r="J180"/>
      <c r="K180"/>
      <c r="L180"/>
      <c r="M180"/>
      <c r="N180"/>
      <c r="O180"/>
      <c r="P180"/>
      <c r="Q180"/>
      <c r="R180"/>
      <c r="S180"/>
      <c r="T180"/>
      <c r="U180"/>
      <c r="V180"/>
      <c r="W180"/>
    </row>
    <row r="181" spans="1:23">
      <c r="A181"/>
      <c r="B181"/>
      <c r="C181"/>
      <c r="D181"/>
      <c r="E181"/>
      <c r="F181"/>
      <c r="G181"/>
      <c r="H181"/>
      <c r="I181"/>
      <c r="J181"/>
      <c r="K181"/>
      <c r="L181"/>
      <c r="M181"/>
      <c r="N181"/>
      <c r="O181"/>
      <c r="P181"/>
      <c r="Q181"/>
      <c r="R181"/>
      <c r="S181"/>
      <c r="T181"/>
      <c r="U181"/>
      <c r="V181"/>
      <c r="W181"/>
    </row>
    <row r="182" spans="1:23">
      <c r="A182"/>
      <c r="B182"/>
      <c r="C182"/>
      <c r="D182"/>
      <c r="E182"/>
      <c r="F182"/>
      <c r="G182"/>
      <c r="H182"/>
      <c r="I182"/>
      <c r="J182"/>
      <c r="K182"/>
      <c r="L182"/>
      <c r="M182"/>
      <c r="N182"/>
      <c r="O182"/>
      <c r="P182"/>
      <c r="Q182"/>
      <c r="R182"/>
      <c r="S182"/>
      <c r="T182"/>
      <c r="U182"/>
      <c r="V182"/>
      <c r="W182"/>
    </row>
    <row r="183" spans="1:23">
      <c r="A183"/>
      <c r="B183"/>
      <c r="C183"/>
      <c r="D183"/>
      <c r="E183"/>
      <c r="F183"/>
      <c r="G183"/>
      <c r="H183"/>
      <c r="I183"/>
      <c r="J183"/>
      <c r="K183"/>
      <c r="L183"/>
      <c r="M183"/>
      <c r="N183"/>
      <c r="O183"/>
      <c r="P183"/>
      <c r="Q183"/>
      <c r="R183"/>
      <c r="S183"/>
      <c r="T183"/>
      <c r="U183"/>
      <c r="V183"/>
      <c r="W183"/>
    </row>
    <row r="184" spans="1:23">
      <c r="A184"/>
      <c r="B184"/>
      <c r="C184"/>
      <c r="D184"/>
      <c r="E184"/>
      <c r="F184"/>
      <c r="G184"/>
      <c r="H184"/>
      <c r="I184"/>
      <c r="J184"/>
      <c r="K184"/>
      <c r="L184"/>
      <c r="M184"/>
      <c r="N184"/>
      <c r="O184"/>
      <c r="P184"/>
      <c r="Q184"/>
      <c r="R184"/>
      <c r="S184"/>
      <c r="T184"/>
      <c r="U184"/>
      <c r="V184"/>
      <c r="W184"/>
    </row>
    <row r="185" spans="1:23">
      <c r="A185"/>
      <c r="B185"/>
      <c r="C185"/>
      <c r="D185"/>
      <c r="E185"/>
      <c r="F185"/>
      <c r="G185"/>
      <c r="H185"/>
      <c r="I185"/>
      <c r="J185"/>
      <c r="K185"/>
      <c r="L185"/>
      <c r="M185"/>
      <c r="N185"/>
      <c r="O185"/>
      <c r="P185"/>
      <c r="Q185"/>
      <c r="R185"/>
      <c r="S185"/>
      <c r="T185"/>
      <c r="U185"/>
      <c r="V185"/>
      <c r="W185"/>
    </row>
    <row r="186" spans="1:23">
      <c r="A186"/>
      <c r="B186"/>
      <c r="C186"/>
      <c r="D186"/>
      <c r="E186"/>
      <c r="F186"/>
      <c r="G186"/>
      <c r="H186"/>
      <c r="I186"/>
      <c r="J186"/>
      <c r="K186"/>
      <c r="L186"/>
      <c r="M186"/>
      <c r="N186"/>
      <c r="O186"/>
      <c r="P186"/>
      <c r="Q186"/>
      <c r="R186"/>
      <c r="S186"/>
      <c r="T186"/>
      <c r="U186"/>
      <c r="V186"/>
      <c r="W186"/>
    </row>
    <row r="187" spans="1:23">
      <c r="A187"/>
      <c r="B187"/>
      <c r="C187"/>
      <c r="D187"/>
      <c r="E187"/>
      <c r="F187"/>
      <c r="G187"/>
      <c r="H187"/>
      <c r="I187"/>
      <c r="J187"/>
      <c r="K187"/>
      <c r="L187"/>
      <c r="M187"/>
      <c r="N187"/>
      <c r="O187"/>
      <c r="P187"/>
      <c r="Q187"/>
      <c r="R187"/>
      <c r="S187"/>
      <c r="T187"/>
      <c r="U187"/>
      <c r="V187"/>
      <c r="W187"/>
    </row>
    <row r="188" spans="1:23">
      <c r="A188"/>
      <c r="B188"/>
      <c r="C188"/>
      <c r="D188"/>
      <c r="E188"/>
      <c r="F188"/>
      <c r="G188"/>
      <c r="H188"/>
      <c r="I188"/>
      <c r="J188"/>
      <c r="K188"/>
      <c r="L188"/>
      <c r="M188"/>
      <c r="N188"/>
      <c r="O188"/>
      <c r="P188"/>
      <c r="Q188"/>
      <c r="R188"/>
      <c r="S188"/>
      <c r="T188"/>
      <c r="U188"/>
      <c r="V188"/>
      <c r="W188"/>
    </row>
    <row r="189" spans="1:23">
      <c r="A189"/>
      <c r="B189"/>
      <c r="C189"/>
      <c r="D189"/>
      <c r="E189"/>
      <c r="F189"/>
      <c r="G189"/>
      <c r="H189"/>
      <c r="I189"/>
      <c r="J189"/>
      <c r="K189"/>
      <c r="L189"/>
      <c r="M189"/>
      <c r="N189"/>
      <c r="O189"/>
      <c r="P189"/>
      <c r="Q189"/>
      <c r="R189"/>
      <c r="S189"/>
      <c r="T189"/>
      <c r="U189"/>
      <c r="V189"/>
      <c r="W189"/>
    </row>
    <row r="190" spans="1:23">
      <c r="A190"/>
      <c r="B190"/>
      <c r="C190"/>
      <c r="D190"/>
      <c r="E190"/>
      <c r="F190"/>
      <c r="G190"/>
      <c r="H190"/>
      <c r="I190"/>
      <c r="J190"/>
      <c r="K190"/>
      <c r="L190"/>
      <c r="M190"/>
      <c r="N190"/>
      <c r="O190"/>
      <c r="P190"/>
      <c r="Q190"/>
      <c r="R190"/>
      <c r="S190"/>
      <c r="T190"/>
      <c r="U190"/>
      <c r="V190"/>
      <c r="W190"/>
    </row>
    <row r="191" spans="1:23">
      <c r="A191"/>
      <c r="B191"/>
      <c r="C191"/>
      <c r="D191"/>
      <c r="E191"/>
      <c r="F191"/>
      <c r="G191"/>
      <c r="H191"/>
      <c r="I191"/>
      <c r="J191"/>
      <c r="K191"/>
      <c r="L191"/>
      <c r="M191"/>
      <c r="N191"/>
      <c r="O191"/>
      <c r="P191"/>
      <c r="Q191"/>
      <c r="R191"/>
      <c r="S191"/>
      <c r="T191"/>
      <c r="U191"/>
      <c r="V191"/>
      <c r="W191"/>
    </row>
    <row r="192" spans="1:23">
      <c r="A192"/>
      <c r="B192"/>
      <c r="C192"/>
      <c r="D192"/>
      <c r="E192"/>
      <c r="F192"/>
      <c r="G192"/>
      <c r="H192"/>
      <c r="I192"/>
      <c r="J192"/>
      <c r="K192"/>
      <c r="L192"/>
      <c r="M192"/>
      <c r="N192"/>
      <c r="O192"/>
      <c r="P192"/>
      <c r="Q192"/>
      <c r="R192"/>
      <c r="S192"/>
      <c r="T192"/>
      <c r="U192"/>
      <c r="V192"/>
      <c r="W192"/>
    </row>
    <row r="193" spans="1:23">
      <c r="A193"/>
      <c r="B193"/>
      <c r="C193"/>
      <c r="D193"/>
      <c r="E193"/>
      <c r="F193"/>
      <c r="G193"/>
      <c r="H193"/>
      <c r="I193"/>
      <c r="J193"/>
      <c r="K193"/>
      <c r="L193"/>
      <c r="M193"/>
      <c r="N193"/>
      <c r="O193"/>
      <c r="P193"/>
      <c r="Q193"/>
      <c r="R193"/>
      <c r="S193"/>
      <c r="T193"/>
      <c r="U193"/>
      <c r="V193"/>
      <c r="W193"/>
    </row>
    <row r="194" spans="1:23">
      <c r="A194"/>
      <c r="B194"/>
      <c r="C194"/>
      <c r="D194"/>
      <c r="E194"/>
      <c r="F194"/>
      <c r="G194"/>
      <c r="H194"/>
      <c r="I194"/>
      <c r="J194"/>
      <c r="K194"/>
      <c r="L194"/>
      <c r="M194"/>
      <c r="N194"/>
      <c r="O194"/>
      <c r="P194"/>
      <c r="Q194"/>
      <c r="R194"/>
      <c r="S194"/>
      <c r="T194"/>
      <c r="U194"/>
      <c r="V194"/>
      <c r="W194"/>
    </row>
    <row r="195" spans="1:23">
      <c r="A195"/>
      <c r="B195"/>
      <c r="C195"/>
      <c r="D195"/>
      <c r="E195"/>
      <c r="F195"/>
      <c r="G195"/>
      <c r="H195"/>
      <c r="I195"/>
      <c r="J195"/>
      <c r="K195"/>
      <c r="L195"/>
      <c r="M195"/>
      <c r="N195"/>
      <c r="O195"/>
      <c r="P195"/>
      <c r="Q195"/>
      <c r="R195"/>
      <c r="S195"/>
      <c r="T195"/>
      <c r="U195"/>
      <c r="V195"/>
      <c r="W195"/>
    </row>
    <row r="196" spans="1:23">
      <c r="A196"/>
      <c r="B196"/>
      <c r="C196"/>
      <c r="D196"/>
      <c r="E196"/>
      <c r="F196"/>
      <c r="G196"/>
      <c r="H196"/>
      <c r="I196"/>
      <c r="J196"/>
      <c r="K196"/>
      <c r="L196"/>
      <c r="M196"/>
      <c r="N196"/>
      <c r="O196"/>
      <c r="P196"/>
      <c r="Q196"/>
      <c r="R196"/>
      <c r="S196"/>
      <c r="T196"/>
      <c r="U196"/>
      <c r="V196"/>
      <c r="W196"/>
    </row>
    <row r="197" spans="1:23">
      <c r="A197"/>
      <c r="B197"/>
      <c r="C197"/>
      <c r="D197"/>
      <c r="E197"/>
      <c r="F197"/>
      <c r="G197"/>
      <c r="H197"/>
      <c r="I197"/>
      <c r="J197"/>
      <c r="K197"/>
      <c r="L197"/>
      <c r="M197"/>
      <c r="N197"/>
      <c r="O197"/>
      <c r="P197"/>
      <c r="Q197"/>
      <c r="R197"/>
      <c r="S197"/>
      <c r="T197"/>
      <c r="U197"/>
      <c r="V197"/>
      <c r="W197"/>
    </row>
    <row r="198" spans="1:23">
      <c r="A198"/>
      <c r="B198"/>
      <c r="C198"/>
      <c r="D198"/>
      <c r="E198"/>
      <c r="F198"/>
      <c r="G198"/>
      <c r="H198"/>
      <c r="I198"/>
      <c r="J198"/>
      <c r="K198"/>
      <c r="L198"/>
      <c r="M198"/>
      <c r="N198"/>
      <c r="O198"/>
      <c r="P198"/>
      <c r="Q198"/>
      <c r="R198"/>
      <c r="S198"/>
      <c r="T198"/>
      <c r="U198"/>
      <c r="V198"/>
      <c r="W198"/>
    </row>
    <row r="199" spans="1:23">
      <c r="A199"/>
      <c r="B199"/>
      <c r="C199"/>
      <c r="D199"/>
      <c r="E199"/>
      <c r="F199"/>
      <c r="G199"/>
      <c r="H199"/>
      <c r="I199"/>
      <c r="J199"/>
      <c r="K199"/>
      <c r="L199"/>
      <c r="M199"/>
      <c r="N199"/>
      <c r="O199"/>
      <c r="P199"/>
      <c r="Q199"/>
      <c r="R199"/>
      <c r="S199"/>
      <c r="T199"/>
      <c r="U199"/>
      <c r="V199"/>
      <c r="W199"/>
    </row>
    <row r="200" spans="1:23">
      <c r="A200"/>
      <c r="B200"/>
      <c r="C200"/>
      <c r="D200"/>
      <c r="E200"/>
      <c r="F200"/>
      <c r="G200"/>
      <c r="H200"/>
      <c r="I200"/>
      <c r="J200"/>
      <c r="K200"/>
      <c r="L200"/>
      <c r="M200"/>
      <c r="N200"/>
      <c r="O200"/>
      <c r="P200"/>
      <c r="Q200"/>
      <c r="R200"/>
      <c r="S200"/>
      <c r="T200"/>
      <c r="U200"/>
      <c r="V200"/>
      <c r="W200"/>
    </row>
    <row r="201" spans="1:23">
      <c r="A201"/>
      <c r="B201"/>
      <c r="C201"/>
      <c r="D201"/>
      <c r="E201"/>
      <c r="F201"/>
      <c r="G201"/>
      <c r="H201"/>
      <c r="I201"/>
      <c r="J201"/>
      <c r="K201"/>
      <c r="L201"/>
      <c r="M201"/>
      <c r="N201"/>
      <c r="O201"/>
      <c r="P201"/>
      <c r="Q201"/>
      <c r="R201"/>
      <c r="S201"/>
      <c r="T201"/>
      <c r="U201"/>
      <c r="V201"/>
      <c r="W201"/>
    </row>
    <row r="202" spans="1:23">
      <c r="A202"/>
      <c r="B202"/>
      <c r="C202"/>
      <c r="D202"/>
      <c r="E202"/>
      <c r="F202"/>
      <c r="G202"/>
      <c r="H202"/>
      <c r="I202"/>
      <c r="J202"/>
      <c r="K202"/>
      <c r="L202"/>
      <c r="M202"/>
      <c r="N202"/>
      <c r="O202"/>
      <c r="P202"/>
      <c r="Q202"/>
      <c r="R202"/>
      <c r="S202"/>
      <c r="T202"/>
      <c r="U202"/>
      <c r="V202"/>
      <c r="W202"/>
    </row>
    <row r="203" spans="1:23">
      <c r="A203"/>
      <c r="B203"/>
      <c r="C203"/>
      <c r="D203"/>
      <c r="E203"/>
      <c r="F203"/>
      <c r="G203"/>
      <c r="H203"/>
      <c r="I203"/>
      <c r="J203"/>
      <c r="K203"/>
      <c r="L203"/>
      <c r="M203"/>
      <c r="N203"/>
      <c r="O203"/>
      <c r="P203"/>
      <c r="Q203"/>
      <c r="R203"/>
      <c r="S203"/>
      <c r="T203"/>
      <c r="U203"/>
      <c r="V203"/>
      <c r="W203"/>
    </row>
    <row r="204" spans="1:23">
      <c r="A204"/>
      <c r="B204"/>
      <c r="C204"/>
      <c r="D204"/>
      <c r="E204"/>
      <c r="F204"/>
      <c r="G204"/>
      <c r="H204"/>
      <c r="I204"/>
      <c r="J204"/>
      <c r="K204"/>
      <c r="L204"/>
      <c r="M204"/>
      <c r="N204"/>
      <c r="O204"/>
      <c r="P204"/>
      <c r="Q204"/>
      <c r="R204"/>
      <c r="S204"/>
      <c r="T204"/>
      <c r="U204"/>
      <c r="V204"/>
      <c r="W204"/>
    </row>
    <row r="205" spans="1:23">
      <c r="A205"/>
      <c r="B205"/>
      <c r="C205"/>
      <c r="D205"/>
      <c r="E205"/>
      <c r="F205"/>
      <c r="G205"/>
      <c r="H205"/>
      <c r="I205"/>
      <c r="J205"/>
      <c r="K205"/>
      <c r="L205"/>
      <c r="M205"/>
      <c r="N205"/>
      <c r="O205"/>
      <c r="P205"/>
      <c r="Q205"/>
      <c r="R205"/>
      <c r="S205"/>
      <c r="T205"/>
      <c r="U205"/>
      <c r="V205"/>
      <c r="W205"/>
    </row>
    <row r="206" spans="1:23">
      <c r="A206"/>
      <c r="B206"/>
      <c r="C206"/>
      <c r="D206"/>
      <c r="E206"/>
      <c r="F206"/>
      <c r="G206"/>
      <c r="H206"/>
      <c r="I206"/>
      <c r="J206"/>
      <c r="K206"/>
      <c r="L206"/>
      <c r="M206"/>
      <c r="N206"/>
      <c r="O206"/>
      <c r="P206"/>
      <c r="Q206"/>
      <c r="R206"/>
      <c r="S206"/>
      <c r="T206"/>
      <c r="U206"/>
      <c r="V206"/>
      <c r="W206"/>
    </row>
    <row r="207" spans="1:23">
      <c r="A207"/>
      <c r="B207"/>
      <c r="C207"/>
      <c r="D207"/>
      <c r="E207"/>
      <c r="F207"/>
      <c r="G207"/>
      <c r="H207"/>
      <c r="I207"/>
      <c r="J207"/>
      <c r="K207"/>
      <c r="L207"/>
      <c r="M207"/>
      <c r="N207"/>
      <c r="O207"/>
      <c r="P207"/>
      <c r="Q207"/>
      <c r="R207"/>
      <c r="S207"/>
      <c r="T207"/>
      <c r="U207"/>
      <c r="V207"/>
      <c r="W207"/>
    </row>
    <row r="208" spans="1:23">
      <c r="A208"/>
      <c r="B208"/>
      <c r="C208"/>
      <c r="D208"/>
      <c r="E208"/>
      <c r="F208"/>
      <c r="G208"/>
      <c r="H208"/>
      <c r="I208"/>
      <c r="J208"/>
      <c r="K208"/>
      <c r="L208"/>
      <c r="M208"/>
      <c r="N208"/>
      <c r="O208"/>
      <c r="P208"/>
      <c r="Q208"/>
      <c r="R208"/>
      <c r="S208"/>
      <c r="T208"/>
      <c r="U208"/>
      <c r="V208"/>
      <c r="W208"/>
    </row>
    <row r="209" spans="1:23">
      <c r="A209"/>
      <c r="B209"/>
      <c r="C209"/>
      <c r="D209"/>
      <c r="E209"/>
      <c r="F209"/>
      <c r="G209"/>
      <c r="H209"/>
      <c r="I209"/>
      <c r="J209"/>
      <c r="K209"/>
      <c r="L209"/>
      <c r="M209"/>
      <c r="N209"/>
      <c r="O209"/>
      <c r="P209"/>
      <c r="Q209"/>
      <c r="R209"/>
      <c r="S209"/>
      <c r="T209"/>
      <c r="U209"/>
      <c r="V209"/>
      <c r="W209"/>
    </row>
    <row r="210" spans="1:23">
      <c r="A210"/>
      <c r="B210"/>
      <c r="C210"/>
      <c r="D210"/>
      <c r="E210"/>
      <c r="F210"/>
      <c r="G210"/>
      <c r="H210"/>
      <c r="I210"/>
      <c r="J210"/>
      <c r="K210"/>
      <c r="L210"/>
      <c r="M210"/>
      <c r="N210"/>
      <c r="O210"/>
      <c r="P210"/>
      <c r="Q210"/>
      <c r="R210"/>
      <c r="S210"/>
      <c r="T210"/>
      <c r="U210"/>
      <c r="V210"/>
      <c r="W210"/>
    </row>
    <row r="211" spans="1:23">
      <c r="A211"/>
      <c r="B211"/>
      <c r="C211"/>
      <c r="D211"/>
      <c r="E211"/>
      <c r="F211"/>
      <c r="G211"/>
      <c r="H211"/>
      <c r="I211"/>
      <c r="J211"/>
      <c r="K211"/>
      <c r="L211"/>
      <c r="M211"/>
      <c r="N211"/>
      <c r="O211"/>
      <c r="P211"/>
      <c r="Q211"/>
      <c r="R211"/>
      <c r="S211"/>
      <c r="T211"/>
      <c r="U211"/>
      <c r="V211"/>
      <c r="W211"/>
    </row>
    <row r="212" spans="1:23">
      <c r="A212"/>
      <c r="B212"/>
      <c r="C212"/>
      <c r="D212"/>
      <c r="E212"/>
      <c r="F212"/>
      <c r="G212"/>
      <c r="H212"/>
      <c r="I212"/>
      <c r="J212"/>
      <c r="K212"/>
      <c r="L212"/>
      <c r="M212"/>
      <c r="N212"/>
      <c r="O212"/>
      <c r="P212"/>
      <c r="Q212"/>
      <c r="R212"/>
      <c r="S212"/>
      <c r="T212"/>
      <c r="U212"/>
      <c r="V212"/>
      <c r="W212"/>
    </row>
    <row r="213" spans="1:23">
      <c r="A213"/>
      <c r="B213"/>
      <c r="C213"/>
      <c r="D213"/>
      <c r="E213"/>
      <c r="F213"/>
      <c r="G213"/>
      <c r="H213"/>
      <c r="I213"/>
      <c r="J213"/>
      <c r="K213"/>
      <c r="L213"/>
      <c r="M213"/>
      <c r="N213"/>
      <c r="O213"/>
      <c r="P213"/>
      <c r="Q213"/>
      <c r="R213"/>
      <c r="S213"/>
      <c r="T213"/>
      <c r="U213"/>
      <c r="V213"/>
      <c r="W213"/>
    </row>
    <row r="214" spans="1:23">
      <c r="A214"/>
      <c r="B214"/>
      <c r="C214"/>
      <c r="D214"/>
      <c r="E214"/>
      <c r="F214"/>
      <c r="G214"/>
      <c r="H214"/>
      <c r="I214"/>
      <c r="J214"/>
      <c r="K214"/>
      <c r="L214"/>
      <c r="M214"/>
      <c r="N214"/>
      <c r="O214"/>
      <c r="P214"/>
      <c r="Q214"/>
      <c r="R214"/>
      <c r="S214"/>
      <c r="T214"/>
      <c r="U214"/>
      <c r="V214"/>
      <c r="W214"/>
    </row>
    <row r="215" spans="1:23">
      <c r="A215"/>
      <c r="B215"/>
      <c r="C215"/>
      <c r="D215"/>
      <c r="E215"/>
      <c r="F215"/>
      <c r="G215"/>
      <c r="H215"/>
      <c r="I215"/>
      <c r="J215"/>
      <c r="K215"/>
      <c r="L215"/>
      <c r="M215"/>
      <c r="N215"/>
      <c r="O215"/>
      <c r="P215"/>
      <c r="Q215"/>
      <c r="R215"/>
      <c r="S215"/>
      <c r="T215"/>
      <c r="U215"/>
      <c r="V215"/>
      <c r="W215"/>
    </row>
    <row r="216" spans="1:23">
      <c r="A216"/>
      <c r="B216"/>
      <c r="C216"/>
      <c r="D216"/>
      <c r="E216"/>
      <c r="F216"/>
      <c r="G216"/>
      <c r="H216"/>
      <c r="I216"/>
      <c r="J216"/>
      <c r="K216"/>
      <c r="L216"/>
      <c r="M216"/>
      <c r="N216"/>
      <c r="O216"/>
      <c r="P216"/>
      <c r="Q216"/>
      <c r="R216"/>
      <c r="S216"/>
      <c r="T216"/>
      <c r="U216"/>
      <c r="V216"/>
      <c r="W216"/>
    </row>
    <row r="217" spans="1:23">
      <c r="A217"/>
      <c r="B217"/>
      <c r="C217"/>
      <c r="D217"/>
      <c r="E217"/>
      <c r="F217"/>
      <c r="G217"/>
      <c r="H217"/>
      <c r="I217"/>
      <c r="J217"/>
      <c r="K217"/>
      <c r="L217"/>
      <c r="M217"/>
      <c r="N217"/>
      <c r="O217"/>
      <c r="P217"/>
      <c r="Q217"/>
      <c r="R217"/>
      <c r="S217"/>
      <c r="T217"/>
      <c r="U217"/>
      <c r="V217"/>
      <c r="W217"/>
    </row>
    <row r="218" spans="1:23">
      <c r="A218"/>
      <c r="B218"/>
      <c r="C218"/>
      <c r="D218"/>
      <c r="E218"/>
      <c r="F218"/>
      <c r="G218"/>
      <c r="H218"/>
      <c r="I218"/>
      <c r="J218"/>
      <c r="K218"/>
      <c r="L218"/>
      <c r="M218"/>
      <c r="N218"/>
      <c r="O218"/>
      <c r="P218"/>
      <c r="Q218"/>
      <c r="R218"/>
      <c r="S218"/>
      <c r="T218"/>
      <c r="U218"/>
      <c r="V218"/>
      <c r="W218"/>
    </row>
    <row r="219" spans="1:23">
      <c r="A219"/>
      <c r="B219"/>
      <c r="C219"/>
      <c r="D219"/>
      <c r="E219"/>
      <c r="F219"/>
      <c r="G219"/>
      <c r="H219"/>
      <c r="I219"/>
      <c r="J219"/>
      <c r="K219"/>
      <c r="L219"/>
      <c r="M219"/>
      <c r="N219"/>
      <c r="O219"/>
      <c r="P219"/>
      <c r="Q219"/>
      <c r="R219"/>
      <c r="S219"/>
      <c r="T219"/>
      <c r="U219"/>
      <c r="V219"/>
      <c r="W219"/>
    </row>
    <row r="220" spans="1:23">
      <c r="A220"/>
      <c r="B220"/>
      <c r="C220"/>
      <c r="D220"/>
      <c r="E220"/>
      <c r="F220"/>
      <c r="G220"/>
      <c r="H220"/>
      <c r="I220"/>
      <c r="J220"/>
      <c r="K220"/>
      <c r="L220"/>
      <c r="M220"/>
      <c r="N220"/>
      <c r="O220"/>
      <c r="P220"/>
      <c r="Q220"/>
      <c r="R220"/>
      <c r="S220"/>
      <c r="T220"/>
      <c r="U220"/>
      <c r="V220"/>
      <c r="W220"/>
    </row>
    <row r="221" spans="1:23">
      <c r="A221"/>
      <c r="B221"/>
      <c r="C221"/>
      <c r="D221"/>
      <c r="E221"/>
      <c r="F221"/>
      <c r="G221"/>
      <c r="H221"/>
      <c r="I221"/>
      <c r="J221"/>
      <c r="K221"/>
      <c r="L221"/>
      <c r="M221"/>
      <c r="N221"/>
      <c r="O221"/>
      <c r="P221"/>
      <c r="Q221"/>
      <c r="R221"/>
      <c r="S221"/>
      <c r="T221"/>
      <c r="U221"/>
      <c r="V221"/>
      <c r="W221"/>
    </row>
    <row r="222" spans="1:23">
      <c r="A222"/>
      <c r="B222"/>
      <c r="C222"/>
      <c r="D222"/>
      <c r="E222"/>
      <c r="F222"/>
      <c r="G222"/>
      <c r="H222"/>
      <c r="I222"/>
      <c r="J222"/>
      <c r="K222"/>
      <c r="L222"/>
      <c r="M222"/>
      <c r="N222"/>
      <c r="O222"/>
      <c r="P222"/>
      <c r="Q222"/>
      <c r="R222"/>
      <c r="S222"/>
      <c r="T222"/>
      <c r="U222"/>
      <c r="V222"/>
      <c r="W222"/>
    </row>
    <row r="223" spans="1:23">
      <c r="A223"/>
      <c r="B223"/>
      <c r="C223"/>
      <c r="D223"/>
      <c r="E223"/>
      <c r="F223"/>
      <c r="G223"/>
      <c r="H223"/>
      <c r="I223"/>
      <c r="J223"/>
      <c r="K223"/>
      <c r="L223"/>
      <c r="M223"/>
      <c r="N223"/>
      <c r="O223"/>
      <c r="P223"/>
      <c r="Q223"/>
      <c r="R223"/>
      <c r="S223"/>
      <c r="T223"/>
      <c r="U223"/>
      <c r="V223"/>
      <c r="W223"/>
    </row>
    <row r="224" spans="1:23">
      <c r="A224"/>
      <c r="B224"/>
      <c r="C224"/>
      <c r="D224"/>
      <c r="E224"/>
      <c r="F224"/>
      <c r="G224"/>
      <c r="H224"/>
      <c r="I224"/>
      <c r="J224"/>
      <c r="K224"/>
      <c r="L224"/>
      <c r="M224"/>
      <c r="N224"/>
      <c r="O224"/>
      <c r="P224"/>
      <c r="Q224"/>
      <c r="R224"/>
      <c r="S224"/>
      <c r="T224"/>
      <c r="U224"/>
      <c r="V224"/>
      <c r="W224"/>
    </row>
    <row r="225" spans="1:23">
      <c r="A225"/>
      <c r="B225"/>
      <c r="C225"/>
      <c r="D225"/>
      <c r="E225"/>
      <c r="F225"/>
      <c r="G225"/>
      <c r="H225"/>
      <c r="I225"/>
      <c r="J225"/>
      <c r="K225"/>
      <c r="L225"/>
      <c r="M225"/>
      <c r="N225"/>
      <c r="O225"/>
      <c r="P225"/>
      <c r="Q225"/>
      <c r="R225"/>
      <c r="S225"/>
      <c r="T225"/>
      <c r="U225"/>
      <c r="V225"/>
      <c r="W225"/>
    </row>
    <row r="226" spans="1:23">
      <c r="A226"/>
      <c r="B226"/>
      <c r="C226"/>
      <c r="D226"/>
      <c r="E226"/>
      <c r="F226"/>
      <c r="G226"/>
      <c r="H226"/>
      <c r="I226"/>
      <c r="J226"/>
      <c r="K226"/>
      <c r="L226"/>
      <c r="M226"/>
      <c r="N226"/>
      <c r="O226"/>
      <c r="P226"/>
      <c r="Q226"/>
      <c r="R226"/>
      <c r="S226"/>
      <c r="T226"/>
      <c r="U226"/>
      <c r="V226"/>
      <c r="W226"/>
    </row>
    <row r="227" spans="1:23">
      <c r="A227"/>
      <c r="B227"/>
      <c r="C227"/>
      <c r="D227"/>
      <c r="E227"/>
      <c r="F227"/>
      <c r="G227"/>
      <c r="H227"/>
      <c r="I227"/>
      <c r="J227"/>
      <c r="K227"/>
      <c r="L227"/>
      <c r="M227"/>
      <c r="N227"/>
      <c r="O227"/>
      <c r="P227"/>
      <c r="Q227"/>
      <c r="R227"/>
      <c r="S227"/>
      <c r="T227"/>
      <c r="U227"/>
      <c r="V227"/>
      <c r="W227"/>
    </row>
    <row r="228" spans="1:23">
      <c r="A228"/>
      <c r="B228"/>
      <c r="C228"/>
      <c r="D228"/>
      <c r="E228"/>
      <c r="F228"/>
      <c r="G228"/>
      <c r="H228"/>
      <c r="I228"/>
      <c r="J228"/>
      <c r="K228"/>
      <c r="L228"/>
      <c r="M228"/>
      <c r="N228"/>
      <c r="O228"/>
      <c r="P228"/>
      <c r="Q228"/>
      <c r="R228"/>
      <c r="S228"/>
      <c r="T228"/>
      <c r="U228"/>
      <c r="V228"/>
      <c r="W228"/>
    </row>
    <row r="229" spans="1:23">
      <c r="A229"/>
      <c r="B229"/>
      <c r="C229"/>
      <c r="D229"/>
      <c r="E229"/>
      <c r="F229"/>
      <c r="G229"/>
      <c r="H229"/>
      <c r="I229"/>
      <c r="J229"/>
      <c r="K229"/>
      <c r="L229"/>
      <c r="M229"/>
      <c r="N229"/>
      <c r="O229"/>
      <c r="P229"/>
      <c r="Q229"/>
      <c r="R229"/>
      <c r="S229"/>
      <c r="T229"/>
      <c r="U229"/>
      <c r="V229"/>
      <c r="W229"/>
    </row>
    <row r="230" spans="1:23">
      <c r="A230"/>
      <c r="B230"/>
      <c r="C230"/>
      <c r="D230"/>
      <c r="E230"/>
      <c r="F230"/>
      <c r="G230"/>
      <c r="H230"/>
      <c r="I230"/>
      <c r="J230"/>
      <c r="K230"/>
      <c r="L230"/>
      <c r="M230"/>
      <c r="N230"/>
      <c r="O230"/>
      <c r="P230"/>
      <c r="Q230"/>
      <c r="R230"/>
      <c r="S230"/>
      <c r="T230"/>
      <c r="U230"/>
      <c r="V230"/>
      <c r="W230"/>
    </row>
    <row r="231" spans="1:23">
      <c r="A231"/>
      <c r="B231"/>
      <c r="C231"/>
      <c r="D231"/>
      <c r="E231"/>
      <c r="F231"/>
      <c r="G231"/>
      <c r="H231"/>
      <c r="I231"/>
      <c r="J231"/>
      <c r="K231"/>
      <c r="L231"/>
      <c r="M231"/>
      <c r="N231"/>
      <c r="O231"/>
      <c r="P231"/>
      <c r="Q231"/>
      <c r="R231"/>
      <c r="S231"/>
      <c r="T231"/>
      <c r="U231"/>
      <c r="V231"/>
      <c r="W231"/>
    </row>
    <row r="232" spans="1:23">
      <c r="A232"/>
      <c r="B232"/>
      <c r="C232"/>
      <c r="D232"/>
      <c r="E232"/>
      <c r="F232"/>
      <c r="G232"/>
      <c r="H232"/>
      <c r="I232"/>
      <c r="J232"/>
      <c r="K232"/>
      <c r="L232"/>
      <c r="M232"/>
      <c r="N232"/>
      <c r="O232"/>
      <c r="P232"/>
      <c r="Q232"/>
      <c r="R232"/>
      <c r="S232"/>
      <c r="T232"/>
      <c r="U232"/>
      <c r="V232"/>
      <c r="W232"/>
    </row>
    <row r="233" spans="1:23">
      <c r="A233"/>
      <c r="B233"/>
      <c r="C233"/>
      <c r="D233"/>
      <c r="E233"/>
      <c r="F233"/>
      <c r="G233"/>
      <c r="H233"/>
      <c r="I233"/>
      <c r="J233"/>
      <c r="K233"/>
      <c r="L233"/>
      <c r="M233"/>
      <c r="N233"/>
      <c r="O233"/>
      <c r="P233"/>
      <c r="Q233"/>
      <c r="R233"/>
      <c r="S233"/>
      <c r="T233"/>
      <c r="U233"/>
      <c r="V233"/>
      <c r="W233"/>
    </row>
    <row r="234" spans="1:23">
      <c r="A234"/>
      <c r="B234"/>
      <c r="C234"/>
      <c r="D234"/>
      <c r="E234"/>
      <c r="F234"/>
      <c r="G234"/>
      <c r="H234"/>
      <c r="I234"/>
      <c r="J234"/>
      <c r="K234"/>
      <c r="L234"/>
      <c r="M234"/>
      <c r="N234"/>
      <c r="O234"/>
      <c r="P234"/>
      <c r="Q234"/>
      <c r="R234"/>
      <c r="S234"/>
      <c r="T234"/>
      <c r="U234"/>
      <c r="V234"/>
      <c r="W234"/>
    </row>
    <row r="235" spans="1:23">
      <c r="A235"/>
      <c r="B235"/>
      <c r="C235"/>
      <c r="D235"/>
      <c r="E235"/>
      <c r="F235"/>
      <c r="G235"/>
      <c r="H235"/>
      <c r="I235"/>
      <c r="J235"/>
      <c r="K235"/>
      <c r="L235"/>
      <c r="M235"/>
      <c r="N235"/>
      <c r="O235"/>
      <c r="P235"/>
      <c r="Q235"/>
      <c r="R235"/>
      <c r="S235"/>
      <c r="T235"/>
      <c r="U235"/>
      <c r="V235"/>
      <c r="W235"/>
    </row>
    <row r="236" spans="1:23">
      <c r="A236"/>
      <c r="B236"/>
      <c r="C236"/>
      <c r="D236"/>
      <c r="E236"/>
      <c r="F236"/>
      <c r="G236"/>
      <c r="H236"/>
      <c r="I236"/>
      <c r="J236"/>
      <c r="K236"/>
      <c r="L236"/>
      <c r="M236"/>
      <c r="N236"/>
      <c r="O236"/>
      <c r="P236"/>
      <c r="Q236"/>
      <c r="R236"/>
      <c r="S236"/>
      <c r="T236"/>
      <c r="U236"/>
      <c r="V236"/>
      <c r="W236"/>
    </row>
    <row r="237" spans="1:23">
      <c r="A237"/>
      <c r="B237"/>
      <c r="C237"/>
      <c r="D237"/>
      <c r="E237"/>
      <c r="F237"/>
      <c r="G237"/>
      <c r="H237"/>
      <c r="I237"/>
      <c r="J237"/>
      <c r="K237"/>
      <c r="L237"/>
      <c r="M237"/>
      <c r="N237"/>
      <c r="O237"/>
      <c r="P237"/>
      <c r="Q237"/>
      <c r="R237"/>
      <c r="S237"/>
      <c r="T237"/>
      <c r="U237"/>
      <c r="V237"/>
      <c r="W237"/>
    </row>
    <row r="238" spans="1:23">
      <c r="A238"/>
      <c r="B238"/>
      <c r="C238"/>
      <c r="D238"/>
      <c r="E238"/>
      <c r="F238"/>
      <c r="G238"/>
      <c r="H238"/>
      <c r="I238"/>
      <c r="J238"/>
      <c r="K238"/>
      <c r="L238"/>
      <c r="M238"/>
      <c r="N238"/>
      <c r="O238"/>
      <c r="P238"/>
      <c r="Q238"/>
      <c r="R238"/>
      <c r="S238"/>
      <c r="T238"/>
      <c r="U238"/>
      <c r="V238"/>
      <c r="W238"/>
    </row>
    <row r="239" spans="1:23">
      <c r="A239"/>
      <c r="B239"/>
      <c r="C239"/>
      <c r="D239"/>
      <c r="E239"/>
      <c r="F239"/>
      <c r="G239"/>
      <c r="H239"/>
      <c r="I239"/>
      <c r="J239"/>
      <c r="K239"/>
      <c r="L239"/>
      <c r="M239"/>
      <c r="N239"/>
      <c r="O239"/>
      <c r="P239"/>
      <c r="Q239"/>
      <c r="R239"/>
      <c r="S239"/>
      <c r="T239"/>
      <c r="U239"/>
      <c r="V239"/>
      <c r="W239"/>
    </row>
    <row r="240" spans="1:23">
      <c r="A240"/>
      <c r="B240"/>
      <c r="C240"/>
      <c r="D240"/>
      <c r="E240"/>
      <c r="F240"/>
      <c r="G240"/>
      <c r="H240"/>
      <c r="I240"/>
      <c r="J240"/>
      <c r="K240"/>
      <c r="L240"/>
      <c r="M240"/>
      <c r="N240"/>
      <c r="O240"/>
      <c r="P240"/>
      <c r="Q240"/>
      <c r="R240"/>
      <c r="S240"/>
      <c r="T240"/>
      <c r="U240"/>
      <c r="V240"/>
      <c r="W240"/>
    </row>
    <row r="241" spans="1:23">
      <c r="A241"/>
      <c r="B241"/>
      <c r="C241"/>
      <c r="D241"/>
      <c r="E241"/>
      <c r="F241"/>
      <c r="G241"/>
      <c r="H241"/>
      <c r="I241"/>
      <c r="J241"/>
      <c r="K241"/>
      <c r="L241"/>
      <c r="M241"/>
      <c r="N241"/>
      <c r="O241"/>
      <c r="P241"/>
      <c r="Q241"/>
      <c r="R241"/>
      <c r="S241"/>
      <c r="T241"/>
      <c r="U241"/>
      <c r="V241"/>
      <c r="W241"/>
    </row>
    <row r="242" spans="1:23">
      <c r="A242"/>
      <c r="B242"/>
      <c r="C242"/>
      <c r="D242"/>
      <c r="E242"/>
      <c r="F242"/>
      <c r="G242"/>
      <c r="H242"/>
      <c r="I242"/>
      <c r="J242"/>
      <c r="K242"/>
      <c r="L242"/>
      <c r="M242"/>
      <c r="N242"/>
      <c r="O242"/>
      <c r="P242"/>
      <c r="Q242"/>
      <c r="R242"/>
      <c r="S242"/>
      <c r="T242"/>
      <c r="U242"/>
      <c r="V242"/>
      <c r="W242"/>
    </row>
    <row r="243" spans="1:23">
      <c r="A243"/>
      <c r="B243"/>
      <c r="C243"/>
      <c r="D243"/>
      <c r="E243"/>
      <c r="F243"/>
      <c r="G243"/>
      <c r="H243"/>
      <c r="I243"/>
      <c r="J243"/>
      <c r="K243"/>
      <c r="L243"/>
      <c r="M243"/>
      <c r="N243"/>
      <c r="O243"/>
      <c r="P243"/>
      <c r="Q243"/>
      <c r="R243"/>
      <c r="S243"/>
      <c r="T243"/>
      <c r="U243"/>
      <c r="V243"/>
      <c r="W243"/>
    </row>
    <row r="244" spans="1:23">
      <c r="A244"/>
      <c r="B244"/>
      <c r="C244"/>
      <c r="D244"/>
      <c r="E244"/>
      <c r="F244"/>
      <c r="G244"/>
      <c r="H244"/>
      <c r="I244"/>
      <c r="J244"/>
      <c r="K244"/>
      <c r="L244"/>
      <c r="M244"/>
      <c r="N244"/>
      <c r="O244"/>
      <c r="P244"/>
      <c r="Q244"/>
      <c r="R244"/>
      <c r="S244"/>
      <c r="T244"/>
      <c r="U244"/>
      <c r="V244"/>
      <c r="W244"/>
    </row>
    <row r="245" spans="1:23">
      <c r="A245"/>
      <c r="B245"/>
      <c r="C245"/>
      <c r="D245"/>
      <c r="E245"/>
      <c r="F245"/>
      <c r="G245"/>
      <c r="H245"/>
      <c r="I245"/>
      <c r="J245"/>
      <c r="K245"/>
      <c r="L245"/>
      <c r="M245"/>
      <c r="N245"/>
      <c r="O245"/>
      <c r="P245"/>
      <c r="Q245"/>
      <c r="R245"/>
      <c r="S245"/>
      <c r="T245"/>
      <c r="U245"/>
      <c r="V245"/>
      <c r="W245"/>
    </row>
    <row r="246" spans="1:23">
      <c r="A246"/>
      <c r="B246"/>
      <c r="C246"/>
      <c r="D246"/>
      <c r="E246"/>
      <c r="F246"/>
      <c r="G246"/>
      <c r="H246"/>
      <c r="I246"/>
      <c r="J246"/>
      <c r="K246"/>
      <c r="L246"/>
      <c r="M246"/>
      <c r="N246"/>
      <c r="O246"/>
      <c r="P246"/>
      <c r="Q246"/>
      <c r="R246"/>
      <c r="S246"/>
      <c r="T246"/>
      <c r="U246"/>
      <c r="V246"/>
      <c r="W246"/>
    </row>
    <row r="247" spans="1:23">
      <c r="A247"/>
      <c r="B247"/>
      <c r="C247"/>
      <c r="D247"/>
      <c r="E247"/>
      <c r="F247"/>
      <c r="G247"/>
      <c r="H247"/>
      <c r="I247"/>
      <c r="J247"/>
      <c r="K247"/>
      <c r="L247"/>
      <c r="M247"/>
      <c r="N247"/>
      <c r="O247"/>
      <c r="P247"/>
      <c r="Q247"/>
      <c r="R247"/>
      <c r="S247"/>
      <c r="T247"/>
      <c r="U247"/>
      <c r="V247"/>
      <c r="W247"/>
    </row>
    <row r="248" spans="1:23">
      <c r="A248"/>
      <c r="B248"/>
      <c r="C248"/>
      <c r="D248"/>
      <c r="E248"/>
      <c r="F248"/>
      <c r="G248"/>
      <c r="H248"/>
      <c r="I248"/>
      <c r="J248"/>
      <c r="K248"/>
      <c r="L248"/>
      <c r="M248"/>
      <c r="N248"/>
      <c r="O248"/>
      <c r="P248"/>
      <c r="Q248"/>
      <c r="R248"/>
      <c r="S248"/>
      <c r="T248"/>
      <c r="U248"/>
      <c r="V248"/>
      <c r="W248"/>
    </row>
    <row r="249" spans="1:23">
      <c r="A249"/>
      <c r="B249"/>
      <c r="C249"/>
      <c r="D249"/>
      <c r="E249"/>
      <c r="F249"/>
      <c r="G249"/>
      <c r="H249"/>
      <c r="I249"/>
      <c r="J249"/>
      <c r="K249"/>
      <c r="L249"/>
      <c r="M249"/>
      <c r="N249"/>
      <c r="O249"/>
      <c r="P249"/>
      <c r="Q249"/>
      <c r="R249"/>
      <c r="S249"/>
      <c r="T249"/>
      <c r="U249"/>
      <c r="V249"/>
      <c r="W249"/>
    </row>
    <row r="250" spans="1:23">
      <c r="A250"/>
      <c r="B250"/>
      <c r="C250"/>
      <c r="D250"/>
      <c r="E250"/>
      <c r="F250"/>
      <c r="G250"/>
      <c r="H250"/>
      <c r="I250"/>
      <c r="J250"/>
      <c r="K250"/>
      <c r="L250"/>
      <c r="M250"/>
      <c r="N250"/>
      <c r="O250"/>
      <c r="P250"/>
      <c r="Q250"/>
      <c r="R250"/>
      <c r="S250"/>
      <c r="T250"/>
      <c r="U250"/>
      <c r="V250"/>
      <c r="W250"/>
    </row>
    <row r="251" spans="1:23">
      <c r="A251"/>
      <c r="B251"/>
      <c r="C251"/>
      <c r="D251"/>
      <c r="E251"/>
      <c r="F251"/>
      <c r="G251"/>
      <c r="H251"/>
      <c r="I251"/>
      <c r="J251"/>
      <c r="K251"/>
      <c r="L251"/>
      <c r="M251"/>
      <c r="N251"/>
      <c r="O251"/>
      <c r="P251"/>
      <c r="Q251"/>
      <c r="R251"/>
      <c r="S251"/>
      <c r="T251"/>
      <c r="U251"/>
      <c r="V251"/>
      <c r="W251"/>
    </row>
    <row r="252" spans="1:23">
      <c r="A252"/>
      <c r="B252"/>
      <c r="C252"/>
      <c r="D252"/>
      <c r="E252"/>
      <c r="F252"/>
      <c r="G252"/>
      <c r="H252"/>
      <c r="I252"/>
      <c r="J252"/>
      <c r="K252"/>
      <c r="L252"/>
      <c r="M252"/>
      <c r="N252"/>
      <c r="O252"/>
      <c r="P252"/>
      <c r="Q252"/>
      <c r="R252"/>
      <c r="S252"/>
      <c r="T252"/>
      <c r="U252"/>
      <c r="V252"/>
      <c r="W252"/>
    </row>
    <row r="253" spans="1:23">
      <c r="A253"/>
      <c r="B253"/>
      <c r="C253"/>
      <c r="D253"/>
      <c r="E253"/>
      <c r="F253"/>
      <c r="G253"/>
      <c r="H253"/>
      <c r="I253"/>
      <c r="J253"/>
      <c r="K253"/>
      <c r="L253"/>
      <c r="M253"/>
      <c r="N253"/>
      <c r="O253"/>
      <c r="P253"/>
      <c r="Q253"/>
      <c r="R253"/>
      <c r="S253"/>
      <c r="T253"/>
      <c r="U253"/>
      <c r="V253"/>
      <c r="W253"/>
    </row>
    <row r="254" spans="1:23">
      <c r="A254"/>
      <c r="B254"/>
      <c r="C254"/>
      <c r="D254"/>
      <c r="E254"/>
      <c r="F254"/>
      <c r="G254"/>
      <c r="H254"/>
      <c r="I254"/>
      <c r="J254"/>
      <c r="K254"/>
      <c r="L254"/>
      <c r="M254"/>
      <c r="N254"/>
      <c r="O254"/>
      <c r="P254"/>
      <c r="Q254"/>
      <c r="R254"/>
      <c r="S254"/>
      <c r="T254"/>
      <c r="U254"/>
      <c r="V254"/>
      <c r="W254"/>
    </row>
    <row r="255" spans="1:23">
      <c r="A255"/>
      <c r="B255"/>
      <c r="C255"/>
      <c r="D255"/>
      <c r="E255"/>
      <c r="F255"/>
      <c r="G255"/>
      <c r="H255"/>
      <c r="I255"/>
      <c r="J255"/>
      <c r="K255"/>
      <c r="L255"/>
      <c r="M255"/>
      <c r="N255"/>
      <c r="O255"/>
      <c r="P255"/>
      <c r="Q255"/>
      <c r="R255"/>
      <c r="S255"/>
      <c r="T255"/>
      <c r="U255"/>
      <c r="V255"/>
      <c r="W255"/>
    </row>
    <row r="256" spans="1:23">
      <c r="A256"/>
      <c r="B256"/>
      <c r="C256"/>
      <c r="D256"/>
      <c r="E256"/>
      <c r="F256"/>
      <c r="G256"/>
      <c r="H256"/>
      <c r="I256"/>
      <c r="J256"/>
      <c r="K256"/>
      <c r="L256"/>
      <c r="M256"/>
      <c r="N256"/>
      <c r="O256"/>
      <c r="P256"/>
      <c r="Q256"/>
      <c r="R256"/>
      <c r="S256"/>
      <c r="T256"/>
      <c r="U256"/>
      <c r="V256"/>
      <c r="W256"/>
    </row>
    <row r="257" spans="1:23">
      <c r="A257"/>
      <c r="B257"/>
      <c r="C257"/>
      <c r="D257"/>
      <c r="E257"/>
      <c r="F257"/>
      <c r="G257"/>
      <c r="H257"/>
      <c r="I257"/>
      <c r="J257"/>
      <c r="K257"/>
      <c r="L257"/>
      <c r="M257"/>
      <c r="N257"/>
      <c r="O257"/>
      <c r="P257"/>
      <c r="Q257"/>
      <c r="R257"/>
      <c r="S257"/>
      <c r="T257"/>
      <c r="U257"/>
      <c r="V257"/>
      <c r="W257"/>
    </row>
    <row r="258" spans="1:23">
      <c r="A258"/>
      <c r="B258"/>
      <c r="C258"/>
      <c r="D258"/>
      <c r="E258"/>
      <c r="F258"/>
      <c r="G258"/>
      <c r="H258"/>
      <c r="I258"/>
      <c r="J258"/>
      <c r="K258"/>
      <c r="L258"/>
      <c r="M258"/>
      <c r="N258"/>
      <c r="O258"/>
      <c r="P258"/>
      <c r="Q258"/>
      <c r="R258"/>
      <c r="S258"/>
      <c r="T258"/>
      <c r="U258"/>
      <c r="V258"/>
      <c r="W258"/>
    </row>
    <row r="259" spans="1:23">
      <c r="A259"/>
      <c r="B259"/>
      <c r="C259"/>
      <c r="D259"/>
      <c r="E259"/>
      <c r="F259"/>
      <c r="G259"/>
      <c r="H259"/>
      <c r="I259"/>
      <c r="J259"/>
      <c r="K259"/>
      <c r="L259"/>
      <c r="M259"/>
      <c r="N259"/>
      <c r="O259"/>
      <c r="P259"/>
      <c r="Q259"/>
      <c r="R259"/>
      <c r="S259"/>
      <c r="T259"/>
      <c r="U259"/>
      <c r="V259"/>
      <c r="W259"/>
    </row>
    <row r="260" spans="1:23">
      <c r="A260"/>
      <c r="B260"/>
      <c r="C260"/>
      <c r="D260"/>
      <c r="E260"/>
      <c r="F260"/>
      <c r="G260"/>
      <c r="H260"/>
      <c r="I260"/>
      <c r="J260"/>
      <c r="K260"/>
      <c r="L260"/>
      <c r="M260"/>
      <c r="N260"/>
      <c r="O260"/>
      <c r="P260"/>
      <c r="Q260"/>
      <c r="R260"/>
      <c r="S260"/>
      <c r="T260"/>
      <c r="U260"/>
      <c r="V260"/>
      <c r="W260"/>
    </row>
    <row r="261" spans="1:23">
      <c r="A261"/>
      <c r="B261"/>
      <c r="C261"/>
      <c r="D261"/>
      <c r="E261"/>
      <c r="F261"/>
      <c r="G261"/>
      <c r="H261"/>
      <c r="I261"/>
      <c r="J261"/>
      <c r="K261"/>
      <c r="L261"/>
      <c r="M261"/>
      <c r="N261"/>
      <c r="O261"/>
      <c r="P261"/>
      <c r="Q261"/>
      <c r="R261"/>
      <c r="S261"/>
      <c r="T261"/>
      <c r="U261"/>
      <c r="V261"/>
      <c r="W261"/>
    </row>
    <row r="262" spans="1:23">
      <c r="A262"/>
      <c r="B262"/>
      <c r="C262"/>
      <c r="D262"/>
      <c r="E262"/>
      <c r="F262"/>
      <c r="G262"/>
      <c r="H262"/>
      <c r="I262"/>
      <c r="J262"/>
      <c r="K262"/>
      <c r="L262"/>
      <c r="M262"/>
      <c r="N262"/>
      <c r="O262"/>
      <c r="P262"/>
      <c r="Q262"/>
      <c r="R262"/>
      <c r="S262"/>
      <c r="T262"/>
      <c r="U262"/>
      <c r="V262"/>
      <c r="W262"/>
    </row>
    <row r="263" spans="1:23">
      <c r="A263"/>
      <c r="B263"/>
      <c r="C263"/>
      <c r="D263"/>
      <c r="E263"/>
      <c r="F263"/>
      <c r="G263"/>
      <c r="H263"/>
      <c r="I263"/>
      <c r="J263"/>
      <c r="K263"/>
      <c r="L263"/>
      <c r="M263"/>
      <c r="N263"/>
      <c r="O263"/>
      <c r="P263"/>
      <c r="Q263"/>
      <c r="R263"/>
      <c r="S263"/>
      <c r="T263"/>
      <c r="U263"/>
      <c r="V263"/>
      <c r="W263"/>
    </row>
    <row r="264" spans="1:23">
      <c r="A264"/>
      <c r="B264"/>
      <c r="C264"/>
      <c r="D264"/>
      <c r="E264"/>
      <c r="F264"/>
      <c r="G264"/>
      <c r="H264"/>
      <c r="I264"/>
      <c r="J264"/>
      <c r="K264"/>
      <c r="L264"/>
      <c r="M264"/>
      <c r="N264"/>
      <c r="O264"/>
      <c r="P264"/>
      <c r="Q264"/>
      <c r="R264"/>
      <c r="S264"/>
      <c r="T264"/>
      <c r="U264"/>
      <c r="V264"/>
      <c r="W264"/>
    </row>
    <row r="265" spans="1:23">
      <c r="A265"/>
      <c r="B265"/>
      <c r="C265"/>
      <c r="D265"/>
      <c r="E265"/>
      <c r="F265"/>
      <c r="G265"/>
      <c r="H265"/>
      <c r="I265"/>
      <c r="J265"/>
      <c r="K265"/>
      <c r="L265"/>
      <c r="M265"/>
      <c r="N265"/>
      <c r="O265"/>
      <c r="P265"/>
      <c r="Q265"/>
      <c r="R265"/>
      <c r="S265"/>
      <c r="T265"/>
      <c r="U265"/>
      <c r="V265"/>
      <c r="W265"/>
    </row>
    <row r="266" spans="1:23">
      <c r="A266"/>
      <c r="B266"/>
      <c r="C266"/>
      <c r="D266"/>
      <c r="E266"/>
      <c r="F266"/>
      <c r="G266"/>
      <c r="H266"/>
      <c r="I266"/>
      <c r="J266"/>
      <c r="K266"/>
      <c r="L266"/>
      <c r="M266"/>
      <c r="N266"/>
      <c r="O266"/>
      <c r="P266"/>
      <c r="Q266"/>
      <c r="R266"/>
      <c r="S266"/>
      <c r="T266"/>
      <c r="U266"/>
      <c r="V266"/>
      <c r="W266"/>
    </row>
  </sheetData>
  <hyperlinks>
    <hyperlink ref="A1" r:id="rId1" xr:uid="{00000000-0004-0000-0200-000000000000}"/>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93"/>
  <sheetViews>
    <sheetView workbookViewId="0">
      <selection activeCell="D6" sqref="D6"/>
    </sheetView>
  </sheetViews>
  <sheetFormatPr defaultRowHeight="13.2"/>
  <cols>
    <col min="2" max="2" width="37" bestFit="1" customWidth="1"/>
    <col min="3" max="3" width="9.33203125" customWidth="1"/>
  </cols>
  <sheetData>
    <row r="1" spans="1:16" ht="13.8" thickBot="1">
      <c r="A1" s="30">
        <v>1</v>
      </c>
      <c r="B1" s="30">
        <v>2</v>
      </c>
      <c r="C1" s="30">
        <v>3</v>
      </c>
      <c r="D1" s="30">
        <v>4</v>
      </c>
      <c r="E1" s="30">
        <v>5</v>
      </c>
      <c r="F1" s="30">
        <v>6</v>
      </c>
      <c r="G1" s="30">
        <v>7</v>
      </c>
      <c r="H1" s="30">
        <v>8</v>
      </c>
      <c r="I1" s="30">
        <v>9</v>
      </c>
      <c r="J1" s="30">
        <v>10</v>
      </c>
      <c r="K1" s="30">
        <v>11</v>
      </c>
      <c r="L1" s="30">
        <v>12</v>
      </c>
      <c r="M1" s="30">
        <v>13</v>
      </c>
      <c r="N1" s="30">
        <v>14</v>
      </c>
      <c r="O1" s="30">
        <v>15</v>
      </c>
      <c r="P1" s="30">
        <v>16</v>
      </c>
    </row>
    <row r="2" spans="1:16" ht="44.4" thickTop="1" thickBot="1">
      <c r="A2" s="54" t="s">
        <v>520</v>
      </c>
      <c r="B2" s="54" t="s">
        <v>521</v>
      </c>
      <c r="C2" s="54" t="s">
        <v>522</v>
      </c>
      <c r="D2" s="55" t="s">
        <v>200</v>
      </c>
      <c r="E2" s="55" t="s">
        <v>201</v>
      </c>
      <c r="F2" s="55" t="s">
        <v>202</v>
      </c>
      <c r="G2" s="55" t="s">
        <v>529</v>
      </c>
      <c r="H2" s="55" t="s">
        <v>204</v>
      </c>
      <c r="I2" s="55" t="s">
        <v>523</v>
      </c>
      <c r="J2" s="55" t="s">
        <v>524</v>
      </c>
      <c r="K2" s="55" t="s">
        <v>525</v>
      </c>
      <c r="L2" s="55" t="s">
        <v>526</v>
      </c>
      <c r="M2" s="55" t="s">
        <v>308</v>
      </c>
      <c r="N2" s="55" t="s">
        <v>225</v>
      </c>
      <c r="O2" s="55" t="s">
        <v>238</v>
      </c>
      <c r="P2" s="55" t="s">
        <v>242</v>
      </c>
    </row>
    <row r="3" spans="1:16" ht="13.8" thickTop="1">
      <c r="A3" s="56">
        <v>3520</v>
      </c>
      <c r="B3" t="s">
        <v>256</v>
      </c>
      <c r="C3">
        <v>11094</v>
      </c>
      <c r="D3" s="26">
        <v>1670311</v>
      </c>
      <c r="E3" s="26">
        <v>0</v>
      </c>
      <c r="F3" s="26">
        <v>12520.240307692249</v>
      </c>
      <c r="G3" s="26">
        <f>SUM(D3:F3)</f>
        <v>1682831.2403076922</v>
      </c>
      <c r="H3" s="26">
        <v>3690</v>
      </c>
      <c r="I3" s="26">
        <v>0</v>
      </c>
      <c r="J3" s="26">
        <v>1528</v>
      </c>
      <c r="K3" s="26">
        <v>19600</v>
      </c>
      <c r="L3" s="26">
        <v>97254</v>
      </c>
      <c r="M3" s="26">
        <v>0</v>
      </c>
      <c r="N3" s="26">
        <v>-667.44</v>
      </c>
      <c r="O3" s="26">
        <v>-3609.63</v>
      </c>
      <c r="P3" s="26">
        <v>-12660.689999999999</v>
      </c>
    </row>
    <row r="4" spans="1:16">
      <c r="A4" s="56">
        <v>3300</v>
      </c>
      <c r="B4" t="s">
        <v>455</v>
      </c>
      <c r="C4">
        <v>10040</v>
      </c>
      <c r="D4" s="26">
        <v>937851.1</v>
      </c>
      <c r="E4" s="26">
        <v>0</v>
      </c>
      <c r="F4" s="26">
        <v>2210.5781538461597</v>
      </c>
      <c r="G4" s="26">
        <f t="shared" ref="G4:G67" si="0">SUM(D4:F4)</f>
        <v>940061.67815384618</v>
      </c>
      <c r="H4" s="26">
        <v>118360</v>
      </c>
      <c r="I4" s="26">
        <v>0</v>
      </c>
      <c r="J4" s="26">
        <v>1399</v>
      </c>
      <c r="K4" s="26">
        <v>7980</v>
      </c>
      <c r="L4" s="26">
        <v>32086</v>
      </c>
      <c r="M4" s="26">
        <v>0</v>
      </c>
      <c r="N4" s="26">
        <v>-279.69</v>
      </c>
      <c r="O4" s="26">
        <v>-4680.6099999999997</v>
      </c>
      <c r="P4" s="26">
        <v>-6131.3499999999995</v>
      </c>
    </row>
    <row r="5" spans="1:16">
      <c r="A5" s="56">
        <v>3317</v>
      </c>
      <c r="B5" t="s">
        <v>458</v>
      </c>
      <c r="C5">
        <v>10042</v>
      </c>
      <c r="D5" s="26">
        <v>1095545.25</v>
      </c>
      <c r="E5" s="26">
        <v>0</v>
      </c>
      <c r="F5" s="26">
        <v>14343.151999999976</v>
      </c>
      <c r="G5" s="26">
        <f t="shared" si="0"/>
        <v>1109888.402</v>
      </c>
      <c r="H5" s="26">
        <v>72250</v>
      </c>
      <c r="I5" s="26">
        <v>0</v>
      </c>
      <c r="J5" s="26">
        <v>3501</v>
      </c>
      <c r="K5" s="26">
        <v>9900</v>
      </c>
      <c r="L5" s="26">
        <v>51551.000000000007</v>
      </c>
      <c r="M5" s="26">
        <v>0</v>
      </c>
      <c r="N5" s="26">
        <v>-370.27</v>
      </c>
      <c r="O5" s="26">
        <v>-6466.48</v>
      </c>
      <c r="P5" s="26">
        <v>-7614.95</v>
      </c>
    </row>
    <row r="6" spans="1:16">
      <c r="A6" s="56">
        <v>3500</v>
      </c>
      <c r="B6" t="s">
        <v>459</v>
      </c>
      <c r="C6">
        <v>10043</v>
      </c>
      <c r="D6" s="26">
        <v>757848.24000000011</v>
      </c>
      <c r="E6" s="26">
        <v>0</v>
      </c>
      <c r="F6" s="26">
        <v>1471.3076923076951</v>
      </c>
      <c r="G6" s="26">
        <f t="shared" si="0"/>
        <v>759319.54769230785</v>
      </c>
      <c r="H6" s="26">
        <v>29590</v>
      </c>
      <c r="I6" s="26">
        <v>0</v>
      </c>
      <c r="J6" s="26">
        <v>2105</v>
      </c>
      <c r="K6" s="26">
        <v>6020</v>
      </c>
      <c r="L6" s="26">
        <v>64589</v>
      </c>
      <c r="M6" s="26">
        <v>0</v>
      </c>
      <c r="N6" s="26">
        <v>-233.6</v>
      </c>
      <c r="O6" s="26">
        <v>-1263.3699999999999</v>
      </c>
      <c r="P6" s="26">
        <v>-4656.3</v>
      </c>
    </row>
    <row r="7" spans="1:16">
      <c r="A7" s="56">
        <v>3514</v>
      </c>
      <c r="B7" t="s">
        <v>462</v>
      </c>
      <c r="C7">
        <v>10117</v>
      </c>
      <c r="D7" s="26">
        <v>1003693.87</v>
      </c>
      <c r="E7" s="26">
        <v>0</v>
      </c>
      <c r="F7" s="26">
        <v>1956.5890769230791</v>
      </c>
      <c r="G7" s="26">
        <f t="shared" si="0"/>
        <v>1005650.4590769231</v>
      </c>
      <c r="H7" s="26">
        <v>75320</v>
      </c>
      <c r="I7" s="26">
        <v>0</v>
      </c>
      <c r="J7" s="26">
        <v>15789</v>
      </c>
      <c r="K7" s="26">
        <v>9660</v>
      </c>
      <c r="L7" s="26">
        <v>20352</v>
      </c>
      <c r="M7" s="26">
        <v>0</v>
      </c>
      <c r="N7" s="26">
        <v>-328.95</v>
      </c>
      <c r="O7" s="26">
        <v>-1779.03</v>
      </c>
      <c r="P7" s="26">
        <v>-6865.2699999999995</v>
      </c>
    </row>
    <row r="8" spans="1:16">
      <c r="A8" s="56">
        <v>2002</v>
      </c>
      <c r="B8" t="s">
        <v>36</v>
      </c>
      <c r="C8">
        <v>10044</v>
      </c>
      <c r="D8" s="26">
        <v>2178535.34</v>
      </c>
      <c r="E8" s="26">
        <v>0</v>
      </c>
      <c r="F8" s="26">
        <v>3223.9593186813072</v>
      </c>
      <c r="G8" s="26">
        <f t="shared" si="0"/>
        <v>2181759.299318681</v>
      </c>
      <c r="H8" s="26">
        <v>176195</v>
      </c>
      <c r="I8" s="26">
        <v>0</v>
      </c>
      <c r="J8" s="26">
        <v>21029</v>
      </c>
      <c r="K8" s="26">
        <v>19370</v>
      </c>
      <c r="L8" s="26">
        <v>91267.07</v>
      </c>
      <c r="M8" s="26">
        <v>9125.5</v>
      </c>
      <c r="N8" s="26">
        <v>-662.67</v>
      </c>
      <c r="O8" s="26">
        <v>-11566.84</v>
      </c>
      <c r="P8" s="26">
        <v>-14432.2</v>
      </c>
    </row>
    <row r="9" spans="1:16">
      <c r="A9" s="56">
        <v>2079</v>
      </c>
      <c r="B9" t="s">
        <v>37</v>
      </c>
      <c r="C9">
        <v>10128</v>
      </c>
      <c r="D9" s="26">
        <v>1789534.03</v>
      </c>
      <c r="E9" s="26">
        <v>0</v>
      </c>
      <c r="F9" s="26">
        <v>528.5</v>
      </c>
      <c r="G9" s="26">
        <f t="shared" si="0"/>
        <v>1790062.53</v>
      </c>
      <c r="H9" s="26">
        <v>44385</v>
      </c>
      <c r="I9" s="26">
        <v>0</v>
      </c>
      <c r="J9" s="26">
        <v>12726</v>
      </c>
      <c r="K9" s="26">
        <v>20260</v>
      </c>
      <c r="L9" s="26">
        <v>99318</v>
      </c>
      <c r="M9" s="26">
        <v>0</v>
      </c>
      <c r="N9" s="26">
        <v>-684.92</v>
      </c>
      <c r="O9" s="26">
        <v>-3704.16</v>
      </c>
      <c r="P9" s="26">
        <v>-13423.42</v>
      </c>
    </row>
    <row r="10" spans="1:16">
      <c r="A10" s="56">
        <v>3524</v>
      </c>
      <c r="B10" t="s">
        <v>393</v>
      </c>
      <c r="C10">
        <v>11278</v>
      </c>
      <c r="D10" s="26">
        <v>866617.28999999969</v>
      </c>
      <c r="E10" s="26">
        <v>0</v>
      </c>
      <c r="F10" s="26">
        <v>6066.1861538461399</v>
      </c>
      <c r="G10" s="26">
        <f t="shared" si="0"/>
        <v>872683.47615384578</v>
      </c>
      <c r="H10" s="26">
        <v>16140</v>
      </c>
      <c r="I10" s="26">
        <v>0</v>
      </c>
      <c r="J10" s="26">
        <v>2730</v>
      </c>
      <c r="K10" s="26">
        <v>8780</v>
      </c>
      <c r="L10" s="26">
        <v>51897</v>
      </c>
      <c r="M10" s="26">
        <v>0</v>
      </c>
      <c r="N10" s="26">
        <v>-297.17</v>
      </c>
      <c r="O10" s="26">
        <v>-1607.14</v>
      </c>
      <c r="P10" s="26">
        <v>-5774.95</v>
      </c>
    </row>
    <row r="11" spans="1:16">
      <c r="A11" s="56">
        <v>2003</v>
      </c>
      <c r="B11" t="s">
        <v>260</v>
      </c>
      <c r="C11">
        <v>10045</v>
      </c>
      <c r="D11" s="26">
        <v>1851352.3</v>
      </c>
      <c r="E11" s="26">
        <v>0</v>
      </c>
      <c r="F11" s="26">
        <v>9200.0582307691948</v>
      </c>
      <c r="G11" s="26">
        <f t="shared" si="0"/>
        <v>1860552.3582307692</v>
      </c>
      <c r="H11" s="26">
        <v>211165</v>
      </c>
      <c r="I11" s="26">
        <v>0</v>
      </c>
      <c r="J11" s="26">
        <v>19243</v>
      </c>
      <c r="K11" s="26">
        <v>16480</v>
      </c>
      <c r="L11" s="26">
        <v>65629</v>
      </c>
      <c r="M11" s="26">
        <v>8596.75</v>
      </c>
      <c r="N11" s="26">
        <v>-581.63</v>
      </c>
      <c r="O11" s="26">
        <v>-3145.53</v>
      </c>
      <c r="P11" s="26">
        <v>-12943.939999999999</v>
      </c>
    </row>
    <row r="12" spans="1:16">
      <c r="A12" s="56">
        <v>3511</v>
      </c>
      <c r="B12" t="s">
        <v>389</v>
      </c>
      <c r="C12">
        <v>10115</v>
      </c>
      <c r="D12" s="26">
        <v>1949413.8199999996</v>
      </c>
      <c r="E12" s="26">
        <v>0</v>
      </c>
      <c r="F12" s="26">
        <v>1556.4759999999951</v>
      </c>
      <c r="G12" s="26">
        <f t="shared" si="0"/>
        <v>1950970.2959999996</v>
      </c>
      <c r="H12" s="26">
        <v>154295</v>
      </c>
      <c r="I12" s="26">
        <v>0</v>
      </c>
      <c r="J12" s="26">
        <v>7100</v>
      </c>
      <c r="K12" s="26">
        <v>18900</v>
      </c>
      <c r="L12" s="26">
        <v>70487</v>
      </c>
      <c r="M12" s="26">
        <v>0</v>
      </c>
      <c r="N12" s="26">
        <v>-621.35</v>
      </c>
      <c r="O12" s="26">
        <v>-3360.39</v>
      </c>
      <c r="P12" s="26">
        <v>-13080.68</v>
      </c>
    </row>
    <row r="13" spans="1:16">
      <c r="A13" s="56">
        <v>2008</v>
      </c>
      <c r="B13" t="s">
        <v>357</v>
      </c>
      <c r="C13">
        <v>10047</v>
      </c>
      <c r="D13" s="26">
        <v>1267390.8900000001</v>
      </c>
      <c r="E13" s="26">
        <v>0</v>
      </c>
      <c r="F13" s="26">
        <v>5254.5257582417271</v>
      </c>
      <c r="G13" s="26">
        <f t="shared" si="0"/>
        <v>1272645.4157582419</v>
      </c>
      <c r="H13" s="26">
        <v>58490</v>
      </c>
      <c r="I13" s="26">
        <v>0</v>
      </c>
      <c r="J13" s="26">
        <v>8792</v>
      </c>
      <c r="K13" s="26">
        <v>12560</v>
      </c>
      <c r="L13" s="26">
        <v>123075</v>
      </c>
      <c r="M13" s="26">
        <v>7471.75</v>
      </c>
      <c r="N13" s="26">
        <v>-427.48</v>
      </c>
      <c r="O13" s="26">
        <v>-2311.88</v>
      </c>
      <c r="P13" s="26">
        <v>-8578.36</v>
      </c>
    </row>
    <row r="14" spans="1:16">
      <c r="A14" s="56">
        <v>2007</v>
      </c>
      <c r="B14" t="s">
        <v>42</v>
      </c>
      <c r="C14">
        <v>10046</v>
      </c>
      <c r="D14" s="26">
        <v>1551781.9900000002</v>
      </c>
      <c r="E14" s="26">
        <v>0</v>
      </c>
      <c r="F14" s="26">
        <v>12887.66399999999</v>
      </c>
      <c r="G14" s="26">
        <f t="shared" si="0"/>
        <v>1564669.6540000001</v>
      </c>
      <c r="H14" s="26">
        <v>98210</v>
      </c>
      <c r="I14" s="26">
        <v>0</v>
      </c>
      <c r="J14" s="26">
        <v>2676</v>
      </c>
      <c r="K14" s="26">
        <v>16710</v>
      </c>
      <c r="L14" s="26">
        <v>24624</v>
      </c>
      <c r="M14" s="26">
        <v>8027.5</v>
      </c>
      <c r="N14" s="26">
        <v>-573.67999999999995</v>
      </c>
      <c r="O14" s="26">
        <v>-3102.56</v>
      </c>
      <c r="P14" s="26">
        <v>-11696.560000000001</v>
      </c>
    </row>
    <row r="15" spans="1:16">
      <c r="A15" s="56">
        <v>2009</v>
      </c>
      <c r="B15" t="s">
        <v>358</v>
      </c>
      <c r="C15">
        <v>10048</v>
      </c>
      <c r="D15" s="26">
        <v>2027185.54</v>
      </c>
      <c r="E15" s="26">
        <v>0</v>
      </c>
      <c r="F15" s="26">
        <v>14948.183999999996</v>
      </c>
      <c r="G15" s="26">
        <f t="shared" si="0"/>
        <v>2042133.7239999999</v>
      </c>
      <c r="H15" s="26">
        <v>116325</v>
      </c>
      <c r="I15" s="26">
        <v>0</v>
      </c>
      <c r="J15" s="26">
        <v>22132</v>
      </c>
      <c r="K15" s="26">
        <v>19530</v>
      </c>
      <c r="L15" s="26">
        <v>71190</v>
      </c>
      <c r="M15" s="26">
        <v>9012.0999999999985</v>
      </c>
      <c r="N15" s="26">
        <v>-664.26</v>
      </c>
      <c r="O15" s="26">
        <v>-3592.44</v>
      </c>
      <c r="P15" s="26">
        <v>-13592.82</v>
      </c>
    </row>
    <row r="16" spans="1:16">
      <c r="A16" s="56">
        <v>2067</v>
      </c>
      <c r="B16" t="s">
        <v>263</v>
      </c>
      <c r="C16">
        <v>10118</v>
      </c>
      <c r="D16" s="26">
        <v>1202121.3899999999</v>
      </c>
      <c r="E16" s="26">
        <v>0</v>
      </c>
      <c r="F16" s="26">
        <v>17947.490461538488</v>
      </c>
      <c r="G16" s="26">
        <f t="shared" si="0"/>
        <v>1220068.8804615384</v>
      </c>
      <c r="H16" s="26">
        <v>71285</v>
      </c>
      <c r="I16" s="26">
        <v>0</v>
      </c>
      <c r="J16" s="26">
        <v>7318</v>
      </c>
      <c r="K16" s="26">
        <v>11480</v>
      </c>
      <c r="L16" s="26">
        <v>54223</v>
      </c>
      <c r="M16" s="26">
        <v>6778.75</v>
      </c>
      <c r="N16" s="26">
        <v>-367.09</v>
      </c>
      <c r="O16" s="26">
        <v>-1985.29</v>
      </c>
      <c r="P16" s="26">
        <v>-7562.26</v>
      </c>
    </row>
    <row r="17" spans="1:16">
      <c r="A17" s="56">
        <v>3302</v>
      </c>
      <c r="B17" t="s">
        <v>371</v>
      </c>
      <c r="C17">
        <v>10050</v>
      </c>
      <c r="D17" s="26">
        <v>935774.77999999968</v>
      </c>
      <c r="E17" s="26">
        <v>0</v>
      </c>
      <c r="F17" s="26">
        <v>5113.4800000000178</v>
      </c>
      <c r="G17" s="26">
        <f t="shared" si="0"/>
        <v>940888.25999999966</v>
      </c>
      <c r="H17" s="26">
        <v>28900</v>
      </c>
      <c r="I17" s="26">
        <v>0</v>
      </c>
      <c r="J17" s="26">
        <v>5023</v>
      </c>
      <c r="K17" s="26">
        <v>9730</v>
      </c>
      <c r="L17" s="26">
        <v>59539</v>
      </c>
      <c r="M17" s="26">
        <v>0</v>
      </c>
      <c r="N17" s="26">
        <v>-335.31</v>
      </c>
      <c r="O17" s="26">
        <v>-5800.4100000000008</v>
      </c>
      <c r="P17" s="26">
        <v>-6594.2999999999993</v>
      </c>
    </row>
    <row r="18" spans="1:16">
      <c r="A18" s="56">
        <v>2011</v>
      </c>
      <c r="B18" t="s">
        <v>359</v>
      </c>
      <c r="C18">
        <v>10051</v>
      </c>
      <c r="D18" s="26">
        <v>978875.43999999983</v>
      </c>
      <c r="E18" s="26">
        <v>0</v>
      </c>
      <c r="F18" s="26">
        <v>2801.9736923076962</v>
      </c>
      <c r="G18" s="26">
        <f t="shared" si="0"/>
        <v>981677.41369230754</v>
      </c>
      <c r="H18" s="26">
        <v>49075</v>
      </c>
      <c r="I18" s="26">
        <v>0</v>
      </c>
      <c r="J18" s="26">
        <v>25000</v>
      </c>
      <c r="K18" s="26">
        <v>9760</v>
      </c>
      <c r="L18" s="26">
        <v>52671</v>
      </c>
      <c r="M18" s="26">
        <v>6340</v>
      </c>
      <c r="N18" s="26">
        <v>-330.54</v>
      </c>
      <c r="O18" s="26">
        <v>-1787.62</v>
      </c>
      <c r="P18" s="26">
        <v>-6661.7300000000005</v>
      </c>
    </row>
    <row r="19" spans="1:16">
      <c r="A19" s="56">
        <v>2014</v>
      </c>
      <c r="B19" t="s">
        <v>49</v>
      </c>
      <c r="C19">
        <v>10054</v>
      </c>
      <c r="D19" s="26">
        <v>3115210.0112087922</v>
      </c>
      <c r="E19" s="26">
        <v>0</v>
      </c>
      <c r="F19" s="26">
        <v>20629.440703296706</v>
      </c>
      <c r="G19" s="26">
        <f t="shared" si="0"/>
        <v>3135839.4519120888</v>
      </c>
      <c r="H19" s="26">
        <v>256895</v>
      </c>
      <c r="I19" s="26">
        <v>0</v>
      </c>
      <c r="J19" s="26">
        <v>9960</v>
      </c>
      <c r="K19" s="26">
        <v>30150</v>
      </c>
      <c r="L19" s="26">
        <v>128284</v>
      </c>
      <c r="M19" s="26">
        <v>11832.25</v>
      </c>
      <c r="N19" s="26">
        <v>-1001.16</v>
      </c>
      <c r="O19" s="26">
        <v>-5414.44</v>
      </c>
      <c r="P19" s="26">
        <v>-21492.870000000003</v>
      </c>
    </row>
    <row r="20" spans="1:16">
      <c r="A20" s="56">
        <v>2015</v>
      </c>
      <c r="B20" t="s">
        <v>360</v>
      </c>
      <c r="C20">
        <v>10055</v>
      </c>
      <c r="D20" s="26">
        <v>1249736.0000000002</v>
      </c>
      <c r="E20" s="26">
        <v>0</v>
      </c>
      <c r="F20" s="26">
        <v>25648.654116903599</v>
      </c>
      <c r="G20" s="26">
        <f t="shared" si="0"/>
        <v>1275384.6541169039</v>
      </c>
      <c r="H20" s="26">
        <v>103565</v>
      </c>
      <c r="I20" s="26">
        <v>0</v>
      </c>
      <c r="J20" s="26">
        <v>29734</v>
      </c>
      <c r="K20" s="26">
        <v>10740</v>
      </c>
      <c r="L20" s="26">
        <v>48629</v>
      </c>
      <c r="M20" s="26">
        <v>6992.5</v>
      </c>
      <c r="N20" s="26">
        <v>-333.72</v>
      </c>
      <c r="O20" s="26">
        <v>-1804.81</v>
      </c>
      <c r="P20" s="26">
        <v>-7183.24</v>
      </c>
    </row>
    <row r="21" spans="1:16">
      <c r="A21" s="56">
        <v>2016</v>
      </c>
      <c r="B21" t="s">
        <v>52</v>
      </c>
      <c r="C21">
        <v>10056</v>
      </c>
      <c r="D21" s="26">
        <v>990298.83</v>
      </c>
      <c r="E21" s="26">
        <v>0</v>
      </c>
      <c r="F21" s="26">
        <v>3912.9606153846034</v>
      </c>
      <c r="G21" s="26">
        <f t="shared" si="0"/>
        <v>994211.79061538458</v>
      </c>
      <c r="H21" s="26">
        <v>28245</v>
      </c>
      <c r="I21" s="26">
        <v>0</v>
      </c>
      <c r="J21" s="26">
        <v>6684</v>
      </c>
      <c r="K21" s="26">
        <v>9800</v>
      </c>
      <c r="L21" s="26">
        <v>56653</v>
      </c>
      <c r="M21" s="26">
        <v>6351.25</v>
      </c>
      <c r="N21" s="26">
        <v>-335.31</v>
      </c>
      <c r="O21" s="26">
        <v>-1813.41</v>
      </c>
      <c r="P21" s="26">
        <v>-6595.45</v>
      </c>
    </row>
    <row r="22" spans="1:16">
      <c r="A22" s="56">
        <v>2017</v>
      </c>
      <c r="B22" t="s">
        <v>268</v>
      </c>
      <c r="C22">
        <v>10057</v>
      </c>
      <c r="D22" s="26">
        <v>1862907.5899999999</v>
      </c>
      <c r="E22" s="26">
        <v>0</v>
      </c>
      <c r="F22" s="26">
        <v>3370.3290769230662</v>
      </c>
      <c r="G22" s="26">
        <f t="shared" si="0"/>
        <v>1866277.9190769228</v>
      </c>
      <c r="H22" s="26">
        <v>145260</v>
      </c>
      <c r="I22" s="26">
        <v>0</v>
      </c>
      <c r="J22" s="26">
        <v>5916</v>
      </c>
      <c r="K22" s="26">
        <v>18760</v>
      </c>
      <c r="L22" s="26">
        <v>82317</v>
      </c>
      <c r="M22" s="26">
        <v>8702.5</v>
      </c>
      <c r="N22" s="26">
        <v>-654.73</v>
      </c>
      <c r="O22" s="26">
        <v>-3540.87</v>
      </c>
      <c r="P22" s="26">
        <v>-13650.32</v>
      </c>
    </row>
    <row r="23" spans="1:16">
      <c r="A23" s="56">
        <v>2073</v>
      </c>
      <c r="B23" t="s">
        <v>369</v>
      </c>
      <c r="C23">
        <v>10083</v>
      </c>
      <c r="D23" s="26">
        <v>2826268.2699999996</v>
      </c>
      <c r="E23" s="26">
        <v>0</v>
      </c>
      <c r="F23" s="26">
        <v>22291.055076923018</v>
      </c>
      <c r="G23" s="26">
        <f t="shared" si="0"/>
        <v>2848559.3250769228</v>
      </c>
      <c r="H23" s="26">
        <v>236030</v>
      </c>
      <c r="I23" s="26">
        <v>0</v>
      </c>
      <c r="J23" s="26">
        <v>46075</v>
      </c>
      <c r="K23" s="26">
        <v>29010</v>
      </c>
      <c r="L23" s="26">
        <v>119286</v>
      </c>
      <c r="M23" s="26">
        <v>11087.5</v>
      </c>
      <c r="N23" s="26">
        <v>-1002.75</v>
      </c>
      <c r="O23" s="26">
        <v>-5423.03</v>
      </c>
      <c r="P23" s="26">
        <v>-20993.77</v>
      </c>
    </row>
    <row r="24" spans="1:16">
      <c r="A24" s="56">
        <v>2019</v>
      </c>
      <c r="B24" t="s">
        <v>55</v>
      </c>
      <c r="C24">
        <v>10059</v>
      </c>
      <c r="D24" s="26">
        <v>1229049.8899999999</v>
      </c>
      <c r="E24" s="26">
        <v>0</v>
      </c>
      <c r="F24" s="26">
        <v>19187.897142857135</v>
      </c>
      <c r="G24" s="26">
        <f t="shared" si="0"/>
        <v>1248237.787142857</v>
      </c>
      <c r="H24" s="26">
        <v>67250</v>
      </c>
      <c r="I24" s="26">
        <v>0</v>
      </c>
      <c r="J24" s="26">
        <v>6995</v>
      </c>
      <c r="K24" s="26">
        <v>9940</v>
      </c>
      <c r="L24" s="26">
        <v>88939</v>
      </c>
      <c r="M24" s="26">
        <v>7244.5</v>
      </c>
      <c r="N24" s="26">
        <v>-376.63</v>
      </c>
      <c r="O24" s="26">
        <v>-2036.86</v>
      </c>
      <c r="P24" s="26">
        <v>-7671.3600000000006</v>
      </c>
    </row>
    <row r="25" spans="1:16">
      <c r="A25" s="56">
        <v>2021</v>
      </c>
      <c r="B25" t="s">
        <v>474</v>
      </c>
      <c r="C25">
        <v>10061</v>
      </c>
      <c r="D25" s="26">
        <v>2557145.6</v>
      </c>
      <c r="E25" s="26">
        <v>0</v>
      </c>
      <c r="F25" s="26">
        <v>5034.9507692307234</v>
      </c>
      <c r="G25" s="26">
        <f t="shared" si="0"/>
        <v>2562180.5507692308</v>
      </c>
      <c r="H25" s="26">
        <v>195050</v>
      </c>
      <c r="I25" s="26">
        <v>0</v>
      </c>
      <c r="J25" s="26">
        <v>1555</v>
      </c>
      <c r="K25" s="26">
        <v>20680</v>
      </c>
      <c r="L25" s="26">
        <v>87067</v>
      </c>
      <c r="M25" s="26">
        <v>10414.75</v>
      </c>
      <c r="N25" s="26">
        <v>-772.32</v>
      </c>
      <c r="O25" s="26">
        <v>-4176.8500000000004</v>
      </c>
      <c r="P25" s="26">
        <v>-16479.52</v>
      </c>
    </row>
    <row r="26" spans="1:16">
      <c r="A26" s="56">
        <v>2023</v>
      </c>
      <c r="B26" t="s">
        <v>412</v>
      </c>
      <c r="C26">
        <v>10063</v>
      </c>
      <c r="D26" s="26">
        <v>2557659.79</v>
      </c>
      <c r="E26" s="26">
        <v>0</v>
      </c>
      <c r="F26" s="26">
        <v>14485.153802197823</v>
      </c>
      <c r="G26" s="26">
        <f t="shared" si="0"/>
        <v>2572144.9438021979</v>
      </c>
      <c r="H26" s="26">
        <v>243100</v>
      </c>
      <c r="I26" s="26">
        <v>0</v>
      </c>
      <c r="J26" s="26">
        <v>28694</v>
      </c>
      <c r="K26" s="26">
        <v>23410</v>
      </c>
      <c r="L26" s="26">
        <v>100128</v>
      </c>
      <c r="M26" s="26">
        <v>10945.75</v>
      </c>
      <c r="N26" s="26">
        <v>-842.24</v>
      </c>
      <c r="O26" s="26">
        <v>-4555.01</v>
      </c>
      <c r="P26" s="26">
        <v>-17905.32</v>
      </c>
    </row>
    <row r="27" spans="1:16">
      <c r="A27" s="56">
        <v>2024</v>
      </c>
      <c r="B27" t="s">
        <v>362</v>
      </c>
      <c r="C27">
        <v>10064</v>
      </c>
      <c r="D27" s="26">
        <v>1082032.5899999999</v>
      </c>
      <c r="E27" s="26">
        <v>0</v>
      </c>
      <c r="F27" s="26">
        <v>7890.2705714285567</v>
      </c>
      <c r="G27" s="26">
        <f t="shared" si="0"/>
        <v>1089922.8605714284</v>
      </c>
      <c r="H27" s="26">
        <v>98167.5</v>
      </c>
      <c r="I27" s="26">
        <v>0</v>
      </c>
      <c r="J27" s="26">
        <v>3982</v>
      </c>
      <c r="K27" s="26">
        <v>9170</v>
      </c>
      <c r="L27" s="26">
        <v>50511</v>
      </c>
      <c r="M27" s="26">
        <v>7299.0599999999995</v>
      </c>
      <c r="N27" s="26">
        <v>-324.18</v>
      </c>
      <c r="O27" s="26">
        <v>-1753.25</v>
      </c>
      <c r="P27" s="26">
        <v>-6939.05</v>
      </c>
    </row>
    <row r="28" spans="1:16">
      <c r="A28" s="56">
        <v>2025</v>
      </c>
      <c r="B28" t="s">
        <v>363</v>
      </c>
      <c r="C28">
        <v>10065</v>
      </c>
      <c r="D28" s="26">
        <v>1335886.3700000003</v>
      </c>
      <c r="E28" s="26">
        <v>0</v>
      </c>
      <c r="F28" s="26">
        <v>5177.4393846153835</v>
      </c>
      <c r="G28" s="26">
        <f t="shared" si="0"/>
        <v>1341063.8093846156</v>
      </c>
      <c r="H28" s="26">
        <v>19795</v>
      </c>
      <c r="I28" s="26">
        <v>0</v>
      </c>
      <c r="J28" s="26">
        <v>14502</v>
      </c>
      <c r="K28" s="26">
        <v>14840</v>
      </c>
      <c r="L28" s="26">
        <v>75445</v>
      </c>
      <c r="M28" s="26">
        <v>7521.25</v>
      </c>
      <c r="N28" s="26">
        <v>-498.99</v>
      </c>
      <c r="O28" s="26">
        <v>-2698.63</v>
      </c>
      <c r="P28" s="26">
        <v>-9559.3799999999992</v>
      </c>
    </row>
    <row r="29" spans="1:16">
      <c r="A29" s="56">
        <v>2026</v>
      </c>
      <c r="B29" t="s">
        <v>63</v>
      </c>
      <c r="C29">
        <v>10066</v>
      </c>
      <c r="D29" s="26">
        <v>2442909.3899999997</v>
      </c>
      <c r="E29" s="26">
        <v>0</v>
      </c>
      <c r="F29" s="26">
        <v>5223.9899999999852</v>
      </c>
      <c r="G29" s="26">
        <f t="shared" si="0"/>
        <v>2448133.3799999994</v>
      </c>
      <c r="H29" s="26">
        <v>104960</v>
      </c>
      <c r="I29" s="26">
        <v>0</v>
      </c>
      <c r="J29" s="26">
        <v>6383</v>
      </c>
      <c r="K29" s="26">
        <v>23200</v>
      </c>
      <c r="L29" s="26">
        <v>96365</v>
      </c>
      <c r="M29" s="26">
        <v>10527.25</v>
      </c>
      <c r="N29" s="26">
        <v>-869.26</v>
      </c>
      <c r="O29" s="26">
        <v>-4701.1099999999997</v>
      </c>
      <c r="P29" s="26">
        <v>-17503.47</v>
      </c>
    </row>
    <row r="30" spans="1:16">
      <c r="A30" s="56">
        <v>2028</v>
      </c>
      <c r="B30" t="s">
        <v>64</v>
      </c>
      <c r="C30">
        <v>10068</v>
      </c>
      <c r="D30" s="26">
        <v>1198581.72</v>
      </c>
      <c r="E30" s="26">
        <v>0</v>
      </c>
      <c r="F30" s="26">
        <v>5660.9106153846151</v>
      </c>
      <c r="G30" s="26">
        <f t="shared" si="0"/>
        <v>1204242.6306153846</v>
      </c>
      <c r="H30" s="26">
        <v>50420</v>
      </c>
      <c r="I30" s="26">
        <v>0</v>
      </c>
      <c r="J30" s="26">
        <v>0</v>
      </c>
      <c r="K30" s="26">
        <v>10880</v>
      </c>
      <c r="L30" s="26">
        <v>105669</v>
      </c>
      <c r="M30" s="26">
        <v>6880</v>
      </c>
      <c r="N30" s="26">
        <v>-387.75</v>
      </c>
      <c r="O30" s="26">
        <v>-2097.02</v>
      </c>
      <c r="P30" s="26">
        <v>-7748.98</v>
      </c>
    </row>
    <row r="31" spans="1:16">
      <c r="A31" s="56">
        <v>2027</v>
      </c>
      <c r="B31" t="s">
        <v>364</v>
      </c>
      <c r="C31">
        <v>10067</v>
      </c>
      <c r="D31" s="26">
        <v>1556911.07</v>
      </c>
      <c r="E31" s="26">
        <v>0</v>
      </c>
      <c r="F31" s="26">
        <v>2795.7147692307553</v>
      </c>
      <c r="G31" s="26">
        <f t="shared" si="0"/>
        <v>1559706.7847692308</v>
      </c>
      <c r="H31" s="26">
        <v>86070</v>
      </c>
      <c r="I31" s="26">
        <v>0</v>
      </c>
      <c r="J31" s="26">
        <v>0</v>
      </c>
      <c r="K31" s="26">
        <v>16380</v>
      </c>
      <c r="L31" s="26">
        <v>25396</v>
      </c>
      <c r="M31" s="26">
        <v>7982.5</v>
      </c>
      <c r="N31" s="26">
        <v>-553.02</v>
      </c>
      <c r="O31" s="26">
        <v>-2990.83</v>
      </c>
      <c r="P31" s="26">
        <v>-11250.849999999999</v>
      </c>
    </row>
    <row r="32" spans="1:16">
      <c r="A32" s="56">
        <v>2029</v>
      </c>
      <c r="B32" t="s">
        <v>271</v>
      </c>
      <c r="C32">
        <v>10069</v>
      </c>
      <c r="D32" s="26">
        <v>2225340.5199999996</v>
      </c>
      <c r="E32" s="26">
        <v>0</v>
      </c>
      <c r="F32" s="26">
        <v>33144.116857142828</v>
      </c>
      <c r="G32" s="26">
        <f t="shared" si="0"/>
        <v>2258484.6368571422</v>
      </c>
      <c r="H32" s="26">
        <v>228330</v>
      </c>
      <c r="I32" s="26">
        <v>0</v>
      </c>
      <c r="J32" s="26">
        <v>1590</v>
      </c>
      <c r="K32" s="26">
        <v>19320</v>
      </c>
      <c r="L32" s="26">
        <v>69700</v>
      </c>
      <c r="M32" s="26">
        <v>9199.7500000000018</v>
      </c>
      <c r="N32" s="26">
        <v>-665.85</v>
      </c>
      <c r="O32" s="26">
        <v>-3601.03</v>
      </c>
      <c r="P32" s="26">
        <v>-14723.15</v>
      </c>
    </row>
    <row r="33" spans="1:16">
      <c r="A33" s="56">
        <v>3516</v>
      </c>
      <c r="B33" t="s">
        <v>68</v>
      </c>
      <c r="C33">
        <v>10121</v>
      </c>
      <c r="D33" s="26">
        <v>922731.94000000006</v>
      </c>
      <c r="E33" s="26">
        <v>0</v>
      </c>
      <c r="F33" s="26">
        <v>7454.9500000000044</v>
      </c>
      <c r="G33" s="26">
        <f t="shared" si="0"/>
        <v>930186.89</v>
      </c>
      <c r="H33" s="26">
        <v>22890</v>
      </c>
      <c r="I33" s="26">
        <v>0</v>
      </c>
      <c r="J33" s="26">
        <v>184</v>
      </c>
      <c r="K33" s="26">
        <v>9500</v>
      </c>
      <c r="L33" s="26">
        <v>50847</v>
      </c>
      <c r="M33" s="26">
        <v>0</v>
      </c>
      <c r="N33" s="26">
        <v>-324.18</v>
      </c>
      <c r="O33" s="26">
        <v>-1753.25</v>
      </c>
      <c r="P33" s="26">
        <v>-6342.46</v>
      </c>
    </row>
    <row r="34" spans="1:16">
      <c r="A34" s="56">
        <v>2031</v>
      </c>
      <c r="B34" t="s">
        <v>366</v>
      </c>
      <c r="C34">
        <v>10071</v>
      </c>
      <c r="D34" s="26">
        <v>1042048.89</v>
      </c>
      <c r="E34" s="26">
        <v>0</v>
      </c>
      <c r="F34" s="26">
        <v>1054.5782857142867</v>
      </c>
      <c r="G34" s="26">
        <f t="shared" si="0"/>
        <v>1043103.4682857143</v>
      </c>
      <c r="H34" s="26">
        <v>79355</v>
      </c>
      <c r="I34" s="26">
        <v>0</v>
      </c>
      <c r="J34" s="26">
        <v>5479</v>
      </c>
      <c r="K34" s="26">
        <v>8680</v>
      </c>
      <c r="L34" s="26">
        <v>45251</v>
      </c>
      <c r="M34" s="26">
        <v>6320.65</v>
      </c>
      <c r="N34" s="26">
        <v>-290.81</v>
      </c>
      <c r="O34" s="26">
        <v>-1572.77</v>
      </c>
      <c r="P34" s="26">
        <v>-6293.2699999999995</v>
      </c>
    </row>
    <row r="35" spans="1:16">
      <c r="A35" s="56">
        <v>2032</v>
      </c>
      <c r="B35" t="s">
        <v>70</v>
      </c>
      <c r="C35">
        <v>10072</v>
      </c>
      <c r="D35" s="26">
        <v>1982945.5900000005</v>
      </c>
      <c r="E35" s="26">
        <v>0</v>
      </c>
      <c r="F35" s="26">
        <v>17468.007714285726</v>
      </c>
      <c r="G35" s="26">
        <f t="shared" si="0"/>
        <v>2000413.5977142863</v>
      </c>
      <c r="H35" s="26">
        <v>116325</v>
      </c>
      <c r="I35" s="26">
        <v>0</v>
      </c>
      <c r="J35" s="26">
        <v>16304</v>
      </c>
      <c r="K35" s="26">
        <v>20440</v>
      </c>
      <c r="L35" s="26">
        <v>100736</v>
      </c>
      <c r="M35" s="26">
        <v>9906.25</v>
      </c>
      <c r="N35" s="26">
        <v>-696.04</v>
      </c>
      <c r="O35" s="26">
        <v>-3764.32</v>
      </c>
      <c r="P35" s="26">
        <v>-14292.82</v>
      </c>
    </row>
    <row r="36" spans="1:16">
      <c r="A36" s="56">
        <v>3304</v>
      </c>
      <c r="B36" t="s">
        <v>372</v>
      </c>
      <c r="C36">
        <v>10073</v>
      </c>
      <c r="D36" s="26">
        <v>1111557.96</v>
      </c>
      <c r="E36" s="26">
        <v>0</v>
      </c>
      <c r="F36" s="26">
        <v>6981.0458021977893</v>
      </c>
      <c r="G36" s="26">
        <f t="shared" si="0"/>
        <v>1118539.0058021978</v>
      </c>
      <c r="H36" s="26">
        <v>93115</v>
      </c>
      <c r="I36" s="26">
        <v>0</v>
      </c>
      <c r="J36" s="26">
        <v>12160</v>
      </c>
      <c r="K36" s="26">
        <v>9290</v>
      </c>
      <c r="L36" s="26">
        <v>45899</v>
      </c>
      <c r="M36" s="26">
        <v>0</v>
      </c>
      <c r="N36" s="26">
        <v>-368.68</v>
      </c>
      <c r="O36" s="26">
        <v>-6511.89</v>
      </c>
      <c r="P36" s="26">
        <v>-7679.1200000000008</v>
      </c>
    </row>
    <row r="37" spans="1:16">
      <c r="A37" s="56">
        <v>2036</v>
      </c>
      <c r="B37" t="s">
        <v>72</v>
      </c>
      <c r="C37">
        <v>10074</v>
      </c>
      <c r="D37" s="26">
        <v>1770170.5799999998</v>
      </c>
      <c r="E37" s="26">
        <v>0</v>
      </c>
      <c r="F37" s="26">
        <v>20816.1365714286</v>
      </c>
      <c r="G37" s="26">
        <f t="shared" si="0"/>
        <v>1790986.7165714283</v>
      </c>
      <c r="H37" s="26">
        <v>168125</v>
      </c>
      <c r="I37" s="26">
        <v>0</v>
      </c>
      <c r="J37" s="26">
        <v>0</v>
      </c>
      <c r="K37" s="26">
        <v>12230</v>
      </c>
      <c r="L37" s="26">
        <v>41234</v>
      </c>
      <c r="M37" s="26">
        <v>7294</v>
      </c>
      <c r="N37" s="26">
        <v>-438.6</v>
      </c>
      <c r="O37" s="26">
        <v>-2372.04</v>
      </c>
      <c r="P37" s="26">
        <v>-9802.64</v>
      </c>
    </row>
    <row r="38" spans="1:16">
      <c r="A38" s="56">
        <v>2037</v>
      </c>
      <c r="B38" t="s">
        <v>275</v>
      </c>
      <c r="C38">
        <v>10075</v>
      </c>
      <c r="D38" s="26">
        <v>1303288.48</v>
      </c>
      <c r="E38" s="26">
        <v>0</v>
      </c>
      <c r="F38" s="26">
        <v>4531.1803076922952</v>
      </c>
      <c r="G38" s="26">
        <f t="shared" si="0"/>
        <v>1307819.6603076924</v>
      </c>
      <c r="H38" s="26">
        <v>49765</v>
      </c>
      <c r="I38" s="26">
        <v>0</v>
      </c>
      <c r="J38" s="26">
        <v>7032</v>
      </c>
      <c r="K38" s="26">
        <v>12370</v>
      </c>
      <c r="L38" s="26">
        <v>52304</v>
      </c>
      <c r="M38" s="26">
        <v>7179.25</v>
      </c>
      <c r="N38" s="26">
        <v>-421.12</v>
      </c>
      <c r="O38" s="26">
        <v>-2277.5</v>
      </c>
      <c r="P38" s="26">
        <v>-8357.14</v>
      </c>
    </row>
    <row r="39" spans="1:16">
      <c r="A39" s="56">
        <v>3523</v>
      </c>
      <c r="B39" t="s">
        <v>276</v>
      </c>
      <c r="C39">
        <v>11093</v>
      </c>
      <c r="D39" s="26">
        <v>2832029.95</v>
      </c>
      <c r="E39" s="26">
        <v>0</v>
      </c>
      <c r="F39" s="26">
        <v>11598.995076923049</v>
      </c>
      <c r="G39" s="26">
        <f t="shared" si="0"/>
        <v>2843628.9450769234</v>
      </c>
      <c r="H39" s="26">
        <v>161710</v>
      </c>
      <c r="I39" s="26">
        <v>0</v>
      </c>
      <c r="J39" s="26">
        <v>17550</v>
      </c>
      <c r="K39" s="26">
        <v>28980</v>
      </c>
      <c r="L39" s="26">
        <v>109777</v>
      </c>
      <c r="M39" s="26">
        <v>11611.75</v>
      </c>
      <c r="N39" s="26">
        <v>-983.68</v>
      </c>
      <c r="O39" s="26">
        <v>-5319.9</v>
      </c>
      <c r="P39" s="26">
        <v>-19946.84</v>
      </c>
    </row>
    <row r="40" spans="1:16">
      <c r="A40" s="56">
        <v>5948</v>
      </c>
      <c r="B40" t="s">
        <v>403</v>
      </c>
      <c r="C40">
        <v>10125</v>
      </c>
      <c r="D40" s="26">
        <v>894265.03999999992</v>
      </c>
      <c r="E40" s="26">
        <v>0</v>
      </c>
      <c r="F40" s="26">
        <v>2147.590307692295</v>
      </c>
      <c r="G40" s="26">
        <f t="shared" si="0"/>
        <v>896412.63030769222</v>
      </c>
      <c r="H40" s="26">
        <v>12105</v>
      </c>
      <c r="I40" s="26">
        <v>0</v>
      </c>
      <c r="J40" s="26">
        <v>0</v>
      </c>
      <c r="K40" s="26">
        <v>9760</v>
      </c>
      <c r="L40" s="26">
        <v>53602</v>
      </c>
      <c r="M40" s="26">
        <v>0</v>
      </c>
      <c r="N40" s="26">
        <v>-324.18</v>
      </c>
      <c r="O40" s="26">
        <v>-1753.25</v>
      </c>
      <c r="P40" s="26">
        <v>-6247.1399999999994</v>
      </c>
    </row>
    <row r="41" spans="1:16">
      <c r="A41" s="56">
        <v>5949</v>
      </c>
      <c r="B41" t="s">
        <v>76</v>
      </c>
      <c r="C41">
        <v>10126</v>
      </c>
      <c r="D41" s="26">
        <v>1659621.2400000002</v>
      </c>
      <c r="E41" s="26">
        <v>0</v>
      </c>
      <c r="F41" s="26">
        <v>1524.6364696356322</v>
      </c>
      <c r="G41" s="26">
        <f t="shared" si="0"/>
        <v>1661145.8764696359</v>
      </c>
      <c r="H41" s="26">
        <v>26900</v>
      </c>
      <c r="I41" s="26">
        <v>0</v>
      </c>
      <c r="J41" s="26">
        <v>0</v>
      </c>
      <c r="K41" s="26">
        <v>17690</v>
      </c>
      <c r="L41" s="26">
        <v>89775</v>
      </c>
      <c r="M41" s="26">
        <v>0</v>
      </c>
      <c r="N41" s="26">
        <v>-632.48</v>
      </c>
      <c r="O41" s="26">
        <v>-3420.55</v>
      </c>
      <c r="P41" s="26">
        <v>-12204.189999999999</v>
      </c>
    </row>
    <row r="42" spans="1:16">
      <c r="A42" s="56">
        <v>3513</v>
      </c>
      <c r="B42" t="s">
        <v>77</v>
      </c>
      <c r="C42">
        <v>10114</v>
      </c>
      <c r="D42" s="26">
        <v>1540876.7000000002</v>
      </c>
      <c r="E42" s="26">
        <v>0</v>
      </c>
      <c r="F42" s="26">
        <v>8205.6373846153729</v>
      </c>
      <c r="G42" s="26">
        <f t="shared" si="0"/>
        <v>1549082.3373846156</v>
      </c>
      <c r="H42" s="26">
        <v>21520</v>
      </c>
      <c r="I42" s="26">
        <v>0</v>
      </c>
      <c r="J42" s="26">
        <v>20779</v>
      </c>
      <c r="K42" s="26">
        <v>17740</v>
      </c>
      <c r="L42" s="26">
        <v>80176</v>
      </c>
      <c r="M42" s="26">
        <v>0</v>
      </c>
      <c r="N42" s="26">
        <v>-600.69000000000005</v>
      </c>
      <c r="O42" s="26">
        <v>-3248.66</v>
      </c>
      <c r="P42" s="26">
        <v>-11626.449999999999</v>
      </c>
    </row>
    <row r="43" spans="1:16">
      <c r="A43" s="56">
        <v>3305</v>
      </c>
      <c r="B43" t="s">
        <v>373</v>
      </c>
      <c r="C43">
        <v>10078</v>
      </c>
      <c r="D43" s="26">
        <v>667709.43000000005</v>
      </c>
      <c r="E43" s="26">
        <v>0</v>
      </c>
      <c r="F43" s="26">
        <v>3318.1692307692247</v>
      </c>
      <c r="G43" s="26">
        <f t="shared" si="0"/>
        <v>671027.59923076932</v>
      </c>
      <c r="H43" s="26">
        <v>23520</v>
      </c>
      <c r="I43" s="26">
        <v>0</v>
      </c>
      <c r="J43" s="26">
        <v>16500</v>
      </c>
      <c r="K43" s="26">
        <v>7000</v>
      </c>
      <c r="L43" s="26">
        <v>39965</v>
      </c>
      <c r="M43" s="26">
        <v>0</v>
      </c>
      <c r="N43" s="26">
        <v>-225.66</v>
      </c>
      <c r="O43" s="26">
        <v>-1220.4000000000001</v>
      </c>
      <c r="P43" s="26">
        <v>-4379.57</v>
      </c>
    </row>
    <row r="44" spans="1:16">
      <c r="A44" s="56">
        <v>2042</v>
      </c>
      <c r="B44" t="s">
        <v>79</v>
      </c>
      <c r="C44">
        <v>10079</v>
      </c>
      <c r="D44" s="26">
        <v>1761328.6100000003</v>
      </c>
      <c r="E44" s="26">
        <v>0</v>
      </c>
      <c r="F44" s="26">
        <v>7112.2910769230512</v>
      </c>
      <c r="G44" s="26">
        <f t="shared" si="0"/>
        <v>1768440.9010769234</v>
      </c>
      <c r="H44" s="26">
        <v>50420</v>
      </c>
      <c r="I44" s="26">
        <v>0</v>
      </c>
      <c r="J44" s="26">
        <v>0</v>
      </c>
      <c r="K44" s="26">
        <v>19840</v>
      </c>
      <c r="L44" s="26">
        <v>88511</v>
      </c>
      <c r="M44" s="26">
        <v>8050</v>
      </c>
      <c r="N44" s="26">
        <v>-624.53</v>
      </c>
      <c r="O44" s="26">
        <v>-3377.58</v>
      </c>
      <c r="P44" s="26">
        <v>-12356.630000000001</v>
      </c>
    </row>
    <row r="45" spans="1:16">
      <c r="A45" s="56">
        <v>2044</v>
      </c>
      <c r="B45" t="s">
        <v>80</v>
      </c>
      <c r="C45">
        <v>10081</v>
      </c>
      <c r="D45" s="26">
        <v>1612384.1199999996</v>
      </c>
      <c r="E45" s="26">
        <v>0</v>
      </c>
      <c r="F45" s="26">
        <v>-858.13199999999779</v>
      </c>
      <c r="G45" s="26">
        <f t="shared" si="0"/>
        <v>1611525.9879999997</v>
      </c>
      <c r="H45" s="26">
        <v>62525</v>
      </c>
      <c r="I45" s="26">
        <v>0</v>
      </c>
      <c r="J45" s="26">
        <v>12457</v>
      </c>
      <c r="K45" s="26">
        <v>16380</v>
      </c>
      <c r="L45" s="26">
        <v>143383</v>
      </c>
      <c r="M45" s="26">
        <v>8050</v>
      </c>
      <c r="N45" s="26">
        <v>-556.20000000000005</v>
      </c>
      <c r="O45" s="26">
        <v>-3008.02</v>
      </c>
      <c r="P45" s="26">
        <v>-11026.71</v>
      </c>
    </row>
    <row r="46" spans="1:16">
      <c r="A46" s="56">
        <v>2043</v>
      </c>
      <c r="B46" t="s">
        <v>81</v>
      </c>
      <c r="C46">
        <v>10080</v>
      </c>
      <c r="D46" s="26">
        <v>1963600.7400000002</v>
      </c>
      <c r="E46" s="26">
        <v>0</v>
      </c>
      <c r="F46" s="26">
        <v>7270.0870769231406</v>
      </c>
      <c r="G46" s="26">
        <f t="shared" si="0"/>
        <v>1970870.8270769233</v>
      </c>
      <c r="H46" s="26">
        <v>122730</v>
      </c>
      <c r="I46" s="26">
        <v>0</v>
      </c>
      <c r="J46" s="26">
        <v>23796</v>
      </c>
      <c r="K46" s="26">
        <v>20860</v>
      </c>
      <c r="L46" s="26">
        <v>27415</v>
      </c>
      <c r="M46" s="26">
        <v>9332.5</v>
      </c>
      <c r="N46" s="26">
        <v>-732.59</v>
      </c>
      <c r="O46" s="26">
        <v>-3961.99</v>
      </c>
      <c r="P46" s="26">
        <v>-15054.39</v>
      </c>
    </row>
    <row r="47" spans="1:16">
      <c r="A47" s="56">
        <v>2053</v>
      </c>
      <c r="B47" t="s">
        <v>443</v>
      </c>
      <c r="C47">
        <v>10113</v>
      </c>
      <c r="D47" s="26">
        <v>795021.94000000006</v>
      </c>
      <c r="E47" s="26">
        <v>0</v>
      </c>
      <c r="F47" s="26">
        <v>2003.9016923076906</v>
      </c>
      <c r="G47" s="26">
        <f t="shared" si="0"/>
        <v>797025.84169230773</v>
      </c>
      <c r="H47" s="26">
        <v>1345</v>
      </c>
      <c r="I47" s="26">
        <v>0</v>
      </c>
      <c r="J47" s="26">
        <v>0</v>
      </c>
      <c r="K47" s="26">
        <v>9200</v>
      </c>
      <c r="L47" s="26">
        <v>60939</v>
      </c>
      <c r="M47" s="26">
        <v>0</v>
      </c>
      <c r="N47" s="26">
        <v>-273.33</v>
      </c>
      <c r="O47" s="26">
        <v>-1478.23</v>
      </c>
      <c r="P47" s="26">
        <v>-5180.21</v>
      </c>
    </row>
    <row r="48" spans="1:16">
      <c r="A48" s="56">
        <v>2045</v>
      </c>
      <c r="B48" t="s">
        <v>82</v>
      </c>
      <c r="C48">
        <v>10082</v>
      </c>
      <c r="D48" s="26">
        <v>1257271.45</v>
      </c>
      <c r="E48" s="26">
        <v>0</v>
      </c>
      <c r="F48" s="26">
        <v>2551.0460000000012</v>
      </c>
      <c r="G48" s="26">
        <f t="shared" si="0"/>
        <v>1259822.496</v>
      </c>
      <c r="H48" s="26">
        <v>76320</v>
      </c>
      <c r="I48" s="26">
        <v>0</v>
      </c>
      <c r="J48" s="26">
        <v>9323</v>
      </c>
      <c r="K48" s="26">
        <v>9850</v>
      </c>
      <c r="L48" s="26">
        <v>50593</v>
      </c>
      <c r="M48" s="26">
        <v>7051</v>
      </c>
      <c r="N48" s="26">
        <v>-379.8</v>
      </c>
      <c r="O48" s="26">
        <v>-2054.0500000000002</v>
      </c>
      <c r="P48" s="26">
        <v>-7944.15</v>
      </c>
    </row>
    <row r="49" spans="1:16">
      <c r="A49" s="56">
        <v>2077</v>
      </c>
      <c r="B49" t="s">
        <v>454</v>
      </c>
      <c r="C49">
        <v>10127</v>
      </c>
      <c r="D49" s="26">
        <v>4974120.4999999991</v>
      </c>
      <c r="E49" s="26">
        <v>0</v>
      </c>
      <c r="F49" s="26">
        <v>163436.41428571442</v>
      </c>
      <c r="G49" s="26">
        <f t="shared" si="0"/>
        <v>5137556.9142857138</v>
      </c>
      <c r="H49" s="26">
        <v>581090</v>
      </c>
      <c r="I49" s="26">
        <v>0</v>
      </c>
      <c r="J49" s="26">
        <v>17548</v>
      </c>
      <c r="K49" s="26">
        <v>42380</v>
      </c>
      <c r="L49" s="26">
        <v>159583</v>
      </c>
      <c r="M49" s="26">
        <v>14484.999999999998</v>
      </c>
      <c r="N49" s="26">
        <v>-1385.73</v>
      </c>
      <c r="O49" s="26">
        <v>-7494.27</v>
      </c>
      <c r="P49" s="26">
        <v>-31416.629999999997</v>
      </c>
    </row>
    <row r="50" spans="1:16">
      <c r="A50" s="56">
        <v>5201</v>
      </c>
      <c r="B50" t="s">
        <v>281</v>
      </c>
      <c r="C50">
        <v>10084</v>
      </c>
      <c r="D50" s="26">
        <v>1761702.5699999998</v>
      </c>
      <c r="E50" s="26">
        <v>0</v>
      </c>
      <c r="F50" s="26">
        <v>5509.8899999999994</v>
      </c>
      <c r="G50" s="26">
        <f t="shared" si="0"/>
        <v>1767212.4599999997</v>
      </c>
      <c r="H50" s="26">
        <v>100185</v>
      </c>
      <c r="I50" s="26">
        <v>0</v>
      </c>
      <c r="J50" s="26">
        <v>5486</v>
      </c>
      <c r="K50" s="26">
        <v>18390</v>
      </c>
      <c r="L50" s="26">
        <v>74597</v>
      </c>
      <c r="M50" s="26">
        <v>8387.5</v>
      </c>
      <c r="N50" s="26">
        <v>-616.59</v>
      </c>
      <c r="O50" s="26">
        <v>-3334.61</v>
      </c>
      <c r="P50" s="26">
        <v>-12498.689999999999</v>
      </c>
    </row>
    <row r="51" spans="1:16">
      <c r="A51" s="56">
        <v>3501</v>
      </c>
      <c r="B51" t="s">
        <v>383</v>
      </c>
      <c r="C51">
        <v>10085</v>
      </c>
      <c r="D51" s="26">
        <v>995954.7</v>
      </c>
      <c r="E51" s="26">
        <v>0</v>
      </c>
      <c r="F51" s="26">
        <v>9689.0965714285703</v>
      </c>
      <c r="G51" s="26">
        <f t="shared" si="0"/>
        <v>1005643.7965714285</v>
      </c>
      <c r="H51" s="26">
        <v>50420</v>
      </c>
      <c r="I51" s="26">
        <v>0</v>
      </c>
      <c r="J51" s="26">
        <v>2400</v>
      </c>
      <c r="K51" s="26">
        <v>9290</v>
      </c>
      <c r="L51" s="26">
        <v>47382</v>
      </c>
      <c r="M51" s="26">
        <v>0</v>
      </c>
      <c r="N51" s="26">
        <v>-328.95</v>
      </c>
      <c r="O51" s="26">
        <v>-1779.03</v>
      </c>
      <c r="P51" s="26">
        <v>-6686.19</v>
      </c>
    </row>
    <row r="52" spans="1:16">
      <c r="A52" s="56">
        <v>2078</v>
      </c>
      <c r="B52" t="s">
        <v>86</v>
      </c>
      <c r="C52">
        <v>10129</v>
      </c>
      <c r="D52" s="26">
        <v>1449059.1</v>
      </c>
      <c r="E52" s="26">
        <v>0</v>
      </c>
      <c r="F52" s="26">
        <v>6255.833999999988</v>
      </c>
      <c r="G52" s="26">
        <f t="shared" si="0"/>
        <v>1455314.9340000001</v>
      </c>
      <c r="H52" s="26">
        <v>41695</v>
      </c>
      <c r="I52" s="26">
        <v>0</v>
      </c>
      <c r="J52" s="26">
        <v>6656</v>
      </c>
      <c r="K52" s="26">
        <v>16240</v>
      </c>
      <c r="L52" s="26">
        <v>53949</v>
      </c>
      <c r="M52" s="26">
        <v>0</v>
      </c>
      <c r="N52" s="26">
        <v>-546.66</v>
      </c>
      <c r="O52" s="26">
        <v>-2956.46</v>
      </c>
      <c r="P52" s="26">
        <v>-10766.42</v>
      </c>
    </row>
    <row r="53" spans="1:16">
      <c r="A53" s="56">
        <v>2071</v>
      </c>
      <c r="B53" t="s">
        <v>368</v>
      </c>
      <c r="C53">
        <v>10119</v>
      </c>
      <c r="D53" s="26">
        <v>990091.96000000008</v>
      </c>
      <c r="E53" s="26">
        <v>0</v>
      </c>
      <c r="F53" s="26">
        <v>11049.969054945061</v>
      </c>
      <c r="G53" s="26">
        <f t="shared" si="0"/>
        <v>1001141.9290549451</v>
      </c>
      <c r="H53" s="26">
        <v>47385</v>
      </c>
      <c r="I53" s="26">
        <v>0</v>
      </c>
      <c r="J53" s="26">
        <v>0</v>
      </c>
      <c r="K53" s="26">
        <v>8260</v>
      </c>
      <c r="L53" s="26">
        <v>64393</v>
      </c>
      <c r="M53" s="26">
        <v>6724.75</v>
      </c>
      <c r="N53" s="26">
        <v>-276.51</v>
      </c>
      <c r="O53" s="26">
        <v>-1495.42</v>
      </c>
      <c r="P53" s="26">
        <v>-5700</v>
      </c>
    </row>
    <row r="54" spans="1:16">
      <c r="A54" s="56">
        <v>2072</v>
      </c>
      <c r="B54" t="s">
        <v>88</v>
      </c>
      <c r="C54">
        <v>10086</v>
      </c>
      <c r="D54" s="26">
        <v>1702814.0200000005</v>
      </c>
      <c r="E54" s="26">
        <v>0</v>
      </c>
      <c r="F54" s="26">
        <v>6958.4806153846584</v>
      </c>
      <c r="G54" s="26">
        <f t="shared" si="0"/>
        <v>1709772.5006153851</v>
      </c>
      <c r="H54" s="26">
        <v>160020</v>
      </c>
      <c r="I54" s="26">
        <v>0</v>
      </c>
      <c r="J54" s="26">
        <v>2380</v>
      </c>
      <c r="K54" s="26">
        <v>15170</v>
      </c>
      <c r="L54" s="26">
        <v>25304</v>
      </c>
      <c r="M54" s="26">
        <v>7858.75</v>
      </c>
      <c r="N54" s="26">
        <v>-554.61</v>
      </c>
      <c r="O54" s="26">
        <v>-2999.43</v>
      </c>
      <c r="P54" s="26">
        <v>-11977.84</v>
      </c>
    </row>
    <row r="55" spans="1:16">
      <c r="A55" s="56">
        <v>3512</v>
      </c>
      <c r="B55" t="s">
        <v>390</v>
      </c>
      <c r="C55">
        <v>10112</v>
      </c>
      <c r="D55" s="26">
        <v>1548533.19</v>
      </c>
      <c r="E55" s="26">
        <v>0</v>
      </c>
      <c r="F55" s="26">
        <v>-1147.8526153846033</v>
      </c>
      <c r="G55" s="26">
        <f t="shared" si="0"/>
        <v>1547385.3373846153</v>
      </c>
      <c r="H55" s="26">
        <v>9415</v>
      </c>
      <c r="I55" s="26">
        <v>0</v>
      </c>
      <c r="J55" s="26">
        <v>0</v>
      </c>
      <c r="K55" s="26">
        <v>17460</v>
      </c>
      <c r="L55" s="26">
        <v>82439</v>
      </c>
      <c r="M55" s="26">
        <v>0</v>
      </c>
      <c r="N55" s="26">
        <v>-605.46</v>
      </c>
      <c r="O55" s="26">
        <v>-3274.45</v>
      </c>
      <c r="P55" s="26">
        <v>-11582.61</v>
      </c>
    </row>
    <row r="56" spans="1:16">
      <c r="A56" s="56">
        <v>3510</v>
      </c>
      <c r="B56" t="s">
        <v>388</v>
      </c>
      <c r="C56">
        <v>10110</v>
      </c>
      <c r="D56" s="26">
        <v>1658739.5499999998</v>
      </c>
      <c r="E56" s="26">
        <v>0</v>
      </c>
      <c r="F56" s="26">
        <v>5974.7887692307559</v>
      </c>
      <c r="G56" s="26">
        <f t="shared" si="0"/>
        <v>1664714.3387692305</v>
      </c>
      <c r="H56" s="26">
        <v>61180</v>
      </c>
      <c r="I56" s="26">
        <v>0</v>
      </c>
      <c r="J56" s="26">
        <v>1140</v>
      </c>
      <c r="K56" s="26">
        <v>18480</v>
      </c>
      <c r="L56" s="26">
        <v>75354</v>
      </c>
      <c r="M56" s="26">
        <v>0</v>
      </c>
      <c r="N56" s="26">
        <v>-627.71</v>
      </c>
      <c r="O56" s="26">
        <v>-3394.77</v>
      </c>
      <c r="P56" s="26">
        <v>-12436.220000000001</v>
      </c>
    </row>
    <row r="57" spans="1:16">
      <c r="A57" s="56">
        <v>3502</v>
      </c>
      <c r="B57" t="s">
        <v>384</v>
      </c>
      <c r="C57">
        <v>10087</v>
      </c>
      <c r="D57" s="26">
        <v>1698557.1300000001</v>
      </c>
      <c r="E57" s="26">
        <v>0</v>
      </c>
      <c r="F57" s="26">
        <v>8127.3442857142945</v>
      </c>
      <c r="G57" s="26">
        <f t="shared" si="0"/>
        <v>1706684.4742857143</v>
      </c>
      <c r="H57" s="26">
        <v>115670.00000000001</v>
      </c>
      <c r="I57" s="26">
        <v>0</v>
      </c>
      <c r="J57" s="26">
        <v>3445</v>
      </c>
      <c r="K57" s="26">
        <v>17130</v>
      </c>
      <c r="L57" s="26">
        <v>78358</v>
      </c>
      <c r="M57" s="26">
        <v>0</v>
      </c>
      <c r="N57" s="26">
        <v>-546.66</v>
      </c>
      <c r="O57" s="26">
        <v>-2956.46</v>
      </c>
      <c r="P57" s="26">
        <v>-11205.67</v>
      </c>
    </row>
    <row r="58" spans="1:16">
      <c r="A58" s="56">
        <v>3315</v>
      </c>
      <c r="B58" t="s">
        <v>379</v>
      </c>
      <c r="C58">
        <v>10099</v>
      </c>
      <c r="D58" s="26">
        <v>940151.21999999974</v>
      </c>
      <c r="E58" s="26">
        <v>0</v>
      </c>
      <c r="F58" s="26">
        <v>894.65246153846238</v>
      </c>
      <c r="G58" s="26">
        <f t="shared" si="0"/>
        <v>941045.87246153818</v>
      </c>
      <c r="H58" s="26">
        <v>18830</v>
      </c>
      <c r="I58" s="26">
        <v>0</v>
      </c>
      <c r="J58" s="26">
        <v>3819</v>
      </c>
      <c r="K58" s="26">
        <v>9710</v>
      </c>
      <c r="L58" s="26">
        <v>56573</v>
      </c>
      <c r="M58" s="26">
        <v>0</v>
      </c>
      <c r="N58" s="26">
        <v>-333.72</v>
      </c>
      <c r="O58" s="26">
        <v>-1804.81</v>
      </c>
      <c r="P58" s="26">
        <v>-6494.94</v>
      </c>
    </row>
    <row r="59" spans="1:16">
      <c r="A59" s="56">
        <v>3504</v>
      </c>
      <c r="B59" t="s">
        <v>385</v>
      </c>
      <c r="C59">
        <v>10088</v>
      </c>
      <c r="D59" s="26">
        <v>1817100.4699999997</v>
      </c>
      <c r="E59" s="26">
        <v>0</v>
      </c>
      <c r="F59" s="26">
        <v>12013.661428571446</v>
      </c>
      <c r="G59" s="26">
        <f t="shared" si="0"/>
        <v>1829114.1314285712</v>
      </c>
      <c r="H59" s="26">
        <v>72940</v>
      </c>
      <c r="I59" s="26">
        <v>0</v>
      </c>
      <c r="J59" s="26">
        <v>4923</v>
      </c>
      <c r="K59" s="26">
        <v>19460</v>
      </c>
      <c r="L59" s="26">
        <v>91995</v>
      </c>
      <c r="M59" s="26">
        <v>0</v>
      </c>
      <c r="N59" s="26">
        <v>-669.03</v>
      </c>
      <c r="O59" s="26">
        <v>-3618.22</v>
      </c>
      <c r="P59" s="26">
        <v>-13311.64</v>
      </c>
    </row>
    <row r="60" spans="1:16">
      <c r="A60" s="56">
        <v>3309</v>
      </c>
      <c r="B60" t="s">
        <v>456</v>
      </c>
      <c r="C60">
        <v>10116</v>
      </c>
      <c r="D60" s="26">
        <v>938966.29999999946</v>
      </c>
      <c r="E60" s="26">
        <v>0</v>
      </c>
      <c r="F60" s="26">
        <v>6542.8763076923096</v>
      </c>
      <c r="G60" s="26">
        <f t="shared" si="0"/>
        <v>945509.17630769173</v>
      </c>
      <c r="H60" s="26">
        <v>31830</v>
      </c>
      <c r="I60" s="26">
        <v>0</v>
      </c>
      <c r="J60" s="26">
        <v>3075</v>
      </c>
      <c r="K60" s="26">
        <v>9850</v>
      </c>
      <c r="L60" s="26">
        <v>51014</v>
      </c>
      <c r="M60" s="26">
        <v>0</v>
      </c>
      <c r="N60" s="26">
        <v>-332.13</v>
      </c>
      <c r="O60" s="26">
        <v>-1796.22</v>
      </c>
      <c r="P60" s="26">
        <v>-6509.2</v>
      </c>
    </row>
    <row r="61" spans="1:16">
      <c r="A61" s="56">
        <v>3307</v>
      </c>
      <c r="B61" t="s">
        <v>374</v>
      </c>
      <c r="C61">
        <v>10089</v>
      </c>
      <c r="D61" s="26">
        <v>953015.27000000014</v>
      </c>
      <c r="E61" s="26">
        <v>0</v>
      </c>
      <c r="F61" s="26">
        <v>406.53846153846189</v>
      </c>
      <c r="G61" s="26">
        <f t="shared" si="0"/>
        <v>953421.80846153863</v>
      </c>
      <c r="H61" s="26">
        <v>38995</v>
      </c>
      <c r="I61" s="26">
        <v>0</v>
      </c>
      <c r="J61" s="26">
        <v>1699</v>
      </c>
      <c r="K61" s="26">
        <v>9760</v>
      </c>
      <c r="L61" s="26">
        <v>53726</v>
      </c>
      <c r="M61" s="26">
        <v>0</v>
      </c>
      <c r="N61" s="26">
        <v>-333.72</v>
      </c>
      <c r="O61" s="26">
        <v>-1804.81</v>
      </c>
      <c r="P61" s="26">
        <v>-6553.88</v>
      </c>
    </row>
    <row r="62" spans="1:16">
      <c r="A62" s="56">
        <v>3509</v>
      </c>
      <c r="B62" t="s">
        <v>461</v>
      </c>
      <c r="C62">
        <v>10107</v>
      </c>
      <c r="D62" s="26">
        <v>2264685.69</v>
      </c>
      <c r="E62" s="26">
        <v>0</v>
      </c>
      <c r="F62" s="26">
        <v>8635.8190769230714</v>
      </c>
      <c r="G62" s="26">
        <f t="shared" si="0"/>
        <v>2273321.5090769231</v>
      </c>
      <c r="H62" s="26">
        <v>114325</v>
      </c>
      <c r="I62" s="26">
        <v>0</v>
      </c>
      <c r="J62" s="26">
        <v>11500</v>
      </c>
      <c r="K62" s="26">
        <v>22680</v>
      </c>
      <c r="L62" s="26">
        <v>100773</v>
      </c>
      <c r="M62" s="26">
        <v>0</v>
      </c>
      <c r="N62" s="26">
        <v>-807.28</v>
      </c>
      <c r="O62" s="26">
        <v>-4365.93</v>
      </c>
      <c r="P62" s="26">
        <v>-16161.86</v>
      </c>
    </row>
    <row r="63" spans="1:16">
      <c r="A63" s="56">
        <v>3311</v>
      </c>
      <c r="B63" t="s">
        <v>457</v>
      </c>
      <c r="C63">
        <v>10092</v>
      </c>
      <c r="D63" s="26">
        <v>1798430.73</v>
      </c>
      <c r="E63" s="26">
        <v>0</v>
      </c>
      <c r="F63" s="26">
        <v>5072.3076923076806</v>
      </c>
      <c r="G63" s="26">
        <f t="shared" si="0"/>
        <v>1803503.0376923077</v>
      </c>
      <c r="H63" s="26">
        <v>100830</v>
      </c>
      <c r="I63" s="26">
        <v>0</v>
      </c>
      <c r="J63" s="26">
        <v>4794</v>
      </c>
      <c r="K63" s="26">
        <v>19180</v>
      </c>
      <c r="L63" s="26">
        <v>87512</v>
      </c>
      <c r="M63" s="26">
        <v>0</v>
      </c>
      <c r="N63" s="26">
        <v>-654.73</v>
      </c>
      <c r="O63" s="26">
        <v>-3540.87</v>
      </c>
      <c r="P63" s="26">
        <v>-13011.49</v>
      </c>
    </row>
    <row r="64" spans="1:16">
      <c r="A64" s="56">
        <v>3312</v>
      </c>
      <c r="B64" t="s">
        <v>377</v>
      </c>
      <c r="C64">
        <v>10093</v>
      </c>
      <c r="D64" s="26">
        <v>950965.53</v>
      </c>
      <c r="E64" s="26">
        <v>0</v>
      </c>
      <c r="F64" s="26">
        <v>1315.9635384615358</v>
      </c>
      <c r="G64" s="26">
        <f t="shared" si="0"/>
        <v>952281.49353846151</v>
      </c>
      <c r="H64" s="26">
        <v>37315</v>
      </c>
      <c r="I64" s="26">
        <v>0</v>
      </c>
      <c r="J64" s="26">
        <v>8906</v>
      </c>
      <c r="K64" s="26">
        <v>9900</v>
      </c>
      <c r="L64" s="26">
        <v>53378</v>
      </c>
      <c r="M64" s="26">
        <v>0</v>
      </c>
      <c r="N64" s="26">
        <v>-338.49</v>
      </c>
      <c r="O64" s="26">
        <v>-1830.6</v>
      </c>
      <c r="P64" s="26">
        <v>-6721.51</v>
      </c>
    </row>
    <row r="65" spans="1:16">
      <c r="A65" s="56">
        <v>3314</v>
      </c>
      <c r="B65" t="s">
        <v>527</v>
      </c>
      <c r="C65">
        <v>10095</v>
      </c>
      <c r="D65" s="26">
        <v>923635.34000000008</v>
      </c>
      <c r="E65" s="26">
        <v>0</v>
      </c>
      <c r="F65" s="26">
        <v>4129.4838461538529</v>
      </c>
      <c r="G65" s="26">
        <f t="shared" si="0"/>
        <v>927764.82384615391</v>
      </c>
      <c r="H65" s="26">
        <v>46005</v>
      </c>
      <c r="I65" s="26">
        <v>0</v>
      </c>
      <c r="J65" s="26">
        <v>23810</v>
      </c>
      <c r="K65" s="26">
        <v>9620</v>
      </c>
      <c r="L65" s="26">
        <v>45241</v>
      </c>
      <c r="M65" s="26">
        <v>0</v>
      </c>
      <c r="N65" s="26">
        <v>-322.60000000000002</v>
      </c>
      <c r="O65" s="26">
        <v>-1744.65</v>
      </c>
      <c r="P65" s="26">
        <v>-6443.03</v>
      </c>
    </row>
    <row r="66" spans="1:16">
      <c r="A66" s="56">
        <v>3313</v>
      </c>
      <c r="B66" t="s">
        <v>528</v>
      </c>
      <c r="C66">
        <v>10094</v>
      </c>
      <c r="D66" s="26">
        <v>939187.94</v>
      </c>
      <c r="E66" s="26">
        <v>0</v>
      </c>
      <c r="F66" s="26">
        <v>5050.0901538461476</v>
      </c>
      <c r="G66" s="26">
        <f t="shared" si="0"/>
        <v>944238.03015384614</v>
      </c>
      <c r="H66" s="26">
        <v>70595</v>
      </c>
      <c r="I66" s="26">
        <v>0</v>
      </c>
      <c r="J66" s="26">
        <v>8851</v>
      </c>
      <c r="K66" s="26">
        <v>8680</v>
      </c>
      <c r="L66" s="26">
        <v>42497</v>
      </c>
      <c r="M66" s="26">
        <v>0</v>
      </c>
      <c r="N66" s="26">
        <v>-300.35000000000002</v>
      </c>
      <c r="O66" s="26">
        <v>-1624.33</v>
      </c>
      <c r="P66" s="26">
        <v>-6239.5</v>
      </c>
    </row>
    <row r="67" spans="1:16">
      <c r="A67" s="56">
        <v>3507</v>
      </c>
      <c r="B67" t="s">
        <v>460</v>
      </c>
      <c r="C67">
        <v>10108</v>
      </c>
      <c r="D67" s="26">
        <v>866951.63</v>
      </c>
      <c r="E67" s="26">
        <v>0</v>
      </c>
      <c r="F67" s="26">
        <v>6781.5389230769215</v>
      </c>
      <c r="G67" s="26">
        <f t="shared" si="0"/>
        <v>873733.16892307694</v>
      </c>
      <c r="H67" s="26">
        <v>31210</v>
      </c>
      <c r="I67" s="26">
        <v>0</v>
      </c>
      <c r="J67" s="26">
        <v>0</v>
      </c>
      <c r="K67" s="26">
        <v>8220</v>
      </c>
      <c r="L67" s="26">
        <v>46437</v>
      </c>
      <c r="M67" s="26">
        <v>0</v>
      </c>
      <c r="N67" s="26">
        <v>-300.35000000000002</v>
      </c>
      <c r="O67" s="26">
        <v>-1624.33</v>
      </c>
      <c r="P67" s="26">
        <v>-5918.03</v>
      </c>
    </row>
    <row r="68" spans="1:16">
      <c r="A68" s="56">
        <v>3506</v>
      </c>
      <c r="B68" t="s">
        <v>386</v>
      </c>
      <c r="C68">
        <v>10096</v>
      </c>
      <c r="D68" s="26">
        <v>1322223.25</v>
      </c>
      <c r="E68" s="26">
        <v>0</v>
      </c>
      <c r="F68" s="26">
        <v>6348.4698461538501</v>
      </c>
      <c r="G68" s="26">
        <f t="shared" ref="G68:G93" si="1">SUM(D68:F68)</f>
        <v>1328571.7198461539</v>
      </c>
      <c r="H68" s="26">
        <v>31590</v>
      </c>
      <c r="I68" s="26">
        <v>0</v>
      </c>
      <c r="J68" s="26">
        <v>1733</v>
      </c>
      <c r="K68" s="26">
        <v>13260</v>
      </c>
      <c r="L68" s="26">
        <v>57075</v>
      </c>
      <c r="M68" s="26">
        <v>0</v>
      </c>
      <c r="N68" s="26">
        <v>-475.15</v>
      </c>
      <c r="O68" s="26">
        <v>-2569.71</v>
      </c>
      <c r="P68" s="26">
        <v>-9291.49</v>
      </c>
    </row>
    <row r="69" spans="1:16">
      <c r="A69" s="56">
        <v>2070</v>
      </c>
      <c r="B69" t="s">
        <v>290</v>
      </c>
      <c r="C69">
        <v>10097</v>
      </c>
      <c r="D69" s="26">
        <v>1113630.3499999999</v>
      </c>
      <c r="E69" s="26">
        <v>0</v>
      </c>
      <c r="F69" s="26">
        <v>10425.984021978002</v>
      </c>
      <c r="G69" s="26">
        <f t="shared" si="1"/>
        <v>1124056.3340219778</v>
      </c>
      <c r="H69" s="26">
        <v>112980</v>
      </c>
      <c r="I69" s="26">
        <v>0</v>
      </c>
      <c r="J69" s="26">
        <v>2209</v>
      </c>
      <c r="K69" s="26">
        <v>9760</v>
      </c>
      <c r="L69" s="26">
        <v>49725</v>
      </c>
      <c r="M69" s="26">
        <v>6835</v>
      </c>
      <c r="N69" s="26">
        <v>-330.54</v>
      </c>
      <c r="O69" s="26">
        <v>-1787.62</v>
      </c>
      <c r="P69" s="26">
        <v>-7405.05</v>
      </c>
    </row>
    <row r="70" spans="1:16">
      <c r="A70" s="56">
        <v>3316</v>
      </c>
      <c r="B70" t="s">
        <v>380</v>
      </c>
      <c r="C70">
        <v>10100</v>
      </c>
      <c r="D70" s="26">
        <v>951006.79</v>
      </c>
      <c r="E70" s="26">
        <v>0</v>
      </c>
      <c r="F70" s="26">
        <v>1762.3929230769263</v>
      </c>
      <c r="G70" s="26">
        <f t="shared" si="1"/>
        <v>952769.18292307691</v>
      </c>
      <c r="H70" s="26">
        <v>30865</v>
      </c>
      <c r="I70" s="26">
        <v>0</v>
      </c>
      <c r="J70" s="26">
        <v>19247</v>
      </c>
      <c r="K70" s="26">
        <v>9900</v>
      </c>
      <c r="L70" s="26">
        <v>58591</v>
      </c>
      <c r="M70" s="26">
        <v>0</v>
      </c>
      <c r="N70" s="26">
        <v>-336.9</v>
      </c>
      <c r="O70" s="26">
        <v>-1822</v>
      </c>
      <c r="P70" s="26">
        <v>-6602.6399999999994</v>
      </c>
    </row>
    <row r="71" spans="1:16">
      <c r="A71" s="56">
        <v>2055</v>
      </c>
      <c r="B71" t="s">
        <v>107</v>
      </c>
      <c r="C71">
        <v>10101</v>
      </c>
      <c r="D71" s="26">
        <v>1171395.9100000001</v>
      </c>
      <c r="E71" s="26">
        <v>0</v>
      </c>
      <c r="F71" s="26">
        <v>7967.1319999999978</v>
      </c>
      <c r="G71" s="26">
        <f t="shared" si="1"/>
        <v>1179363.0420000001</v>
      </c>
      <c r="H71" s="26">
        <v>103565</v>
      </c>
      <c r="I71" s="26">
        <v>0</v>
      </c>
      <c r="J71" s="26">
        <v>2198</v>
      </c>
      <c r="K71" s="26">
        <v>9340</v>
      </c>
      <c r="L71" s="26">
        <v>46496.07</v>
      </c>
      <c r="M71" s="26">
        <v>6745</v>
      </c>
      <c r="N71" s="26">
        <v>-346.43</v>
      </c>
      <c r="O71" s="26">
        <v>-1873.57</v>
      </c>
      <c r="P71" s="26">
        <v>-7497.75</v>
      </c>
    </row>
    <row r="72" spans="1:16">
      <c r="A72" s="56">
        <v>2057</v>
      </c>
      <c r="B72" t="s">
        <v>433</v>
      </c>
      <c r="C72">
        <v>10103</v>
      </c>
      <c r="D72" s="26">
        <v>2439432.73</v>
      </c>
      <c r="E72" s="26">
        <v>0</v>
      </c>
      <c r="F72" s="26">
        <v>18880.855384615392</v>
      </c>
      <c r="G72" s="26">
        <f t="shared" si="1"/>
        <v>2458313.5853846152</v>
      </c>
      <c r="H72" s="26">
        <v>240410</v>
      </c>
      <c r="I72" s="26">
        <v>0</v>
      </c>
      <c r="J72" s="26">
        <v>8616</v>
      </c>
      <c r="K72" s="26">
        <v>20960</v>
      </c>
      <c r="L72" s="26">
        <v>63099</v>
      </c>
      <c r="M72" s="26">
        <v>10330.15</v>
      </c>
      <c r="N72" s="26">
        <v>-759.61</v>
      </c>
      <c r="O72" s="26">
        <v>-4108.1000000000004</v>
      </c>
      <c r="P72" s="26">
        <v>-16682.95</v>
      </c>
    </row>
    <row r="73" spans="1:16">
      <c r="A73" s="56">
        <v>2076</v>
      </c>
      <c r="B73" t="s">
        <v>370</v>
      </c>
      <c r="C73">
        <v>10124</v>
      </c>
      <c r="D73" s="26">
        <v>1858901.1600000004</v>
      </c>
      <c r="E73" s="26">
        <v>0</v>
      </c>
      <c r="F73" s="26">
        <v>8532.1147692307859</v>
      </c>
      <c r="G73" s="26">
        <f t="shared" si="1"/>
        <v>1867433.2747692312</v>
      </c>
      <c r="H73" s="26">
        <v>162770</v>
      </c>
      <c r="I73" s="26">
        <v>0</v>
      </c>
      <c r="J73" s="26">
        <v>1290</v>
      </c>
      <c r="K73" s="26">
        <v>16480</v>
      </c>
      <c r="L73" s="26">
        <v>63592</v>
      </c>
      <c r="M73" s="26">
        <v>8691.25</v>
      </c>
      <c r="N73" s="26">
        <v>-587.98</v>
      </c>
      <c r="O73" s="26">
        <v>-10244.91</v>
      </c>
      <c r="P73" s="26">
        <v>-12695.41</v>
      </c>
    </row>
    <row r="74" spans="1:16">
      <c r="A74" s="56">
        <v>2060</v>
      </c>
      <c r="B74" t="s">
        <v>297</v>
      </c>
      <c r="C74">
        <v>10105</v>
      </c>
      <c r="D74" s="26">
        <v>2385901.6599999997</v>
      </c>
      <c r="E74" s="26">
        <v>0</v>
      </c>
      <c r="F74" s="26">
        <v>14595.719120879121</v>
      </c>
      <c r="G74" s="26">
        <f t="shared" si="1"/>
        <v>2400497.3791208789</v>
      </c>
      <c r="H74" s="26">
        <v>178195</v>
      </c>
      <c r="I74" s="26">
        <v>0</v>
      </c>
      <c r="J74" s="26">
        <v>0</v>
      </c>
      <c r="K74" s="26">
        <v>19650</v>
      </c>
      <c r="L74" s="26">
        <v>89130</v>
      </c>
      <c r="M74" s="26">
        <v>9116.5</v>
      </c>
      <c r="N74" s="26">
        <v>-673.8</v>
      </c>
      <c r="O74" s="26">
        <v>-3644</v>
      </c>
      <c r="P74" s="26">
        <v>-14328.609999999999</v>
      </c>
    </row>
    <row r="75" spans="1:16">
      <c r="A75" s="56">
        <v>3518</v>
      </c>
      <c r="B75" t="s">
        <v>112</v>
      </c>
      <c r="C75">
        <v>10123</v>
      </c>
      <c r="D75" s="26">
        <v>2116894.0399999996</v>
      </c>
      <c r="E75" s="26">
        <v>0</v>
      </c>
      <c r="F75" s="26">
        <v>-4881.9276923076977</v>
      </c>
      <c r="G75" s="26">
        <f t="shared" si="1"/>
        <v>2112012.1123076919</v>
      </c>
      <c r="H75" s="26">
        <v>195075</v>
      </c>
      <c r="I75" s="26">
        <v>0</v>
      </c>
      <c r="J75" s="26">
        <v>9590</v>
      </c>
      <c r="K75" s="26">
        <v>18200</v>
      </c>
      <c r="L75" s="26">
        <v>79279</v>
      </c>
      <c r="M75" s="26">
        <v>8880.25</v>
      </c>
      <c r="N75" s="26">
        <v>-637.25</v>
      </c>
      <c r="O75" s="26">
        <v>-3446.33</v>
      </c>
      <c r="P75" s="26">
        <v>-13832.189999999999</v>
      </c>
    </row>
    <row r="76" spans="1:16">
      <c r="A76" s="56">
        <v>2054</v>
      </c>
      <c r="B76" t="s">
        <v>367</v>
      </c>
      <c r="C76">
        <v>10109</v>
      </c>
      <c r="D76" s="26">
        <v>940263.35999999975</v>
      </c>
      <c r="E76" s="26">
        <v>0</v>
      </c>
      <c r="F76" s="26">
        <v>-166.0190769230685</v>
      </c>
      <c r="G76" s="26">
        <f t="shared" si="1"/>
        <v>940097.34092307673</v>
      </c>
      <c r="H76" s="26">
        <v>17485</v>
      </c>
      <c r="I76" s="26">
        <v>0</v>
      </c>
      <c r="J76" s="26">
        <v>4884</v>
      </c>
      <c r="K76" s="26">
        <v>9660</v>
      </c>
      <c r="L76" s="26">
        <v>53392</v>
      </c>
      <c r="M76" s="26">
        <v>6362.5</v>
      </c>
      <c r="N76" s="26">
        <v>-330.54</v>
      </c>
      <c r="O76" s="26">
        <v>-1787.62</v>
      </c>
      <c r="P76" s="26">
        <v>-6388.1100000000006</v>
      </c>
    </row>
    <row r="77" spans="1:16">
      <c r="A77" s="56">
        <v>5405</v>
      </c>
      <c r="B77" t="s">
        <v>115</v>
      </c>
      <c r="C77">
        <v>10145</v>
      </c>
      <c r="D77" s="26">
        <v>5175451.5300000012</v>
      </c>
      <c r="E77" s="26">
        <v>1614726.33</v>
      </c>
      <c r="F77" s="26">
        <v>6589.7378461538465</v>
      </c>
      <c r="G77" s="26">
        <f t="shared" si="1"/>
        <v>6796767.5978461551</v>
      </c>
      <c r="H77" s="26">
        <v>114950</v>
      </c>
      <c r="I77" s="26">
        <v>0</v>
      </c>
      <c r="J77" s="26">
        <v>24055</v>
      </c>
      <c r="K77" s="26">
        <v>41300</v>
      </c>
      <c r="L77" s="26">
        <v>5850</v>
      </c>
      <c r="M77" s="26">
        <v>0</v>
      </c>
      <c r="N77" s="26">
        <v>-1324.76</v>
      </c>
      <c r="O77" s="26">
        <v>-7606</v>
      </c>
      <c r="P77" s="26">
        <v>-25134.49</v>
      </c>
    </row>
    <row r="78" spans="1:16">
      <c r="A78" s="56">
        <v>4003</v>
      </c>
      <c r="B78" t="s">
        <v>116</v>
      </c>
      <c r="C78">
        <v>10139</v>
      </c>
      <c r="D78" s="26">
        <v>5252067.4800000004</v>
      </c>
      <c r="E78" s="26">
        <v>0</v>
      </c>
      <c r="F78" s="26">
        <v>11528.619076923031</v>
      </c>
      <c r="G78" s="26">
        <f t="shared" si="1"/>
        <v>5263596.0990769239</v>
      </c>
      <c r="H78" s="26">
        <v>309145</v>
      </c>
      <c r="I78" s="26">
        <v>0</v>
      </c>
      <c r="J78" s="26">
        <v>7594</v>
      </c>
      <c r="K78" s="26">
        <v>35450</v>
      </c>
      <c r="L78" s="26">
        <v>6750</v>
      </c>
      <c r="M78" s="26">
        <v>17213.120000000003</v>
      </c>
      <c r="N78" s="26">
        <v>-1187.04</v>
      </c>
      <c r="O78" s="26">
        <v>-6815.32</v>
      </c>
      <c r="P78" s="26">
        <v>-25256.33</v>
      </c>
    </row>
    <row r="79" spans="1:16">
      <c r="A79" s="56">
        <v>5427</v>
      </c>
      <c r="B79" t="s">
        <v>315</v>
      </c>
      <c r="C79">
        <v>11174</v>
      </c>
      <c r="D79" s="26">
        <v>6732015.8912087902</v>
      </c>
      <c r="E79" s="26">
        <v>1491611.827912088</v>
      </c>
      <c r="F79" s="26">
        <v>95808.50697435913</v>
      </c>
      <c r="G79" s="26">
        <f t="shared" si="1"/>
        <v>8319436.2260952378</v>
      </c>
      <c r="H79" s="26">
        <v>62530</v>
      </c>
      <c r="I79" s="26">
        <v>0</v>
      </c>
      <c r="J79" s="26">
        <v>4729</v>
      </c>
      <c r="K79" s="26">
        <v>49750</v>
      </c>
      <c r="L79" s="26">
        <v>5850</v>
      </c>
      <c r="M79" s="26">
        <v>0</v>
      </c>
      <c r="N79" s="26">
        <v>-1481.93</v>
      </c>
      <c r="O79" s="26">
        <v>-8508.41</v>
      </c>
      <c r="P79" s="26">
        <v>-27374.239999999998</v>
      </c>
    </row>
    <row r="80" spans="1:16">
      <c r="A80" s="56">
        <v>4004</v>
      </c>
      <c r="B80" t="s">
        <v>464</v>
      </c>
      <c r="C80">
        <v>11513</v>
      </c>
      <c r="D80" s="26">
        <v>1586513.2400000002</v>
      </c>
      <c r="E80" s="26">
        <v>324356.67000000004</v>
      </c>
      <c r="F80" s="26">
        <v>5122.5467692307575</v>
      </c>
      <c r="G80" s="26">
        <f t="shared" si="1"/>
        <v>1915992.456769231</v>
      </c>
      <c r="H80" s="26">
        <v>11460</v>
      </c>
      <c r="I80" s="26">
        <v>0</v>
      </c>
      <c r="J80" s="26">
        <v>0</v>
      </c>
      <c r="K80" s="26">
        <v>12980</v>
      </c>
      <c r="L80" s="26">
        <v>0</v>
      </c>
      <c r="M80" s="26">
        <v>0</v>
      </c>
      <c r="N80" s="26">
        <v>-402.67</v>
      </c>
      <c r="O80" s="26">
        <v>-8377.880000000001</v>
      </c>
      <c r="P80" s="26">
        <v>-7438.4299999999994</v>
      </c>
    </row>
    <row r="81" spans="1:16">
      <c r="A81" s="56">
        <v>5404</v>
      </c>
      <c r="B81" t="s">
        <v>400</v>
      </c>
      <c r="C81">
        <v>10148</v>
      </c>
      <c r="D81" s="26">
        <v>3213213.1399999997</v>
      </c>
      <c r="E81" s="26">
        <v>1156887.9900000002</v>
      </c>
      <c r="F81" s="26">
        <v>0</v>
      </c>
      <c r="G81" s="26">
        <f t="shared" si="1"/>
        <v>4370101.13</v>
      </c>
      <c r="H81" s="26">
        <v>41065</v>
      </c>
      <c r="I81" s="26">
        <v>0</v>
      </c>
      <c r="J81" s="26">
        <v>11024</v>
      </c>
      <c r="K81" s="26">
        <v>25300</v>
      </c>
      <c r="L81" s="26">
        <v>3600</v>
      </c>
      <c r="M81" s="26">
        <v>0</v>
      </c>
      <c r="N81" s="26">
        <v>-795.85</v>
      </c>
      <c r="O81" s="26">
        <v>-18369.330000000002</v>
      </c>
      <c r="P81" s="26">
        <v>-14682.58</v>
      </c>
    </row>
    <row r="82" spans="1:16">
      <c r="A82" s="56">
        <v>5407</v>
      </c>
      <c r="B82" t="s">
        <v>401</v>
      </c>
      <c r="C82">
        <v>10142</v>
      </c>
      <c r="D82" s="26">
        <v>6250330.4900000012</v>
      </c>
      <c r="E82" s="26">
        <v>813104.33999999985</v>
      </c>
      <c r="F82" s="26">
        <v>5017.9152307692275</v>
      </c>
      <c r="G82" s="26">
        <f t="shared" si="1"/>
        <v>7068452.7452307707</v>
      </c>
      <c r="H82" s="26">
        <v>229115</v>
      </c>
      <c r="I82" s="26">
        <v>0</v>
      </c>
      <c r="J82" s="26">
        <v>36773</v>
      </c>
      <c r="K82" s="26">
        <v>47650</v>
      </c>
      <c r="L82" s="26">
        <v>15750</v>
      </c>
      <c r="M82" s="26">
        <v>0</v>
      </c>
      <c r="N82" s="26">
        <v>-1525.59</v>
      </c>
      <c r="O82" s="26">
        <v>-8759.07</v>
      </c>
      <c r="P82" s="26">
        <v>-30128.94</v>
      </c>
    </row>
    <row r="83" spans="1:16">
      <c r="A83" s="56">
        <v>3521</v>
      </c>
      <c r="B83" t="s">
        <v>463</v>
      </c>
      <c r="C83">
        <v>10698</v>
      </c>
      <c r="D83" s="26">
        <v>7812702.0699999994</v>
      </c>
      <c r="E83" s="26">
        <v>413007.67000000004</v>
      </c>
      <c r="F83" s="26">
        <v>22207.121076923053</v>
      </c>
      <c r="G83" s="26">
        <f t="shared" si="1"/>
        <v>8247916.8610769222</v>
      </c>
      <c r="H83" s="26">
        <v>509172.5</v>
      </c>
      <c r="I83" s="26">
        <v>0</v>
      </c>
      <c r="J83" s="26">
        <v>13804</v>
      </c>
      <c r="K83" s="26">
        <v>66410</v>
      </c>
      <c r="L83" s="26">
        <v>140538</v>
      </c>
      <c r="M83" s="26">
        <v>0</v>
      </c>
      <c r="N83" s="26">
        <v>-2164.75</v>
      </c>
      <c r="O83" s="26">
        <v>-38868.79</v>
      </c>
      <c r="P83" s="26">
        <v>-44560.33</v>
      </c>
    </row>
    <row r="84" spans="1:16">
      <c r="A84" s="56">
        <v>7010</v>
      </c>
      <c r="B84" t="s">
        <v>487</v>
      </c>
      <c r="C84">
        <v>10159</v>
      </c>
      <c r="D84" s="26">
        <v>618541.80933998723</v>
      </c>
      <c r="E84" s="26">
        <v>300983.00417582411</v>
      </c>
      <c r="F84" s="26">
        <v>173598.88441025699</v>
      </c>
      <c r="G84" s="26">
        <f t="shared" si="1"/>
        <v>1093123.6979260682</v>
      </c>
      <c r="H84" s="26">
        <v>26740</v>
      </c>
      <c r="I84" s="26">
        <v>0</v>
      </c>
      <c r="J84" s="26">
        <v>5613</v>
      </c>
      <c r="K84" s="26">
        <v>12460</v>
      </c>
      <c r="L84" s="26">
        <v>2700</v>
      </c>
      <c r="M84" s="26">
        <v>6632.5</v>
      </c>
      <c r="N84" s="26">
        <v>0</v>
      </c>
      <c r="O84" s="26">
        <v>0</v>
      </c>
      <c r="P84" s="26">
        <v>0</v>
      </c>
    </row>
    <row r="85" spans="1:16">
      <c r="A85" s="56">
        <v>7005</v>
      </c>
      <c r="B85" t="s">
        <v>488</v>
      </c>
      <c r="C85">
        <v>10157</v>
      </c>
      <c r="D85" s="26">
        <v>1261757.2660288336</v>
      </c>
      <c r="E85" s="26">
        <v>0</v>
      </c>
      <c r="F85" s="26">
        <v>115585.59856410231</v>
      </c>
      <c r="G85" s="26">
        <f t="shared" si="1"/>
        <v>1377342.8645929359</v>
      </c>
      <c r="H85" s="26">
        <v>60525</v>
      </c>
      <c r="I85" s="26">
        <v>0</v>
      </c>
      <c r="J85" s="26">
        <v>4438</v>
      </c>
      <c r="K85" s="26">
        <v>17360</v>
      </c>
      <c r="L85" s="26">
        <v>30241</v>
      </c>
      <c r="M85" s="26">
        <v>7881.25</v>
      </c>
      <c r="N85" s="26">
        <v>0</v>
      </c>
      <c r="O85" s="26">
        <v>0</v>
      </c>
      <c r="P85" s="26">
        <v>0</v>
      </c>
    </row>
    <row r="86" spans="1:16">
      <c r="A86" s="56">
        <v>7009</v>
      </c>
      <c r="B86" t="s">
        <v>489</v>
      </c>
      <c r="C86">
        <v>10158</v>
      </c>
      <c r="D86" s="26">
        <v>1681409.5916258357</v>
      </c>
      <c r="E86" s="26">
        <v>0</v>
      </c>
      <c r="F86" s="26">
        <v>162665.22897435934</v>
      </c>
      <c r="G86" s="26">
        <f t="shared" si="1"/>
        <v>1844074.8206001951</v>
      </c>
      <c r="H86" s="26">
        <v>59180</v>
      </c>
      <c r="I86" s="26">
        <v>0</v>
      </c>
      <c r="J86" s="26">
        <v>0</v>
      </c>
      <c r="K86" s="26">
        <v>16100</v>
      </c>
      <c r="L86" s="26">
        <v>31035</v>
      </c>
      <c r="M86" s="26">
        <v>7834</v>
      </c>
      <c r="N86" s="26">
        <v>0</v>
      </c>
      <c r="O86" s="26">
        <v>0</v>
      </c>
      <c r="P86" s="26">
        <v>0</v>
      </c>
    </row>
    <row r="87" spans="1:16">
      <c r="A87" s="56">
        <v>1102</v>
      </c>
      <c r="B87" t="s">
        <v>329</v>
      </c>
      <c r="C87">
        <v>10185</v>
      </c>
      <c r="D87" s="26">
        <v>435358.41867627786</v>
      </c>
      <c r="E87" s="26">
        <v>0</v>
      </c>
      <c r="F87" s="26">
        <v>-873.56276923077166</v>
      </c>
      <c r="G87" s="26">
        <f t="shared" si="1"/>
        <v>434484.85590704711</v>
      </c>
      <c r="H87" s="26">
        <v>5210</v>
      </c>
      <c r="I87" s="26">
        <v>0</v>
      </c>
      <c r="J87" s="26">
        <v>2125</v>
      </c>
      <c r="K87" s="26">
        <v>3920</v>
      </c>
      <c r="L87" s="26">
        <v>3300.9700000000003</v>
      </c>
      <c r="M87" s="26">
        <v>4472.5</v>
      </c>
      <c r="N87" s="26">
        <v>0</v>
      </c>
      <c r="O87" s="26">
        <v>0</v>
      </c>
      <c r="P87" s="26">
        <v>0</v>
      </c>
    </row>
    <row r="88" spans="1:16">
      <c r="A88" s="56">
        <v>1100</v>
      </c>
      <c r="B88" t="s">
        <v>409</v>
      </c>
      <c r="C88">
        <v>10188</v>
      </c>
      <c r="D88" s="26">
        <v>1646514.5478206805</v>
      </c>
      <c r="E88" s="26">
        <v>0</v>
      </c>
      <c r="F88" s="26">
        <v>100229.17369230778</v>
      </c>
      <c r="G88" s="26">
        <f t="shared" si="1"/>
        <v>1746743.7215129882</v>
      </c>
      <c r="H88" s="26">
        <v>43080</v>
      </c>
      <c r="I88" s="26">
        <v>0</v>
      </c>
      <c r="J88" s="26">
        <v>5618</v>
      </c>
      <c r="K88" s="26">
        <v>20160</v>
      </c>
      <c r="L88" s="26">
        <v>18250</v>
      </c>
      <c r="M88" s="26">
        <v>6328.75</v>
      </c>
      <c r="N88" s="26">
        <v>0</v>
      </c>
      <c r="O88" s="26">
        <v>0</v>
      </c>
      <c r="P88" s="26">
        <v>0</v>
      </c>
    </row>
    <row r="89" spans="1:16">
      <c r="A89" s="56">
        <v>135</v>
      </c>
      <c r="B89" t="s">
        <v>442</v>
      </c>
      <c r="C89">
        <v>10135</v>
      </c>
      <c r="D89" s="26">
        <f>SUM(D90:D92)</f>
        <v>120546.57</v>
      </c>
      <c r="E89" s="26">
        <f t="shared" ref="E89:P89" si="2">SUM(E90:E92)</f>
        <v>0</v>
      </c>
      <c r="F89" s="26">
        <f t="shared" si="2"/>
        <v>11676.531999999999</v>
      </c>
      <c r="G89" s="26">
        <f t="shared" si="1"/>
        <v>132223.10200000001</v>
      </c>
      <c r="H89" s="26">
        <f t="shared" si="2"/>
        <v>0</v>
      </c>
      <c r="I89" s="26">
        <f t="shared" si="2"/>
        <v>0</v>
      </c>
      <c r="J89" s="26">
        <f t="shared" si="2"/>
        <v>0</v>
      </c>
      <c r="K89" s="26">
        <f t="shared" si="2"/>
        <v>0</v>
      </c>
      <c r="L89" s="26">
        <f t="shared" si="2"/>
        <v>0</v>
      </c>
      <c r="M89" s="26">
        <f t="shared" si="2"/>
        <v>15164.619999999999</v>
      </c>
      <c r="N89" s="26">
        <f t="shared" si="2"/>
        <v>0</v>
      </c>
      <c r="O89" s="26">
        <f t="shared" si="2"/>
        <v>0</v>
      </c>
      <c r="P89" s="26">
        <f t="shared" si="2"/>
        <v>0</v>
      </c>
    </row>
    <row r="90" spans="1:16">
      <c r="A90" s="56">
        <v>1000</v>
      </c>
      <c r="B90" t="s">
        <v>404</v>
      </c>
      <c r="C90">
        <v>10130</v>
      </c>
      <c r="D90" s="26">
        <v>42285.89</v>
      </c>
      <c r="E90" s="26">
        <v>0</v>
      </c>
      <c r="F90" s="26">
        <v>2254.1</v>
      </c>
      <c r="G90" s="26">
        <f t="shared" si="1"/>
        <v>44539.99</v>
      </c>
      <c r="H90" s="26">
        <v>0</v>
      </c>
      <c r="I90" s="26">
        <v>0</v>
      </c>
      <c r="J90" s="26">
        <v>0</v>
      </c>
      <c r="K90" s="26">
        <v>0</v>
      </c>
      <c r="L90" s="26">
        <v>0</v>
      </c>
      <c r="M90" s="26">
        <v>5022.17</v>
      </c>
      <c r="N90" s="26">
        <v>0</v>
      </c>
      <c r="O90" s="26">
        <v>0</v>
      </c>
      <c r="P90" s="26">
        <v>0</v>
      </c>
    </row>
    <row r="91" spans="1:16">
      <c r="A91" s="56">
        <v>1001</v>
      </c>
      <c r="B91" t="s">
        <v>352</v>
      </c>
      <c r="C91">
        <v>10131</v>
      </c>
      <c r="D91" s="26">
        <v>36379</v>
      </c>
      <c r="E91" s="26">
        <v>0</v>
      </c>
      <c r="F91" s="26">
        <v>3422.1879999999992</v>
      </c>
      <c r="G91" s="26">
        <f t="shared" si="1"/>
        <v>39801.188000000002</v>
      </c>
      <c r="H91" s="26">
        <v>0</v>
      </c>
      <c r="I91" s="26">
        <v>0</v>
      </c>
      <c r="J91" s="26">
        <v>0</v>
      </c>
      <c r="K91" s="26">
        <v>0</v>
      </c>
      <c r="L91" s="26">
        <v>0</v>
      </c>
      <c r="M91" s="26">
        <v>5082.7</v>
      </c>
      <c r="N91" s="26">
        <v>0</v>
      </c>
      <c r="O91" s="26">
        <v>0</v>
      </c>
      <c r="P91" s="26">
        <v>0</v>
      </c>
    </row>
    <row r="92" spans="1:16">
      <c r="A92" s="56">
        <v>1003</v>
      </c>
      <c r="B92" t="s">
        <v>405</v>
      </c>
      <c r="C92">
        <v>10133</v>
      </c>
      <c r="D92" s="26">
        <v>41881.68</v>
      </c>
      <c r="E92" s="26">
        <v>0</v>
      </c>
      <c r="F92" s="26">
        <v>6000.2440000000006</v>
      </c>
      <c r="G92" s="26">
        <f t="shared" si="1"/>
        <v>47881.923999999999</v>
      </c>
      <c r="H92" s="26">
        <v>0</v>
      </c>
      <c r="I92" s="26">
        <v>0</v>
      </c>
      <c r="J92" s="26">
        <v>0</v>
      </c>
      <c r="K92" s="26">
        <v>0</v>
      </c>
      <c r="L92" s="26">
        <v>0</v>
      </c>
      <c r="M92" s="26">
        <v>5059.75</v>
      </c>
      <c r="N92" s="26">
        <v>0</v>
      </c>
      <c r="O92" s="26">
        <v>0</v>
      </c>
      <c r="P92" s="26">
        <v>0</v>
      </c>
    </row>
    <row r="93" spans="1:16">
      <c r="A93" s="56">
        <v>1002</v>
      </c>
      <c r="B93" t="s">
        <v>353</v>
      </c>
      <c r="C93">
        <v>10132</v>
      </c>
      <c r="D93" s="26">
        <v>36125.06</v>
      </c>
      <c r="E93" s="26">
        <v>0</v>
      </c>
      <c r="F93" s="26">
        <v>6356.088285714286</v>
      </c>
      <c r="G93" s="26">
        <f t="shared" si="1"/>
        <v>42481.148285714284</v>
      </c>
      <c r="H93" s="26">
        <v>0</v>
      </c>
      <c r="I93" s="26">
        <v>0</v>
      </c>
      <c r="J93" s="26">
        <v>0</v>
      </c>
      <c r="K93" s="26">
        <v>0</v>
      </c>
      <c r="L93" s="26">
        <v>0</v>
      </c>
      <c r="M93" s="26">
        <v>5026</v>
      </c>
      <c r="N93" s="26">
        <v>0</v>
      </c>
      <c r="O93" s="26">
        <v>0</v>
      </c>
      <c r="P93" s="26">
        <v>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3:BK110"/>
  <sheetViews>
    <sheetView zoomScaleNormal="100" workbookViewId="0">
      <pane xSplit="6" ySplit="4" topLeftCell="G24" activePane="bottomRight" state="frozen"/>
      <selection activeCell="A57" sqref="A57:IV57"/>
      <selection pane="topRight" activeCell="A57" sqref="A57:IV57"/>
      <selection pane="bottomLeft" activeCell="A57" sqref="A57:IV57"/>
      <selection pane="bottomRight" activeCell="A57" sqref="A57:IV57"/>
    </sheetView>
  </sheetViews>
  <sheetFormatPr defaultRowHeight="13.2"/>
  <cols>
    <col min="2" max="2" width="35.44140625" bestFit="1" customWidth="1"/>
    <col min="3" max="6" width="13.44140625" bestFit="1" customWidth="1"/>
    <col min="7" max="7" width="14.5546875" bestFit="1" customWidth="1"/>
    <col min="8" max="8" width="12.44140625" bestFit="1" customWidth="1"/>
    <col min="9" max="9" width="13.5546875" bestFit="1" customWidth="1"/>
    <col min="10" max="10" width="4.88671875" bestFit="1" customWidth="1"/>
    <col min="11" max="11" width="13.5546875" bestFit="1" customWidth="1"/>
    <col min="12" max="12" width="12.44140625" bestFit="1" customWidth="1"/>
    <col min="13" max="13" width="10.88671875" bestFit="1" customWidth="1"/>
    <col min="14" max="15" width="12.44140625" bestFit="1" customWidth="1"/>
    <col min="16" max="17" width="10.88671875" bestFit="1" customWidth="1"/>
    <col min="18" max="19" width="12.44140625" bestFit="1" customWidth="1"/>
    <col min="20" max="20" width="9.88671875" bestFit="1" customWidth="1"/>
    <col min="21" max="21" width="12.44140625" bestFit="1" customWidth="1"/>
    <col min="22" max="22" width="10.88671875" bestFit="1" customWidth="1"/>
    <col min="23" max="23" width="12.44140625" bestFit="1" customWidth="1"/>
    <col min="24" max="24" width="12.88671875" bestFit="1" customWidth="1"/>
    <col min="25" max="25" width="10.33203125" bestFit="1" customWidth="1"/>
    <col min="26" max="26" width="12.88671875" bestFit="1" customWidth="1"/>
    <col min="27" max="28" width="11.88671875" bestFit="1" customWidth="1"/>
    <col min="29" max="29" width="10.33203125" bestFit="1" customWidth="1"/>
    <col min="30" max="33" width="11.88671875" bestFit="1" customWidth="1"/>
    <col min="34" max="34" width="10.33203125" bestFit="1" customWidth="1"/>
    <col min="35" max="35" width="11.88671875" bestFit="1" customWidth="1"/>
    <col min="36" max="36" width="10.33203125" bestFit="1" customWidth="1"/>
    <col min="37" max="37" width="11.88671875" bestFit="1" customWidth="1"/>
    <col min="38" max="38" width="10.33203125" bestFit="1" customWidth="1"/>
    <col min="39" max="39" width="11.88671875" bestFit="1" customWidth="1"/>
    <col min="40" max="40" width="10.33203125" bestFit="1" customWidth="1"/>
    <col min="41" max="43" width="11.88671875" bestFit="1" customWidth="1"/>
    <col min="44" max="44" width="10.33203125" bestFit="1" customWidth="1"/>
    <col min="45" max="45" width="11.88671875" bestFit="1" customWidth="1"/>
    <col min="46" max="47" width="10.33203125" bestFit="1" customWidth="1"/>
    <col min="48" max="51" width="11.88671875" bestFit="1" customWidth="1"/>
    <col min="52" max="52" width="4.88671875" bestFit="1" customWidth="1"/>
    <col min="53" max="54" width="11.88671875" bestFit="1" customWidth="1"/>
    <col min="55" max="55" width="10.33203125" bestFit="1" customWidth="1"/>
    <col min="56" max="57" width="10.88671875" bestFit="1" customWidth="1"/>
    <col min="58" max="58" width="12.44140625" bestFit="1" customWidth="1"/>
    <col min="59" max="59" width="8" bestFit="1" customWidth="1"/>
    <col min="60" max="60" width="5.44140625" bestFit="1" customWidth="1"/>
    <col min="61" max="61" width="11.6640625" bestFit="1" customWidth="1"/>
    <col min="62" max="62" width="10.109375" bestFit="1" customWidth="1"/>
    <col min="63" max="63" width="11.6640625" bestFit="1" customWidth="1"/>
  </cols>
  <sheetData>
    <row r="3" spans="1:63">
      <c r="A3" s="671" t="s">
        <v>198</v>
      </c>
      <c r="B3" s="672"/>
      <c r="C3" s="671" t="s">
        <v>303</v>
      </c>
      <c r="D3" s="672"/>
      <c r="E3" s="672"/>
      <c r="F3" s="18"/>
      <c r="G3" s="673" t="s">
        <v>196</v>
      </c>
      <c r="H3" s="674"/>
      <c r="I3" s="674"/>
      <c r="J3" s="674"/>
      <c r="K3" s="674"/>
      <c r="L3" s="674"/>
      <c r="M3" s="674"/>
      <c r="N3" s="674"/>
      <c r="O3" s="674"/>
      <c r="P3" s="674"/>
      <c r="Q3" s="674"/>
      <c r="R3" s="674"/>
      <c r="S3" s="674"/>
      <c r="T3" s="674"/>
      <c r="U3" s="674"/>
      <c r="V3" s="674"/>
      <c r="W3" s="675"/>
      <c r="X3" s="676" t="s">
        <v>197</v>
      </c>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c r="BC3" s="678"/>
      <c r="BD3" s="679" t="s">
        <v>304</v>
      </c>
      <c r="BE3" s="670"/>
      <c r="BF3" s="670"/>
      <c r="BG3" s="670" t="s">
        <v>407</v>
      </c>
      <c r="BH3" s="670"/>
      <c r="BI3" s="670"/>
      <c r="BJ3" s="670"/>
      <c r="BK3" s="670"/>
    </row>
    <row r="4" spans="1:63" ht="26.4">
      <c r="A4" s="8" t="s">
        <v>199</v>
      </c>
      <c r="B4" s="8" t="s">
        <v>128</v>
      </c>
      <c r="C4" s="20" t="s">
        <v>305</v>
      </c>
      <c r="D4" s="9" t="s">
        <v>306</v>
      </c>
      <c r="E4" s="20" t="s">
        <v>307</v>
      </c>
      <c r="F4" s="19" t="s">
        <v>343</v>
      </c>
      <c r="G4" s="9" t="s">
        <v>200</v>
      </c>
      <c r="H4" s="9" t="s">
        <v>201</v>
      </c>
      <c r="I4" s="9" t="s">
        <v>202</v>
      </c>
      <c r="J4" s="9" t="s">
        <v>203</v>
      </c>
      <c r="K4" s="9" t="s">
        <v>204</v>
      </c>
      <c r="L4" s="9" t="s">
        <v>205</v>
      </c>
      <c r="M4" s="9" t="s">
        <v>206</v>
      </c>
      <c r="N4" s="9" t="s">
        <v>207</v>
      </c>
      <c r="O4" s="9" t="s">
        <v>208</v>
      </c>
      <c r="P4" s="9" t="s">
        <v>209</v>
      </c>
      <c r="Q4" s="9" t="s">
        <v>210</v>
      </c>
      <c r="R4" s="9" t="s">
        <v>211</v>
      </c>
      <c r="S4" s="9" t="s">
        <v>212</v>
      </c>
      <c r="T4" s="9" t="s">
        <v>213</v>
      </c>
      <c r="U4" s="9" t="s">
        <v>214</v>
      </c>
      <c r="V4" s="9" t="s">
        <v>215</v>
      </c>
      <c r="W4" s="8" t="s">
        <v>335</v>
      </c>
      <c r="X4" s="9" t="s">
        <v>216</v>
      </c>
      <c r="Y4" s="9" t="s">
        <v>217</v>
      </c>
      <c r="Z4" s="9" t="s">
        <v>218</v>
      </c>
      <c r="AA4" s="9" t="s">
        <v>219</v>
      </c>
      <c r="AB4" s="9" t="s">
        <v>220</v>
      </c>
      <c r="AC4" s="9" t="s">
        <v>221</v>
      </c>
      <c r="AD4" s="9" t="s">
        <v>222</v>
      </c>
      <c r="AE4" s="9" t="s">
        <v>223</v>
      </c>
      <c r="AF4" s="9" t="s">
        <v>224</v>
      </c>
      <c r="AG4" s="9" t="s">
        <v>225</v>
      </c>
      <c r="AH4" s="9" t="s">
        <v>226</v>
      </c>
      <c r="AI4" s="9" t="s">
        <v>227</v>
      </c>
      <c r="AJ4" s="9" t="s">
        <v>228</v>
      </c>
      <c r="AK4" s="9" t="s">
        <v>229</v>
      </c>
      <c r="AL4" s="9" t="s">
        <v>230</v>
      </c>
      <c r="AM4" s="9" t="s">
        <v>231</v>
      </c>
      <c r="AN4" s="9" t="s">
        <v>232</v>
      </c>
      <c r="AO4" s="9" t="s">
        <v>233</v>
      </c>
      <c r="AP4" s="9" t="s">
        <v>234</v>
      </c>
      <c r="AQ4" s="9" t="s">
        <v>235</v>
      </c>
      <c r="AR4" s="9" t="s">
        <v>236</v>
      </c>
      <c r="AS4" s="9" t="s">
        <v>237</v>
      </c>
      <c r="AT4" s="9" t="s">
        <v>238</v>
      </c>
      <c r="AU4" s="9" t="s">
        <v>239</v>
      </c>
      <c r="AV4" s="9" t="s">
        <v>240</v>
      </c>
      <c r="AW4" s="9" t="s">
        <v>241</v>
      </c>
      <c r="AX4" s="9" t="s">
        <v>242</v>
      </c>
      <c r="AY4" s="9" t="s">
        <v>243</v>
      </c>
      <c r="AZ4" s="9" t="s">
        <v>244</v>
      </c>
      <c r="BA4" s="9" t="s">
        <v>245</v>
      </c>
      <c r="BB4" s="9" t="s">
        <v>246</v>
      </c>
      <c r="BC4" s="9" t="s">
        <v>247</v>
      </c>
      <c r="BD4" s="9" t="s">
        <v>308</v>
      </c>
      <c r="BE4" s="9" t="s">
        <v>309</v>
      </c>
      <c r="BF4" s="9" t="s">
        <v>310</v>
      </c>
      <c r="BG4" s="9" t="s">
        <v>408</v>
      </c>
      <c r="BH4" s="9" t="s">
        <v>311</v>
      </c>
      <c r="BI4" s="9" t="s">
        <v>312</v>
      </c>
      <c r="BJ4" s="9" t="s">
        <v>313</v>
      </c>
      <c r="BK4" s="9" t="s">
        <v>314</v>
      </c>
    </row>
    <row r="5" spans="1:63">
      <c r="A5" s="14">
        <v>1000</v>
      </c>
      <c r="B5" s="14" t="s">
        <v>27</v>
      </c>
      <c r="C5" s="21">
        <v>217552.11</v>
      </c>
      <c r="D5" s="21">
        <v>0</v>
      </c>
      <c r="E5" s="21">
        <v>-1091.47</v>
      </c>
      <c r="F5" s="21">
        <f>SUM(C5:E5)</f>
        <v>216460.63999999998</v>
      </c>
      <c r="G5" s="21">
        <v>508838</v>
      </c>
      <c r="H5" s="21">
        <v>0</v>
      </c>
      <c r="I5" s="21">
        <v>0</v>
      </c>
      <c r="J5" s="21">
        <v>0</v>
      </c>
      <c r="K5" s="21">
        <v>0</v>
      </c>
      <c r="L5" s="21">
        <v>26616</v>
      </c>
      <c r="M5" s="21">
        <v>27577</v>
      </c>
      <c r="N5" s="21">
        <v>200527</v>
      </c>
      <c r="O5" s="21">
        <v>24787</v>
      </c>
      <c r="P5" s="21">
        <v>0</v>
      </c>
      <c r="Q5" s="21">
        <v>0</v>
      </c>
      <c r="R5" s="21">
        <v>520</v>
      </c>
      <c r="S5" s="21">
        <v>9456</v>
      </c>
      <c r="T5" s="21">
        <v>0</v>
      </c>
      <c r="U5" s="21">
        <v>0</v>
      </c>
      <c r="V5" s="21">
        <v>0</v>
      </c>
      <c r="W5" s="21">
        <v>0</v>
      </c>
      <c r="X5" s="21">
        <v>198840</v>
      </c>
      <c r="Y5" s="21">
        <v>3926</v>
      </c>
      <c r="Z5" s="21">
        <v>321338</v>
      </c>
      <c r="AA5" s="21">
        <v>26649</v>
      </c>
      <c r="AB5" s="21">
        <v>29743</v>
      </c>
      <c r="AC5" s="21">
        <v>0</v>
      </c>
      <c r="AD5" s="21">
        <v>4788</v>
      </c>
      <c r="AE5" s="21">
        <v>2004</v>
      </c>
      <c r="AF5" s="21">
        <v>3811</v>
      </c>
      <c r="AG5" s="21">
        <v>5435</v>
      </c>
      <c r="AH5" s="21">
        <v>607</v>
      </c>
      <c r="AI5" s="21">
        <v>8242</v>
      </c>
      <c r="AJ5" s="21">
        <v>17462</v>
      </c>
      <c r="AK5" s="21">
        <v>1469</v>
      </c>
      <c r="AL5" s="21">
        <v>872</v>
      </c>
      <c r="AM5" s="21">
        <v>2746</v>
      </c>
      <c r="AN5" s="21">
        <v>1995</v>
      </c>
      <c r="AO5" s="21">
        <v>5295</v>
      </c>
      <c r="AP5" s="21">
        <v>21742</v>
      </c>
      <c r="AQ5" s="21">
        <v>7752</v>
      </c>
      <c r="AR5" s="21">
        <v>0</v>
      </c>
      <c r="AS5" s="21">
        <v>6662</v>
      </c>
      <c r="AT5" s="21">
        <v>919</v>
      </c>
      <c r="AU5" s="21">
        <v>1594</v>
      </c>
      <c r="AV5" s="21">
        <v>11097</v>
      </c>
      <c r="AW5" s="21">
        <v>2378</v>
      </c>
      <c r="AX5" s="21">
        <v>1081</v>
      </c>
      <c r="AY5" s="21">
        <v>19875</v>
      </c>
      <c r="AZ5" s="21">
        <v>0</v>
      </c>
      <c r="BA5" s="21">
        <v>0</v>
      </c>
      <c r="BB5" s="21">
        <v>-1</v>
      </c>
      <c r="BC5" s="21">
        <v>0</v>
      </c>
      <c r="BD5" s="21">
        <v>4692</v>
      </c>
      <c r="BE5" s="21">
        <v>0</v>
      </c>
      <c r="BF5" s="21">
        <v>0</v>
      </c>
      <c r="BG5" s="14">
        <v>5000</v>
      </c>
      <c r="BH5" s="14">
        <v>0</v>
      </c>
      <c r="BI5" s="21">
        <v>5358</v>
      </c>
      <c r="BJ5" s="21">
        <v>0</v>
      </c>
      <c r="BK5" s="21">
        <v>3658</v>
      </c>
    </row>
    <row r="6" spans="1:63">
      <c r="A6" s="14">
        <v>1001</v>
      </c>
      <c r="B6" s="14" t="s">
        <v>28</v>
      </c>
      <c r="C6" s="21">
        <v>139822.57</v>
      </c>
      <c r="D6" s="21">
        <v>23105</v>
      </c>
      <c r="E6" s="21">
        <v>12888.71</v>
      </c>
      <c r="F6" s="21">
        <f t="shared" ref="F6:F69" si="0">SUM(C6:E6)</f>
        <v>175816.28</v>
      </c>
      <c r="G6" s="21">
        <v>414728</v>
      </c>
      <c r="H6" s="21">
        <v>0</v>
      </c>
      <c r="I6" s="21">
        <v>6985</v>
      </c>
      <c r="J6" s="21">
        <v>0</v>
      </c>
      <c r="K6" s="21">
        <v>0</v>
      </c>
      <c r="L6" s="21">
        <v>0</v>
      </c>
      <c r="M6" s="21">
        <v>17256</v>
      </c>
      <c r="N6" s="21">
        <v>115367</v>
      </c>
      <c r="O6" s="21">
        <v>0</v>
      </c>
      <c r="P6" s="21">
        <v>0</v>
      </c>
      <c r="Q6" s="21">
        <v>1900</v>
      </c>
      <c r="R6" s="21">
        <v>0</v>
      </c>
      <c r="S6" s="21">
        <v>3319</v>
      </c>
      <c r="T6" s="21">
        <v>0</v>
      </c>
      <c r="U6" s="21">
        <v>238588</v>
      </c>
      <c r="V6" s="21">
        <v>10999</v>
      </c>
      <c r="W6" s="21">
        <v>0</v>
      </c>
      <c r="X6" s="21">
        <v>189302</v>
      </c>
      <c r="Y6" s="21">
        <v>0</v>
      </c>
      <c r="Z6" s="21">
        <v>167825</v>
      </c>
      <c r="AA6" s="21">
        <v>17511</v>
      </c>
      <c r="AB6" s="21">
        <v>23722</v>
      </c>
      <c r="AC6" s="21">
        <v>0</v>
      </c>
      <c r="AD6" s="21">
        <v>12717</v>
      </c>
      <c r="AE6" s="21">
        <v>625</v>
      </c>
      <c r="AF6" s="21">
        <v>2536</v>
      </c>
      <c r="AG6" s="21">
        <v>5877</v>
      </c>
      <c r="AH6" s="21">
        <v>727</v>
      </c>
      <c r="AI6" s="21">
        <v>7364</v>
      </c>
      <c r="AJ6" s="21">
        <v>1150</v>
      </c>
      <c r="AK6" s="21">
        <v>766</v>
      </c>
      <c r="AL6" s="21">
        <v>982</v>
      </c>
      <c r="AM6" s="21">
        <v>1454</v>
      </c>
      <c r="AN6" s="21">
        <v>12291</v>
      </c>
      <c r="AO6" s="21">
        <v>2986</v>
      </c>
      <c r="AP6" s="21">
        <v>13834</v>
      </c>
      <c r="AQ6" s="21">
        <v>5127</v>
      </c>
      <c r="AR6" s="21">
        <v>0</v>
      </c>
      <c r="AS6" s="21">
        <v>7558</v>
      </c>
      <c r="AT6" s="21">
        <v>470</v>
      </c>
      <c r="AU6" s="21">
        <v>180</v>
      </c>
      <c r="AV6" s="21">
        <v>730</v>
      </c>
      <c r="AW6" s="21">
        <v>260</v>
      </c>
      <c r="AX6" s="21">
        <v>46710</v>
      </c>
      <c r="AY6" s="21">
        <v>9756</v>
      </c>
      <c r="AZ6" s="21">
        <v>0</v>
      </c>
      <c r="BA6" s="21">
        <v>0</v>
      </c>
      <c r="BB6" s="21">
        <v>224750</v>
      </c>
      <c r="BC6" s="21">
        <v>32465</v>
      </c>
      <c r="BD6" s="21">
        <v>4516</v>
      </c>
      <c r="BE6" s="21">
        <v>0</v>
      </c>
      <c r="BF6" s="21">
        <v>0</v>
      </c>
      <c r="BG6" s="14">
        <v>5000</v>
      </c>
      <c r="BH6" s="14">
        <v>0</v>
      </c>
      <c r="BI6" s="21">
        <v>0</v>
      </c>
      <c r="BJ6" s="21">
        <v>0</v>
      </c>
      <c r="BK6" s="21">
        <v>3959</v>
      </c>
    </row>
    <row r="7" spans="1:63">
      <c r="A7" s="14">
        <v>1002</v>
      </c>
      <c r="B7" s="14" t="s">
        <v>29</v>
      </c>
      <c r="C7" s="21">
        <v>168489.88</v>
      </c>
      <c r="D7" s="21">
        <v>0</v>
      </c>
      <c r="E7" s="21">
        <v>-0.24</v>
      </c>
      <c r="F7" s="21">
        <f t="shared" si="0"/>
        <v>168489.64</v>
      </c>
      <c r="G7" s="21">
        <v>572009</v>
      </c>
      <c r="H7" s="21">
        <v>0</v>
      </c>
      <c r="I7" s="21">
        <v>9081</v>
      </c>
      <c r="J7" s="21">
        <v>0</v>
      </c>
      <c r="K7" s="21">
        <v>0</v>
      </c>
      <c r="L7" s="21">
        <v>2500</v>
      </c>
      <c r="M7" s="21">
        <v>5347</v>
      </c>
      <c r="N7" s="21">
        <v>153409</v>
      </c>
      <c r="O7" s="21">
        <v>11282</v>
      </c>
      <c r="P7" s="21">
        <v>0</v>
      </c>
      <c r="Q7" s="21">
        <v>0</v>
      </c>
      <c r="R7" s="21">
        <v>0</v>
      </c>
      <c r="S7" s="21">
        <v>3910</v>
      </c>
      <c r="T7" s="21">
        <v>0</v>
      </c>
      <c r="U7" s="21">
        <v>0</v>
      </c>
      <c r="V7" s="21">
        <v>0</v>
      </c>
      <c r="W7" s="21">
        <v>0</v>
      </c>
      <c r="X7" s="21">
        <v>234541</v>
      </c>
      <c r="Y7" s="21">
        <v>3505</v>
      </c>
      <c r="Z7" s="21">
        <v>266181</v>
      </c>
      <c r="AA7" s="21">
        <v>25911</v>
      </c>
      <c r="AB7" s="21">
        <v>32001</v>
      </c>
      <c r="AC7" s="21">
        <v>0</v>
      </c>
      <c r="AD7" s="21">
        <v>23585</v>
      </c>
      <c r="AE7" s="21">
        <v>2212</v>
      </c>
      <c r="AF7" s="21">
        <v>1940</v>
      </c>
      <c r="AG7" s="21">
        <v>2882</v>
      </c>
      <c r="AH7" s="21">
        <v>3870</v>
      </c>
      <c r="AI7" s="21">
        <v>5894</v>
      </c>
      <c r="AJ7" s="21">
        <v>1983</v>
      </c>
      <c r="AK7" s="21">
        <v>1297</v>
      </c>
      <c r="AL7" s="21">
        <v>995</v>
      </c>
      <c r="AM7" s="21">
        <v>5066</v>
      </c>
      <c r="AN7" s="21">
        <v>5770</v>
      </c>
      <c r="AO7" s="21">
        <v>3095</v>
      </c>
      <c r="AP7" s="21">
        <v>10582</v>
      </c>
      <c r="AQ7" s="21">
        <v>7993</v>
      </c>
      <c r="AR7" s="21">
        <v>0</v>
      </c>
      <c r="AS7" s="21">
        <v>4575</v>
      </c>
      <c r="AT7" s="21">
        <v>1100</v>
      </c>
      <c r="AU7" s="21">
        <v>3499</v>
      </c>
      <c r="AV7" s="21">
        <v>11134</v>
      </c>
      <c r="AW7" s="21">
        <v>1110</v>
      </c>
      <c r="AX7" s="21">
        <v>2231</v>
      </c>
      <c r="AY7" s="21">
        <v>16468</v>
      </c>
      <c r="AZ7" s="21">
        <v>0</v>
      </c>
      <c r="BA7" s="21">
        <v>0</v>
      </c>
      <c r="BB7" s="21">
        <v>0</v>
      </c>
      <c r="BC7" s="21">
        <v>0</v>
      </c>
      <c r="BD7" s="21">
        <v>4860</v>
      </c>
      <c r="BE7" s="21">
        <v>0</v>
      </c>
      <c r="BF7" s="21">
        <v>0</v>
      </c>
      <c r="BG7" s="14">
        <v>5000</v>
      </c>
      <c r="BH7" s="14">
        <v>0</v>
      </c>
      <c r="BI7" s="21">
        <v>0</v>
      </c>
      <c r="BJ7" s="21">
        <v>0</v>
      </c>
      <c r="BK7" s="21">
        <v>0</v>
      </c>
    </row>
    <row r="8" spans="1:63">
      <c r="A8" s="14">
        <v>1003</v>
      </c>
      <c r="B8" s="14" t="s">
        <v>30</v>
      </c>
      <c r="C8" s="21">
        <v>113045.70000000001</v>
      </c>
      <c r="D8" s="21">
        <v>23565</v>
      </c>
      <c r="E8" s="21">
        <v>9839.02</v>
      </c>
      <c r="F8" s="21">
        <f t="shared" si="0"/>
        <v>146449.72</v>
      </c>
      <c r="G8" s="21">
        <v>603524</v>
      </c>
      <c r="H8" s="21">
        <v>0</v>
      </c>
      <c r="I8" s="21">
        <v>3492</v>
      </c>
      <c r="J8" s="21">
        <v>0</v>
      </c>
      <c r="K8" s="21">
        <v>0</v>
      </c>
      <c r="L8" s="21">
        <v>23785</v>
      </c>
      <c r="M8" s="21">
        <v>3290</v>
      </c>
      <c r="N8" s="21">
        <v>117407</v>
      </c>
      <c r="O8" s="21">
        <v>12514</v>
      </c>
      <c r="P8" s="21">
        <v>0</v>
      </c>
      <c r="Q8" s="21">
        <v>3224</v>
      </c>
      <c r="R8" s="21">
        <v>1231</v>
      </c>
      <c r="S8" s="21">
        <v>9988</v>
      </c>
      <c r="T8" s="21">
        <v>0</v>
      </c>
      <c r="U8" s="21">
        <v>240054</v>
      </c>
      <c r="V8" s="21">
        <v>2621</v>
      </c>
      <c r="W8" s="21">
        <v>0</v>
      </c>
      <c r="X8" s="21">
        <v>267280</v>
      </c>
      <c r="Y8" s="21">
        <v>6431</v>
      </c>
      <c r="Z8" s="21">
        <v>248067</v>
      </c>
      <c r="AA8" s="21">
        <v>17599</v>
      </c>
      <c r="AB8" s="21">
        <v>43981</v>
      </c>
      <c r="AC8" s="21">
        <v>0</v>
      </c>
      <c r="AD8" s="21">
        <v>24569</v>
      </c>
      <c r="AE8" s="21">
        <v>2498</v>
      </c>
      <c r="AF8" s="21">
        <v>5161</v>
      </c>
      <c r="AG8" s="21">
        <v>6965</v>
      </c>
      <c r="AH8" s="21">
        <v>2115</v>
      </c>
      <c r="AI8" s="21">
        <v>4775</v>
      </c>
      <c r="AJ8" s="21">
        <v>925</v>
      </c>
      <c r="AK8" s="21">
        <v>1057</v>
      </c>
      <c r="AL8" s="21">
        <v>1119</v>
      </c>
      <c r="AM8" s="21">
        <v>4134</v>
      </c>
      <c r="AN8" s="21">
        <v>7500</v>
      </c>
      <c r="AO8" s="21">
        <v>3938</v>
      </c>
      <c r="AP8" s="21">
        <v>19848</v>
      </c>
      <c r="AQ8" s="21">
        <v>7305</v>
      </c>
      <c r="AR8" s="21">
        <v>0</v>
      </c>
      <c r="AS8" s="21">
        <v>5745</v>
      </c>
      <c r="AT8" s="21">
        <v>739</v>
      </c>
      <c r="AU8" s="21">
        <v>997</v>
      </c>
      <c r="AV8" s="21">
        <v>16459</v>
      </c>
      <c r="AW8" s="21">
        <v>175</v>
      </c>
      <c r="AX8" s="21">
        <v>885</v>
      </c>
      <c r="AY8" s="21">
        <v>17522</v>
      </c>
      <c r="AZ8" s="21">
        <v>0</v>
      </c>
      <c r="BA8" s="21">
        <v>0</v>
      </c>
      <c r="BB8" s="21">
        <v>197073</v>
      </c>
      <c r="BC8" s="21">
        <v>53274</v>
      </c>
      <c r="BD8" s="21">
        <v>5000</v>
      </c>
      <c r="BE8" s="21">
        <v>0</v>
      </c>
      <c r="BF8" s="21">
        <v>0</v>
      </c>
      <c r="BG8" s="14">
        <v>5000</v>
      </c>
      <c r="BH8" s="14">
        <v>0</v>
      </c>
      <c r="BI8" s="21">
        <v>7843</v>
      </c>
      <c r="BJ8" s="21">
        <v>0</v>
      </c>
      <c r="BK8" s="21">
        <v>0</v>
      </c>
    </row>
    <row r="9" spans="1:63">
      <c r="A9" s="14">
        <v>3520</v>
      </c>
      <c r="B9" s="14" t="s">
        <v>248</v>
      </c>
      <c r="C9" s="21">
        <v>52536.63</v>
      </c>
      <c r="D9" s="21">
        <v>0</v>
      </c>
      <c r="E9" s="21">
        <v>0</v>
      </c>
      <c r="F9" s="21">
        <f t="shared" si="0"/>
        <v>52536.63</v>
      </c>
      <c r="G9" s="21">
        <v>1542532</v>
      </c>
      <c r="H9" s="21">
        <v>0</v>
      </c>
      <c r="I9" s="21">
        <v>47129</v>
      </c>
      <c r="J9" s="21">
        <v>0</v>
      </c>
      <c r="K9" s="21">
        <v>3986</v>
      </c>
      <c r="L9" s="21">
        <v>5196</v>
      </c>
      <c r="M9" s="21">
        <v>3650</v>
      </c>
      <c r="N9" s="21">
        <v>19141</v>
      </c>
      <c r="O9" s="21">
        <v>87834</v>
      </c>
      <c r="P9" s="21">
        <v>4879</v>
      </c>
      <c r="Q9" s="21">
        <v>2352</v>
      </c>
      <c r="R9" s="21">
        <v>32818</v>
      </c>
      <c r="S9" s="21">
        <v>467631</v>
      </c>
      <c r="T9" s="21">
        <v>0</v>
      </c>
      <c r="U9" s="21">
        <v>0</v>
      </c>
      <c r="V9" s="21">
        <v>0</v>
      </c>
      <c r="W9" s="21">
        <v>49417</v>
      </c>
      <c r="X9" s="21">
        <v>1017671</v>
      </c>
      <c r="Y9" s="21">
        <v>13083</v>
      </c>
      <c r="Z9" s="21">
        <v>371180</v>
      </c>
      <c r="AA9" s="21">
        <v>35034</v>
      </c>
      <c r="AB9" s="21">
        <v>118734</v>
      </c>
      <c r="AC9" s="21">
        <v>0</v>
      </c>
      <c r="AD9" s="21">
        <v>15427</v>
      </c>
      <c r="AE9" s="21">
        <v>14120</v>
      </c>
      <c r="AF9" s="21">
        <v>11263</v>
      </c>
      <c r="AG9" s="21">
        <v>17971</v>
      </c>
      <c r="AH9" s="21">
        <v>5866</v>
      </c>
      <c r="AI9" s="21">
        <v>37933</v>
      </c>
      <c r="AJ9" s="21">
        <v>7834</v>
      </c>
      <c r="AK9" s="21">
        <v>36502</v>
      </c>
      <c r="AL9" s="21">
        <v>4103</v>
      </c>
      <c r="AM9" s="21">
        <v>26780</v>
      </c>
      <c r="AN9" s="21">
        <v>0</v>
      </c>
      <c r="AO9" s="21">
        <v>88046</v>
      </c>
      <c r="AP9" s="21">
        <v>105364</v>
      </c>
      <c r="AQ9" s="21">
        <v>16886</v>
      </c>
      <c r="AR9" s="21">
        <v>0</v>
      </c>
      <c r="AS9" s="21">
        <v>18722</v>
      </c>
      <c r="AT9" s="21">
        <v>19269</v>
      </c>
      <c r="AU9" s="21">
        <v>1258</v>
      </c>
      <c r="AV9" s="21">
        <v>139753</v>
      </c>
      <c r="AW9" s="21">
        <v>54683</v>
      </c>
      <c r="AX9" s="21">
        <v>44421</v>
      </c>
      <c r="AY9" s="21">
        <v>44135</v>
      </c>
      <c r="AZ9" s="21">
        <v>0</v>
      </c>
      <c r="BA9" s="21">
        <v>0</v>
      </c>
      <c r="BB9" s="21">
        <v>0</v>
      </c>
      <c r="BC9" s="21">
        <v>0</v>
      </c>
      <c r="BD9" s="21">
        <v>0</v>
      </c>
      <c r="BE9" s="21">
        <v>0</v>
      </c>
      <c r="BF9" s="21">
        <v>0</v>
      </c>
      <c r="BG9" s="14">
        <v>5000</v>
      </c>
      <c r="BH9" s="14">
        <v>0</v>
      </c>
      <c r="BI9" s="21">
        <v>0</v>
      </c>
      <c r="BJ9" s="21">
        <v>0</v>
      </c>
      <c r="BK9" s="21">
        <v>13609</v>
      </c>
    </row>
    <row r="10" spans="1:63">
      <c r="A10" s="14">
        <v>3317</v>
      </c>
      <c r="B10" s="14" t="s">
        <v>32</v>
      </c>
      <c r="C10" s="21">
        <v>86131.91</v>
      </c>
      <c r="D10" s="21">
        <v>0</v>
      </c>
      <c r="E10" s="21">
        <v>0</v>
      </c>
      <c r="F10" s="21">
        <f t="shared" si="0"/>
        <v>86131.91</v>
      </c>
      <c r="G10" s="21">
        <v>1092687</v>
      </c>
      <c r="H10" s="21">
        <v>0</v>
      </c>
      <c r="I10" s="21">
        <v>30491</v>
      </c>
      <c r="J10" s="21">
        <v>0</v>
      </c>
      <c r="K10" s="21">
        <v>71086</v>
      </c>
      <c r="L10" s="21">
        <v>2375</v>
      </c>
      <c r="M10" s="21">
        <v>370</v>
      </c>
      <c r="N10" s="21">
        <v>26843</v>
      </c>
      <c r="O10" s="21">
        <v>31689</v>
      </c>
      <c r="P10" s="21">
        <v>0</v>
      </c>
      <c r="Q10" s="21">
        <v>297</v>
      </c>
      <c r="R10" s="21">
        <v>24049</v>
      </c>
      <c r="S10" s="21">
        <v>6994</v>
      </c>
      <c r="T10" s="21">
        <v>0</v>
      </c>
      <c r="U10" s="21">
        <v>0</v>
      </c>
      <c r="V10" s="21">
        <v>0</v>
      </c>
      <c r="W10" s="21">
        <v>31945</v>
      </c>
      <c r="X10" s="21">
        <v>565166</v>
      </c>
      <c r="Y10" s="21">
        <v>0</v>
      </c>
      <c r="Z10" s="21">
        <v>245383</v>
      </c>
      <c r="AA10" s="21">
        <v>25336</v>
      </c>
      <c r="AB10" s="21">
        <v>45062</v>
      </c>
      <c r="AC10" s="21">
        <v>0</v>
      </c>
      <c r="AD10" s="21">
        <v>32299</v>
      </c>
      <c r="AE10" s="21">
        <v>5763</v>
      </c>
      <c r="AF10" s="21">
        <v>2969</v>
      </c>
      <c r="AG10" s="21">
        <v>10615</v>
      </c>
      <c r="AH10" s="21">
        <v>1595</v>
      </c>
      <c r="AI10" s="21">
        <v>21467</v>
      </c>
      <c r="AJ10" s="21">
        <v>10875</v>
      </c>
      <c r="AK10" s="21">
        <v>29046</v>
      </c>
      <c r="AL10" s="21">
        <v>4145</v>
      </c>
      <c r="AM10" s="21">
        <v>18056</v>
      </c>
      <c r="AN10" s="21">
        <v>0</v>
      </c>
      <c r="AO10" s="21">
        <v>5274</v>
      </c>
      <c r="AP10" s="21">
        <v>53978</v>
      </c>
      <c r="AQ10" s="21">
        <v>14850</v>
      </c>
      <c r="AR10" s="21">
        <v>0</v>
      </c>
      <c r="AS10" s="21">
        <v>10564</v>
      </c>
      <c r="AT10" s="21">
        <v>4551</v>
      </c>
      <c r="AU10" s="21">
        <v>5887</v>
      </c>
      <c r="AV10" s="21">
        <v>67675</v>
      </c>
      <c r="AW10" s="21">
        <v>34747</v>
      </c>
      <c r="AX10" s="21">
        <v>44858</v>
      </c>
      <c r="AY10" s="21">
        <v>23796</v>
      </c>
      <c r="AZ10" s="21">
        <v>0</v>
      </c>
      <c r="BA10" s="21">
        <v>15803</v>
      </c>
      <c r="BB10" s="21">
        <v>1</v>
      </c>
      <c r="BC10" s="21">
        <v>0</v>
      </c>
      <c r="BD10" s="21">
        <v>0</v>
      </c>
      <c r="BE10" s="21">
        <v>0</v>
      </c>
      <c r="BF10" s="21">
        <v>15803</v>
      </c>
      <c r="BG10" s="14">
        <v>5000</v>
      </c>
      <c r="BH10" s="14">
        <v>0</v>
      </c>
      <c r="BI10" s="21">
        <v>0</v>
      </c>
      <c r="BJ10" s="21">
        <v>0</v>
      </c>
      <c r="BK10" s="21">
        <v>15803</v>
      </c>
    </row>
    <row r="11" spans="1:63">
      <c r="A11" s="14">
        <v>3300</v>
      </c>
      <c r="B11" s="14" t="s">
        <v>33</v>
      </c>
      <c r="C11" s="21">
        <v>217662.24</v>
      </c>
      <c r="D11" s="21">
        <v>0</v>
      </c>
      <c r="E11" s="21">
        <v>0</v>
      </c>
      <c r="F11" s="21">
        <f t="shared" si="0"/>
        <v>217662.24</v>
      </c>
      <c r="G11" s="21">
        <v>988107</v>
      </c>
      <c r="H11" s="21">
        <v>0</v>
      </c>
      <c r="I11" s="21">
        <v>55984</v>
      </c>
      <c r="J11" s="21">
        <v>0</v>
      </c>
      <c r="K11" s="21">
        <v>119500</v>
      </c>
      <c r="L11" s="21">
        <v>1000</v>
      </c>
      <c r="M11" s="21">
        <v>2020</v>
      </c>
      <c r="N11" s="21">
        <v>996</v>
      </c>
      <c r="O11" s="21">
        <v>17750</v>
      </c>
      <c r="P11" s="21">
        <v>23743</v>
      </c>
      <c r="Q11" s="21">
        <v>0</v>
      </c>
      <c r="R11" s="21">
        <v>16057</v>
      </c>
      <c r="S11" s="21">
        <v>11591</v>
      </c>
      <c r="T11" s="21">
        <v>0</v>
      </c>
      <c r="U11" s="21">
        <v>0</v>
      </c>
      <c r="V11" s="21">
        <v>0</v>
      </c>
      <c r="W11" s="21">
        <v>23717</v>
      </c>
      <c r="X11" s="21">
        <v>541402</v>
      </c>
      <c r="Y11" s="21">
        <v>4967</v>
      </c>
      <c r="Z11" s="21">
        <v>259192</v>
      </c>
      <c r="AA11" s="21">
        <v>16143</v>
      </c>
      <c r="AB11" s="21">
        <v>36482</v>
      </c>
      <c r="AC11" s="21">
        <v>0</v>
      </c>
      <c r="AD11" s="21">
        <v>6356</v>
      </c>
      <c r="AE11" s="21">
        <v>2813</v>
      </c>
      <c r="AF11" s="21">
        <v>5180</v>
      </c>
      <c r="AG11" s="21">
        <v>10003</v>
      </c>
      <c r="AH11" s="21">
        <v>0</v>
      </c>
      <c r="AI11" s="21">
        <v>35705</v>
      </c>
      <c r="AJ11" s="21">
        <v>4462</v>
      </c>
      <c r="AK11" s="21">
        <v>24028</v>
      </c>
      <c r="AL11" s="21">
        <v>3006</v>
      </c>
      <c r="AM11" s="21">
        <v>9731</v>
      </c>
      <c r="AN11" s="21">
        <v>0</v>
      </c>
      <c r="AO11" s="21">
        <v>4748</v>
      </c>
      <c r="AP11" s="21">
        <v>48185</v>
      </c>
      <c r="AQ11" s="21">
        <v>12634</v>
      </c>
      <c r="AR11" s="21">
        <v>0</v>
      </c>
      <c r="AS11" s="21">
        <v>10286</v>
      </c>
      <c r="AT11" s="21">
        <v>4773</v>
      </c>
      <c r="AU11" s="21">
        <v>1067</v>
      </c>
      <c r="AV11" s="21">
        <v>47939</v>
      </c>
      <c r="AW11" s="21">
        <v>27411</v>
      </c>
      <c r="AX11" s="21">
        <v>58019</v>
      </c>
      <c r="AY11" s="21">
        <v>29988</v>
      </c>
      <c r="AZ11" s="21">
        <v>0</v>
      </c>
      <c r="BA11" s="21">
        <v>207134</v>
      </c>
      <c r="BB11" s="21">
        <v>1</v>
      </c>
      <c r="BC11" s="21">
        <v>0</v>
      </c>
      <c r="BD11" s="21">
        <v>0</v>
      </c>
      <c r="BE11" s="21">
        <v>30000</v>
      </c>
      <c r="BF11" s="21">
        <v>207134</v>
      </c>
      <c r="BG11" s="14">
        <v>5000</v>
      </c>
      <c r="BH11" s="14">
        <v>0</v>
      </c>
      <c r="BI11" s="21">
        <v>226355</v>
      </c>
      <c r="BJ11" s="21">
        <v>0</v>
      </c>
      <c r="BK11" s="21">
        <v>10778</v>
      </c>
    </row>
    <row r="12" spans="1:63">
      <c r="A12" s="14">
        <v>3500</v>
      </c>
      <c r="B12" s="14" t="s">
        <v>34</v>
      </c>
      <c r="C12" s="21">
        <v>186724.98</v>
      </c>
      <c r="D12" s="21">
        <v>0</v>
      </c>
      <c r="E12" s="21">
        <v>-3280</v>
      </c>
      <c r="F12" s="21">
        <f t="shared" si="0"/>
        <v>183444.98</v>
      </c>
      <c r="G12" s="21">
        <v>887563</v>
      </c>
      <c r="H12" s="21">
        <v>0</v>
      </c>
      <c r="I12" s="21">
        <v>16879</v>
      </c>
      <c r="J12" s="21">
        <v>0</v>
      </c>
      <c r="K12" s="21">
        <v>27558</v>
      </c>
      <c r="L12" s="21">
        <v>2800</v>
      </c>
      <c r="M12" s="21">
        <v>1671</v>
      </c>
      <c r="N12" s="21">
        <v>2296</v>
      </c>
      <c r="O12" s="21">
        <v>10927</v>
      </c>
      <c r="P12" s="21">
        <v>5596</v>
      </c>
      <c r="Q12" s="21">
        <v>0</v>
      </c>
      <c r="R12" s="21">
        <v>0</v>
      </c>
      <c r="S12" s="21">
        <v>0</v>
      </c>
      <c r="T12" s="21">
        <v>0</v>
      </c>
      <c r="U12" s="21">
        <v>0</v>
      </c>
      <c r="V12" s="21">
        <v>0</v>
      </c>
      <c r="W12" s="21">
        <v>44949</v>
      </c>
      <c r="X12" s="21">
        <v>569785</v>
      </c>
      <c r="Y12" s="21">
        <v>0</v>
      </c>
      <c r="Z12" s="21">
        <v>176313</v>
      </c>
      <c r="AA12" s="21">
        <v>10102</v>
      </c>
      <c r="AB12" s="21">
        <v>34621</v>
      </c>
      <c r="AC12" s="21">
        <v>0</v>
      </c>
      <c r="AD12" s="21">
        <v>2991</v>
      </c>
      <c r="AE12" s="21">
        <v>4974</v>
      </c>
      <c r="AF12" s="21">
        <v>6650</v>
      </c>
      <c r="AG12" s="21">
        <v>7189</v>
      </c>
      <c r="AH12" s="21">
        <v>3059</v>
      </c>
      <c r="AI12" s="21">
        <v>45241</v>
      </c>
      <c r="AJ12" s="21">
        <v>302</v>
      </c>
      <c r="AK12" s="21">
        <v>4849</v>
      </c>
      <c r="AL12" s="21">
        <v>808</v>
      </c>
      <c r="AM12" s="21">
        <v>9926</v>
      </c>
      <c r="AN12" s="21">
        <v>0</v>
      </c>
      <c r="AO12" s="21">
        <v>7468</v>
      </c>
      <c r="AP12" s="21">
        <v>20293</v>
      </c>
      <c r="AQ12" s="21">
        <v>20374</v>
      </c>
      <c r="AR12" s="21">
        <v>0</v>
      </c>
      <c r="AS12" s="21">
        <v>7759</v>
      </c>
      <c r="AT12" s="21">
        <v>3727</v>
      </c>
      <c r="AU12" s="21">
        <v>1075</v>
      </c>
      <c r="AV12" s="21">
        <v>60355</v>
      </c>
      <c r="AW12" s="21">
        <v>0</v>
      </c>
      <c r="AX12" s="21">
        <v>12922</v>
      </c>
      <c r="AY12" s="21">
        <v>21423</v>
      </c>
      <c r="AZ12" s="21">
        <v>0</v>
      </c>
      <c r="BA12" s="21">
        <v>40835</v>
      </c>
      <c r="BB12" s="21">
        <v>0</v>
      </c>
      <c r="BC12" s="21">
        <v>0</v>
      </c>
      <c r="BD12" s="21">
        <v>0</v>
      </c>
      <c r="BE12" s="21">
        <v>0</v>
      </c>
      <c r="BF12" s="21">
        <v>40835</v>
      </c>
      <c r="BG12" s="14">
        <v>5000</v>
      </c>
      <c r="BH12" s="14">
        <v>0</v>
      </c>
      <c r="BI12" s="21">
        <v>17149</v>
      </c>
      <c r="BJ12" s="21">
        <v>0</v>
      </c>
      <c r="BK12" s="21">
        <v>20406</v>
      </c>
    </row>
    <row r="13" spans="1:63">
      <c r="A13" s="14">
        <v>3514</v>
      </c>
      <c r="B13" s="14" t="s">
        <v>35</v>
      </c>
      <c r="C13" s="21">
        <v>89688.11</v>
      </c>
      <c r="D13" s="21">
        <v>0</v>
      </c>
      <c r="E13" s="21">
        <v>0</v>
      </c>
      <c r="F13" s="21">
        <f t="shared" si="0"/>
        <v>89688.11</v>
      </c>
      <c r="G13" s="21">
        <v>955678</v>
      </c>
      <c r="H13" s="21">
        <v>0</v>
      </c>
      <c r="I13" s="21">
        <v>31765</v>
      </c>
      <c r="J13" s="21">
        <v>0</v>
      </c>
      <c r="K13" s="21">
        <v>67600</v>
      </c>
      <c r="L13" s="21">
        <v>1400</v>
      </c>
      <c r="M13" s="21">
        <v>1233</v>
      </c>
      <c r="N13" s="21">
        <v>6389</v>
      </c>
      <c r="O13" s="21">
        <v>40925</v>
      </c>
      <c r="P13" s="21">
        <v>8379</v>
      </c>
      <c r="Q13" s="21">
        <v>0</v>
      </c>
      <c r="R13" s="21">
        <v>15026</v>
      </c>
      <c r="S13" s="21">
        <v>411</v>
      </c>
      <c r="T13" s="21">
        <v>0</v>
      </c>
      <c r="U13" s="21">
        <v>0</v>
      </c>
      <c r="V13" s="21">
        <v>0</v>
      </c>
      <c r="W13" s="21">
        <v>8850</v>
      </c>
      <c r="X13" s="21">
        <v>628426</v>
      </c>
      <c r="Y13" s="21">
        <v>5752</v>
      </c>
      <c r="Z13" s="21">
        <v>85283</v>
      </c>
      <c r="AA13" s="21">
        <v>39906</v>
      </c>
      <c r="AB13" s="21">
        <v>21179</v>
      </c>
      <c r="AC13" s="21">
        <v>0</v>
      </c>
      <c r="AD13" s="21">
        <v>4472</v>
      </c>
      <c r="AE13" s="21">
        <v>6613</v>
      </c>
      <c r="AF13" s="21">
        <v>2853</v>
      </c>
      <c r="AG13" s="21">
        <v>8589</v>
      </c>
      <c r="AH13" s="21">
        <v>941</v>
      </c>
      <c r="AI13" s="21">
        <v>16019</v>
      </c>
      <c r="AJ13" s="21">
        <v>6058</v>
      </c>
      <c r="AK13" s="21">
        <v>2350</v>
      </c>
      <c r="AL13" s="21">
        <v>2259</v>
      </c>
      <c r="AM13" s="21">
        <v>9826</v>
      </c>
      <c r="AN13" s="21">
        <v>0</v>
      </c>
      <c r="AO13" s="21">
        <v>4754</v>
      </c>
      <c r="AP13" s="21">
        <v>39008</v>
      </c>
      <c r="AQ13" s="21">
        <v>19978</v>
      </c>
      <c r="AR13" s="21">
        <v>0</v>
      </c>
      <c r="AS13" s="21">
        <v>5438</v>
      </c>
      <c r="AT13" s="21">
        <v>6252</v>
      </c>
      <c r="AU13" s="21">
        <v>14378</v>
      </c>
      <c r="AV13" s="21">
        <v>50075</v>
      </c>
      <c r="AW13" s="21">
        <v>33844</v>
      </c>
      <c r="AX13" s="21">
        <v>90862</v>
      </c>
      <c r="AY13" s="21">
        <v>30248</v>
      </c>
      <c r="AZ13" s="21">
        <v>0</v>
      </c>
      <c r="BA13" s="21">
        <v>15964</v>
      </c>
      <c r="BB13" s="21">
        <v>0</v>
      </c>
      <c r="BC13" s="21">
        <v>0</v>
      </c>
      <c r="BD13" s="21">
        <v>0</v>
      </c>
      <c r="BE13" s="21">
        <v>0</v>
      </c>
      <c r="BF13" s="21">
        <v>15964</v>
      </c>
      <c r="BG13" s="14">
        <v>5000</v>
      </c>
      <c r="BH13" s="14">
        <v>0</v>
      </c>
      <c r="BI13" s="21">
        <v>10000</v>
      </c>
      <c r="BJ13" s="21">
        <v>0</v>
      </c>
      <c r="BK13" s="21">
        <v>5964</v>
      </c>
    </row>
    <row r="14" spans="1:63">
      <c r="A14" s="14">
        <v>2002</v>
      </c>
      <c r="B14" s="14" t="s">
        <v>36</v>
      </c>
      <c r="C14" s="21">
        <v>165216.20000000001</v>
      </c>
      <c r="D14" s="21">
        <v>21388</v>
      </c>
      <c r="E14" s="21">
        <v>-0.42</v>
      </c>
      <c r="F14" s="21">
        <f t="shared" si="0"/>
        <v>186603.78</v>
      </c>
      <c r="G14" s="21">
        <v>2476237</v>
      </c>
      <c r="H14" s="21">
        <v>0</v>
      </c>
      <c r="I14" s="21">
        <v>93529</v>
      </c>
      <c r="J14" s="21">
        <v>0</v>
      </c>
      <c r="K14" s="21">
        <v>328300</v>
      </c>
      <c r="L14" s="21">
        <v>300</v>
      </c>
      <c r="M14" s="21">
        <v>4572</v>
      </c>
      <c r="N14" s="21">
        <v>47362</v>
      </c>
      <c r="O14" s="21">
        <v>42201</v>
      </c>
      <c r="P14" s="21">
        <v>16416</v>
      </c>
      <c r="Q14" s="21">
        <v>3765</v>
      </c>
      <c r="R14" s="21">
        <v>19143</v>
      </c>
      <c r="S14" s="21">
        <v>2520</v>
      </c>
      <c r="T14" s="21">
        <v>0</v>
      </c>
      <c r="U14" s="21">
        <v>349053</v>
      </c>
      <c r="V14" s="21">
        <v>8175</v>
      </c>
      <c r="W14" s="21">
        <v>40366</v>
      </c>
      <c r="X14" s="21">
        <v>1241321</v>
      </c>
      <c r="Y14" s="21">
        <v>0</v>
      </c>
      <c r="Z14" s="21">
        <v>640416</v>
      </c>
      <c r="AA14" s="21">
        <v>38338</v>
      </c>
      <c r="AB14" s="21">
        <v>57341</v>
      </c>
      <c r="AC14" s="21">
        <v>0</v>
      </c>
      <c r="AD14" s="21">
        <v>96182</v>
      </c>
      <c r="AE14" s="21">
        <v>18174</v>
      </c>
      <c r="AF14" s="21">
        <v>7956</v>
      </c>
      <c r="AG14" s="21">
        <v>14031</v>
      </c>
      <c r="AH14" s="21">
        <v>13875</v>
      </c>
      <c r="AI14" s="21">
        <v>32496</v>
      </c>
      <c r="AJ14" s="21">
        <v>800</v>
      </c>
      <c r="AK14" s="21">
        <v>64276</v>
      </c>
      <c r="AL14" s="21">
        <v>-2472</v>
      </c>
      <c r="AM14" s="21">
        <v>36865</v>
      </c>
      <c r="AN14" s="21">
        <v>26028</v>
      </c>
      <c r="AO14" s="21">
        <v>9194</v>
      </c>
      <c r="AP14" s="21">
        <v>158862</v>
      </c>
      <c r="AQ14" s="21">
        <v>22971</v>
      </c>
      <c r="AR14" s="21">
        <v>0</v>
      </c>
      <c r="AS14" s="21">
        <v>34135</v>
      </c>
      <c r="AT14" s="21">
        <v>14409</v>
      </c>
      <c r="AU14" s="21">
        <v>24913</v>
      </c>
      <c r="AV14" s="21">
        <v>115289</v>
      </c>
      <c r="AW14" s="21">
        <v>65287</v>
      </c>
      <c r="AX14" s="21">
        <v>169646</v>
      </c>
      <c r="AY14" s="21">
        <v>20568</v>
      </c>
      <c r="AZ14" s="21">
        <v>0</v>
      </c>
      <c r="BA14" s="21">
        <v>15820</v>
      </c>
      <c r="BB14" s="21">
        <v>267020</v>
      </c>
      <c r="BC14" s="21">
        <v>66079</v>
      </c>
      <c r="BD14" s="21">
        <v>9720</v>
      </c>
      <c r="BE14" s="21">
        <v>0</v>
      </c>
      <c r="BF14" s="21">
        <v>15820</v>
      </c>
      <c r="BG14" s="14">
        <v>5000</v>
      </c>
      <c r="BH14" s="14">
        <v>0</v>
      </c>
      <c r="BI14" s="21">
        <v>0</v>
      </c>
      <c r="BJ14" s="21">
        <v>0</v>
      </c>
      <c r="BK14" s="21">
        <v>15820</v>
      </c>
    </row>
    <row r="15" spans="1:63">
      <c r="A15" s="14">
        <v>2079</v>
      </c>
      <c r="B15" s="14" t="s">
        <v>37</v>
      </c>
      <c r="C15" s="21">
        <v>18233.23</v>
      </c>
      <c r="D15" s="21">
        <v>0</v>
      </c>
      <c r="E15" s="21">
        <v>0</v>
      </c>
      <c r="F15" s="21">
        <f t="shared" si="0"/>
        <v>18233.23</v>
      </c>
      <c r="G15" s="21">
        <v>1843379</v>
      </c>
      <c r="H15" s="21">
        <v>0</v>
      </c>
      <c r="I15" s="21">
        <v>26021</v>
      </c>
      <c r="J15" s="21">
        <v>0</v>
      </c>
      <c r="K15" s="21">
        <v>39690</v>
      </c>
      <c r="L15" s="21">
        <v>-1760</v>
      </c>
      <c r="M15" s="21">
        <v>3240</v>
      </c>
      <c r="N15" s="21">
        <v>14</v>
      </c>
      <c r="O15" s="21">
        <v>22507</v>
      </c>
      <c r="P15" s="21">
        <v>33652</v>
      </c>
      <c r="Q15" s="21">
        <v>7157</v>
      </c>
      <c r="R15" s="21">
        <v>2372</v>
      </c>
      <c r="S15" s="21">
        <v>35737</v>
      </c>
      <c r="T15" s="21">
        <v>0</v>
      </c>
      <c r="U15" s="21">
        <v>0</v>
      </c>
      <c r="V15" s="21">
        <v>0</v>
      </c>
      <c r="W15" s="21">
        <v>50215</v>
      </c>
      <c r="X15" s="21">
        <v>1354029</v>
      </c>
      <c r="Y15" s="21">
        <v>0</v>
      </c>
      <c r="Z15" s="21">
        <v>140017</v>
      </c>
      <c r="AA15" s="21">
        <v>13873</v>
      </c>
      <c r="AB15" s="21">
        <v>92911</v>
      </c>
      <c r="AC15" s="21">
        <v>0</v>
      </c>
      <c r="AD15" s="21">
        <v>62013</v>
      </c>
      <c r="AE15" s="21">
        <v>11595</v>
      </c>
      <c r="AF15" s="21">
        <v>22460</v>
      </c>
      <c r="AG15" s="21">
        <v>17152</v>
      </c>
      <c r="AH15" s="21">
        <v>263</v>
      </c>
      <c r="AI15" s="21">
        <v>15160</v>
      </c>
      <c r="AJ15" s="21">
        <v>0</v>
      </c>
      <c r="AK15" s="21">
        <v>75953</v>
      </c>
      <c r="AL15" s="21">
        <v>6844</v>
      </c>
      <c r="AM15" s="21">
        <v>26218</v>
      </c>
      <c r="AN15" s="21">
        <v>13956</v>
      </c>
      <c r="AO15" s="21">
        <v>20826</v>
      </c>
      <c r="AP15" s="21">
        <v>48098</v>
      </c>
      <c r="AQ15" s="21">
        <v>46996</v>
      </c>
      <c r="AR15" s="21">
        <v>0</v>
      </c>
      <c r="AS15" s="21">
        <v>64135</v>
      </c>
      <c r="AT15" s="21">
        <v>0</v>
      </c>
      <c r="AU15" s="21">
        <v>9961</v>
      </c>
      <c r="AV15" s="21">
        <v>60653</v>
      </c>
      <c r="AW15" s="21">
        <v>0</v>
      </c>
      <c r="AX15" s="21">
        <v>28825</v>
      </c>
      <c r="AY15" s="21">
        <v>26832</v>
      </c>
      <c r="AZ15" s="21">
        <v>0</v>
      </c>
      <c r="BA15" s="21">
        <v>0</v>
      </c>
      <c r="BB15" s="21">
        <v>0</v>
      </c>
      <c r="BC15" s="21">
        <v>0</v>
      </c>
      <c r="BD15" s="21">
        <v>1</v>
      </c>
      <c r="BE15" s="21">
        <v>0</v>
      </c>
      <c r="BF15" s="21">
        <v>0</v>
      </c>
      <c r="BG15" s="14">
        <v>5000</v>
      </c>
      <c r="BH15" s="14">
        <v>0</v>
      </c>
      <c r="BI15" s="21">
        <v>1</v>
      </c>
      <c r="BJ15" s="21">
        <v>0</v>
      </c>
      <c r="BK15" s="21">
        <v>0</v>
      </c>
    </row>
    <row r="16" spans="1:63">
      <c r="A16" s="14">
        <v>3524</v>
      </c>
      <c r="B16" s="14" t="s">
        <v>330</v>
      </c>
      <c r="C16" s="21">
        <v>65947.600000000006</v>
      </c>
      <c r="D16" s="21">
        <v>0</v>
      </c>
      <c r="E16" s="21">
        <v>0</v>
      </c>
      <c r="F16" s="21">
        <f t="shared" si="0"/>
        <v>65947.600000000006</v>
      </c>
      <c r="G16" s="21">
        <v>876009</v>
      </c>
      <c r="H16" s="21">
        <v>0</v>
      </c>
      <c r="I16" s="21">
        <v>146302</v>
      </c>
      <c r="J16" s="21">
        <v>0</v>
      </c>
      <c r="K16" s="21">
        <v>23400</v>
      </c>
      <c r="L16" s="21">
        <v>0</v>
      </c>
      <c r="M16" s="21">
        <v>0</v>
      </c>
      <c r="N16" s="21">
        <v>0</v>
      </c>
      <c r="O16" s="21">
        <v>29032</v>
      </c>
      <c r="P16" s="21">
        <v>0</v>
      </c>
      <c r="Q16" s="21">
        <v>0</v>
      </c>
      <c r="R16" s="21">
        <v>19943</v>
      </c>
      <c r="S16" s="21">
        <v>30000</v>
      </c>
      <c r="T16" s="21">
        <v>18000</v>
      </c>
      <c r="U16" s="21">
        <v>0</v>
      </c>
      <c r="V16" s="21">
        <v>0</v>
      </c>
      <c r="W16" s="21">
        <v>27874</v>
      </c>
      <c r="X16" s="21">
        <v>578848</v>
      </c>
      <c r="Y16" s="21">
        <v>0</v>
      </c>
      <c r="Z16" s="21">
        <v>139317</v>
      </c>
      <c r="AA16" s="21">
        <v>0</v>
      </c>
      <c r="AB16" s="21">
        <v>37970</v>
      </c>
      <c r="AC16" s="21">
        <v>0</v>
      </c>
      <c r="AD16" s="21">
        <v>2146</v>
      </c>
      <c r="AE16" s="21">
        <v>5658</v>
      </c>
      <c r="AF16" s="21">
        <v>13538</v>
      </c>
      <c r="AG16" s="21">
        <v>675</v>
      </c>
      <c r="AH16" s="21">
        <v>4830</v>
      </c>
      <c r="AI16" s="21">
        <v>53657</v>
      </c>
      <c r="AJ16" s="21">
        <v>1439</v>
      </c>
      <c r="AK16" s="21">
        <v>50781</v>
      </c>
      <c r="AL16" s="21">
        <v>1812</v>
      </c>
      <c r="AM16" s="21">
        <v>10849</v>
      </c>
      <c r="AN16" s="21">
        <v>0</v>
      </c>
      <c r="AO16" s="21">
        <v>6597</v>
      </c>
      <c r="AP16" s="21">
        <v>94127</v>
      </c>
      <c r="AQ16" s="21">
        <v>14879</v>
      </c>
      <c r="AR16" s="21">
        <v>0</v>
      </c>
      <c r="AS16" s="21">
        <v>14038</v>
      </c>
      <c r="AT16" s="21">
        <v>9548</v>
      </c>
      <c r="AU16" s="21">
        <v>0</v>
      </c>
      <c r="AV16" s="21">
        <v>47201</v>
      </c>
      <c r="AW16" s="21">
        <v>72780</v>
      </c>
      <c r="AX16" s="21">
        <v>26160</v>
      </c>
      <c r="AY16" s="21">
        <v>22993</v>
      </c>
      <c r="AZ16" s="21">
        <v>0</v>
      </c>
      <c r="BA16" s="21">
        <v>0</v>
      </c>
      <c r="BB16" s="21">
        <v>0</v>
      </c>
      <c r="BC16" s="21">
        <v>0</v>
      </c>
      <c r="BD16" s="21">
        <v>0</v>
      </c>
      <c r="BE16" s="21">
        <v>0</v>
      </c>
      <c r="BF16" s="21">
        <v>0</v>
      </c>
      <c r="BG16" s="14">
        <v>5000</v>
      </c>
      <c r="BH16" s="14">
        <v>0</v>
      </c>
      <c r="BI16" s="21">
        <v>0</v>
      </c>
      <c r="BJ16" s="21">
        <v>0</v>
      </c>
      <c r="BK16" s="21">
        <v>0</v>
      </c>
    </row>
    <row r="17" spans="1:63">
      <c r="A17" s="14">
        <v>2003</v>
      </c>
      <c r="B17" s="14" t="s">
        <v>38</v>
      </c>
      <c r="C17" s="21">
        <v>158993.93</v>
      </c>
      <c r="D17" s="21">
        <v>31931</v>
      </c>
      <c r="E17" s="21">
        <v>0.01</v>
      </c>
      <c r="F17" s="21">
        <f t="shared" si="0"/>
        <v>190924.94</v>
      </c>
      <c r="G17" s="21">
        <v>1876771</v>
      </c>
      <c r="H17" s="21">
        <v>0</v>
      </c>
      <c r="I17" s="21">
        <v>78101</v>
      </c>
      <c r="J17" s="21">
        <v>0</v>
      </c>
      <c r="K17" s="21">
        <v>205065</v>
      </c>
      <c r="L17" s="21">
        <v>3206</v>
      </c>
      <c r="M17" s="21">
        <v>1010</v>
      </c>
      <c r="N17" s="21">
        <v>28483</v>
      </c>
      <c r="O17" s="21">
        <v>29299</v>
      </c>
      <c r="P17" s="21">
        <v>9405</v>
      </c>
      <c r="Q17" s="21">
        <v>14707</v>
      </c>
      <c r="R17" s="21">
        <v>11360</v>
      </c>
      <c r="S17" s="21">
        <v>2019</v>
      </c>
      <c r="T17" s="21">
        <v>0</v>
      </c>
      <c r="U17" s="21">
        <v>269263</v>
      </c>
      <c r="V17" s="21">
        <v>4515</v>
      </c>
      <c r="W17" s="21">
        <v>34617</v>
      </c>
      <c r="X17" s="21">
        <v>982150</v>
      </c>
      <c r="Y17" s="21">
        <v>21049</v>
      </c>
      <c r="Z17" s="21">
        <v>415787</v>
      </c>
      <c r="AA17" s="21">
        <v>62553</v>
      </c>
      <c r="AB17" s="21">
        <v>73727</v>
      </c>
      <c r="AC17" s="21">
        <v>0</v>
      </c>
      <c r="AD17" s="21">
        <v>52289</v>
      </c>
      <c r="AE17" s="21">
        <v>21521</v>
      </c>
      <c r="AF17" s="21">
        <v>31693</v>
      </c>
      <c r="AG17" s="21">
        <v>18903</v>
      </c>
      <c r="AH17" s="21">
        <v>1561</v>
      </c>
      <c r="AI17" s="21">
        <v>58784</v>
      </c>
      <c r="AJ17" s="21">
        <v>3241</v>
      </c>
      <c r="AK17" s="21">
        <v>22336</v>
      </c>
      <c r="AL17" s="21">
        <v>4929</v>
      </c>
      <c r="AM17" s="21">
        <v>27370</v>
      </c>
      <c r="AN17" s="21">
        <v>18545</v>
      </c>
      <c r="AO17" s="21">
        <v>4442</v>
      </c>
      <c r="AP17" s="21">
        <v>83704</v>
      </c>
      <c r="AQ17" s="21">
        <v>22151</v>
      </c>
      <c r="AR17" s="21">
        <v>0</v>
      </c>
      <c r="AS17" s="21">
        <v>37855</v>
      </c>
      <c r="AT17" s="21">
        <v>8307</v>
      </c>
      <c r="AU17" s="21">
        <v>11766</v>
      </c>
      <c r="AV17" s="21">
        <v>90759</v>
      </c>
      <c r="AW17" s="21">
        <v>83702</v>
      </c>
      <c r="AX17" s="21">
        <v>178116</v>
      </c>
      <c r="AY17" s="21">
        <v>38297</v>
      </c>
      <c r="AZ17" s="21">
        <v>0</v>
      </c>
      <c r="BA17" s="21">
        <v>22763</v>
      </c>
      <c r="BB17" s="21">
        <v>230866</v>
      </c>
      <c r="BC17" s="21">
        <v>60784</v>
      </c>
      <c r="BD17" s="21">
        <v>8484</v>
      </c>
      <c r="BE17" s="21">
        <v>0</v>
      </c>
      <c r="BF17" s="21">
        <v>22763</v>
      </c>
      <c r="BG17" s="14">
        <v>5000</v>
      </c>
      <c r="BH17" s="14">
        <v>0</v>
      </c>
      <c r="BI17" s="21">
        <v>25000</v>
      </c>
      <c r="BJ17" s="21">
        <v>0</v>
      </c>
      <c r="BK17" s="21">
        <v>6246</v>
      </c>
    </row>
    <row r="18" spans="1:63">
      <c r="A18" s="14">
        <v>3511</v>
      </c>
      <c r="B18" s="14" t="s">
        <v>39</v>
      </c>
      <c r="C18" s="21">
        <v>217914.42</v>
      </c>
      <c r="D18" s="21">
        <v>0</v>
      </c>
      <c r="E18" s="21">
        <v>0</v>
      </c>
      <c r="F18" s="21">
        <f t="shared" si="0"/>
        <v>217914.42</v>
      </c>
      <c r="G18" s="21">
        <v>1509471</v>
      </c>
      <c r="H18" s="21">
        <v>0</v>
      </c>
      <c r="I18" s="21">
        <v>123412</v>
      </c>
      <c r="J18" s="21">
        <v>0</v>
      </c>
      <c r="K18" s="21">
        <v>116424</v>
      </c>
      <c r="L18" s="21">
        <v>1500</v>
      </c>
      <c r="M18" s="21">
        <v>600</v>
      </c>
      <c r="N18" s="21">
        <v>32648</v>
      </c>
      <c r="O18" s="21">
        <v>33961</v>
      </c>
      <c r="P18" s="21">
        <v>0</v>
      </c>
      <c r="Q18" s="21">
        <v>0</v>
      </c>
      <c r="R18" s="21">
        <v>25561</v>
      </c>
      <c r="S18" s="21">
        <v>13860</v>
      </c>
      <c r="T18" s="21">
        <v>0</v>
      </c>
      <c r="U18" s="21">
        <v>0</v>
      </c>
      <c r="V18" s="21">
        <v>0</v>
      </c>
      <c r="W18" s="21">
        <v>40345</v>
      </c>
      <c r="X18" s="21">
        <v>730536</v>
      </c>
      <c r="Y18" s="21">
        <v>33965</v>
      </c>
      <c r="Z18" s="21">
        <v>330302</v>
      </c>
      <c r="AA18" s="21">
        <v>31873</v>
      </c>
      <c r="AB18" s="21">
        <v>80552</v>
      </c>
      <c r="AC18" s="21">
        <v>0</v>
      </c>
      <c r="AD18" s="21">
        <v>43215</v>
      </c>
      <c r="AE18" s="21">
        <v>17089</v>
      </c>
      <c r="AF18" s="21">
        <v>39904</v>
      </c>
      <c r="AG18" s="21">
        <v>7985</v>
      </c>
      <c r="AH18" s="21">
        <v>1411</v>
      </c>
      <c r="AI18" s="21">
        <v>20658</v>
      </c>
      <c r="AJ18" s="21">
        <v>887</v>
      </c>
      <c r="AK18" s="21">
        <v>14907</v>
      </c>
      <c r="AL18" s="21">
        <v>6860</v>
      </c>
      <c r="AM18" s="21">
        <v>18893</v>
      </c>
      <c r="AN18" s="21">
        <v>0</v>
      </c>
      <c r="AO18" s="21">
        <v>18043</v>
      </c>
      <c r="AP18" s="21">
        <v>129896</v>
      </c>
      <c r="AQ18" s="21">
        <v>37853</v>
      </c>
      <c r="AR18" s="21">
        <v>0</v>
      </c>
      <c r="AS18" s="21">
        <v>20577</v>
      </c>
      <c r="AT18" s="21">
        <v>8769</v>
      </c>
      <c r="AU18" s="21">
        <v>38843</v>
      </c>
      <c r="AV18" s="21">
        <v>92907</v>
      </c>
      <c r="AW18" s="21">
        <v>68540</v>
      </c>
      <c r="AX18" s="21">
        <v>85253</v>
      </c>
      <c r="AY18" s="21">
        <v>26115</v>
      </c>
      <c r="AZ18" s="21">
        <v>0</v>
      </c>
      <c r="BA18" s="21">
        <v>67950</v>
      </c>
      <c r="BB18" s="21">
        <v>1</v>
      </c>
      <c r="BC18" s="21">
        <v>0</v>
      </c>
      <c r="BD18" s="21">
        <v>0</v>
      </c>
      <c r="BE18" s="21">
        <v>0</v>
      </c>
      <c r="BF18" s="21">
        <v>67950</v>
      </c>
      <c r="BG18" s="14">
        <v>5000</v>
      </c>
      <c r="BH18" s="14">
        <v>0</v>
      </c>
      <c r="BI18" s="21">
        <v>40003</v>
      </c>
      <c r="BJ18" s="21">
        <v>13860</v>
      </c>
      <c r="BK18" s="21">
        <v>14087</v>
      </c>
    </row>
    <row r="19" spans="1:63">
      <c r="A19" s="14">
        <v>2008</v>
      </c>
      <c r="B19" s="14" t="s">
        <v>41</v>
      </c>
      <c r="C19" s="21">
        <v>62439.79</v>
      </c>
      <c r="D19" s="21">
        <v>0</v>
      </c>
      <c r="E19" s="21">
        <v>7330</v>
      </c>
      <c r="F19" s="21">
        <f t="shared" si="0"/>
        <v>69769.790000000008</v>
      </c>
      <c r="G19" s="21">
        <v>1245208</v>
      </c>
      <c r="H19" s="21">
        <v>0</v>
      </c>
      <c r="I19" s="21">
        <v>41434</v>
      </c>
      <c r="J19" s="21">
        <v>0</v>
      </c>
      <c r="K19" s="21">
        <v>66150</v>
      </c>
      <c r="L19" s="21">
        <v>3710</v>
      </c>
      <c r="M19" s="21">
        <v>1610</v>
      </c>
      <c r="N19" s="21">
        <v>30223</v>
      </c>
      <c r="O19" s="21">
        <v>17625</v>
      </c>
      <c r="P19" s="21">
        <v>38497</v>
      </c>
      <c r="Q19" s="21">
        <v>344</v>
      </c>
      <c r="R19" s="21">
        <v>19625</v>
      </c>
      <c r="S19" s="21">
        <v>2516</v>
      </c>
      <c r="T19" s="21">
        <v>0</v>
      </c>
      <c r="U19" s="21">
        <v>0</v>
      </c>
      <c r="V19" s="21">
        <v>0</v>
      </c>
      <c r="W19" s="21">
        <v>58333</v>
      </c>
      <c r="X19" s="21">
        <v>629652</v>
      </c>
      <c r="Y19" s="21">
        <v>0</v>
      </c>
      <c r="Z19" s="21">
        <v>294778</v>
      </c>
      <c r="AA19" s="21">
        <v>33374</v>
      </c>
      <c r="AB19" s="21">
        <v>63999</v>
      </c>
      <c r="AC19" s="21">
        <v>0</v>
      </c>
      <c r="AD19" s="21">
        <v>29597</v>
      </c>
      <c r="AE19" s="21">
        <v>13563</v>
      </c>
      <c r="AF19" s="21">
        <v>9309</v>
      </c>
      <c r="AG19" s="21">
        <v>7153</v>
      </c>
      <c r="AH19" s="21">
        <v>7359</v>
      </c>
      <c r="AI19" s="21">
        <v>13255</v>
      </c>
      <c r="AJ19" s="21">
        <v>5369</v>
      </c>
      <c r="AK19" s="21">
        <v>15553</v>
      </c>
      <c r="AL19" s="21">
        <v>3697</v>
      </c>
      <c r="AM19" s="21">
        <v>21975</v>
      </c>
      <c r="AN19" s="21">
        <v>16315</v>
      </c>
      <c r="AO19" s="21">
        <v>7560</v>
      </c>
      <c r="AP19" s="21">
        <v>38181</v>
      </c>
      <c r="AQ19" s="21">
        <v>16967</v>
      </c>
      <c r="AR19" s="21">
        <v>0</v>
      </c>
      <c r="AS19" s="21">
        <v>9278</v>
      </c>
      <c r="AT19" s="21">
        <v>5990</v>
      </c>
      <c r="AU19" s="21">
        <v>10794</v>
      </c>
      <c r="AV19" s="21">
        <v>82369</v>
      </c>
      <c r="AW19" s="21">
        <v>139052</v>
      </c>
      <c r="AX19" s="21">
        <v>13541</v>
      </c>
      <c r="AY19" s="21">
        <v>29244</v>
      </c>
      <c r="AZ19" s="21">
        <v>0</v>
      </c>
      <c r="BA19" s="21">
        <v>11765</v>
      </c>
      <c r="BB19" s="21">
        <v>0</v>
      </c>
      <c r="BC19" s="21">
        <v>0</v>
      </c>
      <c r="BD19" s="21">
        <v>7285</v>
      </c>
      <c r="BE19" s="21">
        <v>29874</v>
      </c>
      <c r="BF19" s="21">
        <v>11765</v>
      </c>
      <c r="BG19" s="14">
        <v>5000</v>
      </c>
      <c r="BH19" s="14">
        <v>0</v>
      </c>
      <c r="BI19" s="21">
        <v>15508</v>
      </c>
      <c r="BJ19" s="21">
        <v>0</v>
      </c>
      <c r="BK19" s="21">
        <v>33415</v>
      </c>
    </row>
    <row r="20" spans="1:63">
      <c r="A20" s="14">
        <v>2007</v>
      </c>
      <c r="B20" s="14" t="s">
        <v>42</v>
      </c>
      <c r="C20" s="21">
        <v>196812.72</v>
      </c>
      <c r="D20" s="21">
        <v>0</v>
      </c>
      <c r="E20" s="21">
        <v>10387</v>
      </c>
      <c r="F20" s="21">
        <f t="shared" si="0"/>
        <v>207199.72</v>
      </c>
      <c r="G20" s="21">
        <v>1406719</v>
      </c>
      <c r="H20" s="21">
        <v>0</v>
      </c>
      <c r="I20" s="21">
        <v>117915</v>
      </c>
      <c r="J20" s="21">
        <v>0</v>
      </c>
      <c r="K20" s="21">
        <v>72019</v>
      </c>
      <c r="L20" s="21">
        <v>6650</v>
      </c>
      <c r="M20" s="21">
        <v>1340</v>
      </c>
      <c r="N20" s="21">
        <v>35300</v>
      </c>
      <c r="O20" s="21">
        <v>54085</v>
      </c>
      <c r="P20" s="21">
        <v>4788</v>
      </c>
      <c r="Q20" s="21">
        <v>0</v>
      </c>
      <c r="R20" s="21">
        <v>45994</v>
      </c>
      <c r="S20" s="21">
        <v>6497</v>
      </c>
      <c r="T20" s="21">
        <v>0</v>
      </c>
      <c r="U20" s="21">
        <v>0</v>
      </c>
      <c r="V20" s="21">
        <v>0</v>
      </c>
      <c r="W20" s="21">
        <v>9496</v>
      </c>
      <c r="X20" s="21">
        <v>812160</v>
      </c>
      <c r="Y20" s="21">
        <v>0</v>
      </c>
      <c r="Z20" s="21">
        <v>255808</v>
      </c>
      <c r="AA20" s="21">
        <v>40729</v>
      </c>
      <c r="AB20" s="21">
        <v>49625</v>
      </c>
      <c r="AC20" s="21">
        <v>0</v>
      </c>
      <c r="AD20" s="21">
        <v>29343</v>
      </c>
      <c r="AE20" s="21">
        <v>11527</v>
      </c>
      <c r="AF20" s="21">
        <v>14656</v>
      </c>
      <c r="AG20" s="21">
        <v>14281</v>
      </c>
      <c r="AH20" s="21">
        <v>1499</v>
      </c>
      <c r="AI20" s="21">
        <v>24754</v>
      </c>
      <c r="AJ20" s="21">
        <v>5084</v>
      </c>
      <c r="AK20" s="21">
        <v>18631</v>
      </c>
      <c r="AL20" s="21">
        <v>3674</v>
      </c>
      <c r="AM20" s="21">
        <v>23044</v>
      </c>
      <c r="AN20" s="21">
        <v>16315</v>
      </c>
      <c r="AO20" s="21">
        <v>7183</v>
      </c>
      <c r="AP20" s="21">
        <v>68953</v>
      </c>
      <c r="AQ20" s="21">
        <v>21135</v>
      </c>
      <c r="AR20" s="21">
        <v>0</v>
      </c>
      <c r="AS20" s="21">
        <v>14318</v>
      </c>
      <c r="AT20" s="21">
        <v>7177</v>
      </c>
      <c r="AU20" s="21">
        <v>4700</v>
      </c>
      <c r="AV20" s="21">
        <v>65226</v>
      </c>
      <c r="AW20" s="21">
        <v>30175</v>
      </c>
      <c r="AX20" s="21">
        <v>171729</v>
      </c>
      <c r="AY20" s="21">
        <v>41479</v>
      </c>
      <c r="AZ20" s="21">
        <v>0</v>
      </c>
      <c r="BA20" s="21">
        <v>43713</v>
      </c>
      <c r="BB20" s="21">
        <v>0</v>
      </c>
      <c r="BC20" s="21">
        <v>0</v>
      </c>
      <c r="BD20" s="21">
        <v>8028</v>
      </c>
      <c r="BE20" s="21">
        <v>0</v>
      </c>
      <c r="BF20" s="21">
        <v>43713</v>
      </c>
      <c r="BG20" s="14">
        <v>5000</v>
      </c>
      <c r="BH20" s="14">
        <v>0</v>
      </c>
      <c r="BI20" s="21">
        <v>6329</v>
      </c>
      <c r="BJ20" s="21">
        <v>0</v>
      </c>
      <c r="BK20" s="21">
        <v>45412</v>
      </c>
    </row>
    <row r="21" spans="1:63">
      <c r="A21" s="14">
        <v>2009</v>
      </c>
      <c r="B21" s="14" t="s">
        <v>43</v>
      </c>
      <c r="C21" s="21">
        <v>221224.95</v>
      </c>
      <c r="D21" s="21">
        <v>0</v>
      </c>
      <c r="E21" s="21">
        <v>7508.08</v>
      </c>
      <c r="F21" s="21">
        <f t="shared" si="0"/>
        <v>228733.03</v>
      </c>
      <c r="G21" s="21">
        <v>1536779</v>
      </c>
      <c r="H21" s="21">
        <v>0</v>
      </c>
      <c r="I21" s="21">
        <v>14612</v>
      </c>
      <c r="J21" s="21">
        <v>0</v>
      </c>
      <c r="K21" s="21">
        <v>141630</v>
      </c>
      <c r="L21" s="21">
        <v>16085</v>
      </c>
      <c r="M21" s="21">
        <v>740</v>
      </c>
      <c r="N21" s="21">
        <v>71833</v>
      </c>
      <c r="O21" s="21">
        <v>27864</v>
      </c>
      <c r="P21" s="21">
        <v>2990</v>
      </c>
      <c r="Q21" s="21">
        <v>2285</v>
      </c>
      <c r="R21" s="21">
        <v>7297</v>
      </c>
      <c r="S21" s="21">
        <v>3056</v>
      </c>
      <c r="T21" s="21">
        <v>0</v>
      </c>
      <c r="U21" s="21">
        <v>0</v>
      </c>
      <c r="V21" s="21">
        <v>0</v>
      </c>
      <c r="W21" s="21">
        <v>42139</v>
      </c>
      <c r="X21" s="21">
        <v>758303</v>
      </c>
      <c r="Y21" s="21">
        <v>0</v>
      </c>
      <c r="Z21" s="21">
        <v>425937</v>
      </c>
      <c r="AA21" s="21">
        <v>31548</v>
      </c>
      <c r="AB21" s="21">
        <v>61959</v>
      </c>
      <c r="AC21" s="21">
        <v>0</v>
      </c>
      <c r="AD21" s="21">
        <v>43568</v>
      </c>
      <c r="AE21" s="21">
        <v>14057</v>
      </c>
      <c r="AF21" s="21">
        <v>11322</v>
      </c>
      <c r="AG21" s="21">
        <v>12838</v>
      </c>
      <c r="AH21" s="21">
        <v>1378</v>
      </c>
      <c r="AI21" s="21">
        <v>19596</v>
      </c>
      <c r="AJ21" s="21">
        <v>3492</v>
      </c>
      <c r="AK21" s="21">
        <v>27644</v>
      </c>
      <c r="AL21" s="21">
        <v>3552</v>
      </c>
      <c r="AM21" s="21">
        <v>29902</v>
      </c>
      <c r="AN21" s="21">
        <v>11069</v>
      </c>
      <c r="AO21" s="21">
        <v>5981</v>
      </c>
      <c r="AP21" s="21">
        <v>78730</v>
      </c>
      <c r="AQ21" s="21">
        <v>11969</v>
      </c>
      <c r="AR21" s="21">
        <v>0</v>
      </c>
      <c r="AS21" s="21">
        <v>10423</v>
      </c>
      <c r="AT21" s="21">
        <v>8969</v>
      </c>
      <c r="AU21" s="21">
        <v>14310</v>
      </c>
      <c r="AV21" s="21">
        <v>76177</v>
      </c>
      <c r="AW21" s="21">
        <v>48486</v>
      </c>
      <c r="AX21" s="21">
        <v>78464</v>
      </c>
      <c r="AY21" s="21">
        <v>23068</v>
      </c>
      <c r="AZ21" s="21">
        <v>0</v>
      </c>
      <c r="BA21" s="21">
        <v>71175</v>
      </c>
      <c r="BB21" s="21">
        <v>-1</v>
      </c>
      <c r="BC21" s="21">
        <v>0</v>
      </c>
      <c r="BD21" s="21">
        <v>7236</v>
      </c>
      <c r="BE21" s="21">
        <v>37112</v>
      </c>
      <c r="BF21" s="21">
        <v>71175</v>
      </c>
      <c r="BG21" s="14">
        <v>5000</v>
      </c>
      <c r="BH21" s="14">
        <v>0</v>
      </c>
      <c r="BI21" s="21">
        <v>11164</v>
      </c>
      <c r="BJ21" s="21">
        <v>70269</v>
      </c>
      <c r="BK21" s="21">
        <v>39558</v>
      </c>
    </row>
    <row r="22" spans="1:63">
      <c r="A22" s="14">
        <v>2067</v>
      </c>
      <c r="B22" s="14" t="s">
        <v>44</v>
      </c>
      <c r="C22" s="21">
        <v>83294.649999999994</v>
      </c>
      <c r="D22" s="21">
        <v>0</v>
      </c>
      <c r="E22" s="21">
        <v>-0.6</v>
      </c>
      <c r="F22" s="21">
        <f t="shared" si="0"/>
        <v>83294.049999999988</v>
      </c>
      <c r="G22" s="21">
        <v>1016553</v>
      </c>
      <c r="H22" s="21">
        <v>0</v>
      </c>
      <c r="I22" s="21">
        <v>31430</v>
      </c>
      <c r="J22" s="21">
        <v>0</v>
      </c>
      <c r="K22" s="21">
        <v>83800</v>
      </c>
      <c r="L22" s="21">
        <v>25135</v>
      </c>
      <c r="M22" s="21">
        <v>8238</v>
      </c>
      <c r="N22" s="21">
        <v>18488</v>
      </c>
      <c r="O22" s="21">
        <v>25156</v>
      </c>
      <c r="P22" s="21">
        <v>35739</v>
      </c>
      <c r="Q22" s="21">
        <v>-55</v>
      </c>
      <c r="R22" s="21">
        <v>18079</v>
      </c>
      <c r="S22" s="21">
        <v>2559</v>
      </c>
      <c r="T22" s="21">
        <v>0</v>
      </c>
      <c r="U22" s="21">
        <v>0</v>
      </c>
      <c r="V22" s="21">
        <v>0</v>
      </c>
      <c r="W22" s="21">
        <v>25049</v>
      </c>
      <c r="X22" s="21">
        <v>563574</v>
      </c>
      <c r="Y22" s="21">
        <v>0</v>
      </c>
      <c r="Z22" s="21">
        <v>188680</v>
      </c>
      <c r="AA22" s="21">
        <v>26060</v>
      </c>
      <c r="AB22" s="21">
        <v>49157</v>
      </c>
      <c r="AC22" s="21">
        <v>0</v>
      </c>
      <c r="AD22" s="21">
        <v>14322</v>
      </c>
      <c r="AE22" s="21">
        <v>18377</v>
      </c>
      <c r="AF22" s="21">
        <v>3053</v>
      </c>
      <c r="AG22" s="21">
        <v>9596</v>
      </c>
      <c r="AH22" s="21">
        <v>865</v>
      </c>
      <c r="AI22" s="21">
        <v>13971</v>
      </c>
      <c r="AJ22" s="21">
        <v>4872</v>
      </c>
      <c r="AK22" s="21">
        <v>25632</v>
      </c>
      <c r="AL22" s="21">
        <v>2396</v>
      </c>
      <c r="AM22" s="21">
        <v>11976</v>
      </c>
      <c r="AN22" s="21">
        <v>14701</v>
      </c>
      <c r="AO22" s="21">
        <v>8692</v>
      </c>
      <c r="AP22" s="21">
        <v>78120</v>
      </c>
      <c r="AQ22" s="21">
        <v>15541</v>
      </c>
      <c r="AR22" s="21">
        <v>0</v>
      </c>
      <c r="AS22" s="21">
        <v>7027</v>
      </c>
      <c r="AT22" s="21">
        <v>4690</v>
      </c>
      <c r="AU22" s="21">
        <v>12051</v>
      </c>
      <c r="AV22" s="21">
        <v>51974</v>
      </c>
      <c r="AW22" s="21">
        <v>42062</v>
      </c>
      <c r="AX22" s="21">
        <v>62029</v>
      </c>
      <c r="AY22" s="21">
        <v>19731</v>
      </c>
      <c r="AZ22" s="21">
        <v>0</v>
      </c>
      <c r="BA22" s="21">
        <v>10651</v>
      </c>
      <c r="BB22" s="21">
        <v>2</v>
      </c>
      <c r="BC22" s="21">
        <v>0</v>
      </c>
      <c r="BD22" s="21">
        <v>6296</v>
      </c>
      <c r="BE22" s="21">
        <v>0</v>
      </c>
      <c r="BF22" s="21">
        <v>10651</v>
      </c>
      <c r="BG22" s="14">
        <v>5000</v>
      </c>
      <c r="BH22" s="14">
        <v>0</v>
      </c>
      <c r="BI22" s="21">
        <v>16946</v>
      </c>
      <c r="BJ22" s="21">
        <v>0</v>
      </c>
      <c r="BK22" s="21">
        <v>0</v>
      </c>
    </row>
    <row r="23" spans="1:63">
      <c r="A23" s="14">
        <v>2010</v>
      </c>
      <c r="B23" s="14" t="s">
        <v>45</v>
      </c>
      <c r="C23" s="21">
        <v>223948.61</v>
      </c>
      <c r="D23" s="21">
        <v>23381</v>
      </c>
      <c r="E23" s="21">
        <v>1</v>
      </c>
      <c r="F23" s="21">
        <f t="shared" si="0"/>
        <v>247330.61</v>
      </c>
      <c r="G23" s="21">
        <v>1833804</v>
      </c>
      <c r="H23" s="21">
        <v>0</v>
      </c>
      <c r="I23" s="21">
        <v>398697</v>
      </c>
      <c r="J23" s="21">
        <v>0</v>
      </c>
      <c r="K23" s="21">
        <v>209878</v>
      </c>
      <c r="L23" s="21">
        <v>10025</v>
      </c>
      <c r="M23" s="21">
        <v>31804</v>
      </c>
      <c r="N23" s="21">
        <v>30223</v>
      </c>
      <c r="O23" s="21">
        <v>31354</v>
      </c>
      <c r="P23" s="21">
        <v>0</v>
      </c>
      <c r="Q23" s="21">
        <v>11041</v>
      </c>
      <c r="R23" s="21">
        <v>20468</v>
      </c>
      <c r="S23" s="21">
        <v>7409</v>
      </c>
      <c r="T23" s="21">
        <v>0</v>
      </c>
      <c r="U23" s="21">
        <v>278146</v>
      </c>
      <c r="V23" s="21">
        <v>2153</v>
      </c>
      <c r="W23" s="21">
        <v>29673</v>
      </c>
      <c r="X23" s="21">
        <v>1020164</v>
      </c>
      <c r="Y23" s="21">
        <v>0</v>
      </c>
      <c r="Z23" s="21">
        <v>704934</v>
      </c>
      <c r="AA23" s="21">
        <v>73265</v>
      </c>
      <c r="AB23" s="21">
        <v>94136</v>
      </c>
      <c r="AC23" s="21">
        <v>0</v>
      </c>
      <c r="AD23" s="21">
        <v>40412</v>
      </c>
      <c r="AE23" s="21">
        <v>49731</v>
      </c>
      <c r="AF23" s="21">
        <v>15870</v>
      </c>
      <c r="AG23" s="21">
        <v>24816</v>
      </c>
      <c r="AH23" s="21">
        <v>1353</v>
      </c>
      <c r="AI23" s="21">
        <v>61167</v>
      </c>
      <c r="AJ23" s="21">
        <v>2333</v>
      </c>
      <c r="AK23" s="21">
        <v>4649</v>
      </c>
      <c r="AL23" s="21">
        <v>3505</v>
      </c>
      <c r="AM23" s="21">
        <v>18828</v>
      </c>
      <c r="AN23" s="21">
        <v>20469</v>
      </c>
      <c r="AO23" s="21">
        <v>12153</v>
      </c>
      <c r="AP23" s="21">
        <v>99849</v>
      </c>
      <c r="AQ23" s="21">
        <v>36211</v>
      </c>
      <c r="AR23" s="21">
        <v>0</v>
      </c>
      <c r="AS23" s="21">
        <v>19405</v>
      </c>
      <c r="AT23" s="21">
        <v>8722</v>
      </c>
      <c r="AU23" s="21">
        <v>10569</v>
      </c>
      <c r="AV23" s="21">
        <v>81376</v>
      </c>
      <c r="AW23" s="21">
        <v>102099</v>
      </c>
      <c r="AX23" s="21">
        <v>149557</v>
      </c>
      <c r="AY23" s="21">
        <v>51345</v>
      </c>
      <c r="AZ23" s="21">
        <v>0</v>
      </c>
      <c r="BA23" s="21">
        <v>16560</v>
      </c>
      <c r="BB23" s="21">
        <v>244099</v>
      </c>
      <c r="BC23" s="21">
        <v>50159</v>
      </c>
      <c r="BD23" s="21">
        <v>7832</v>
      </c>
      <c r="BE23" s="21">
        <v>0</v>
      </c>
      <c r="BF23" s="21">
        <v>16560</v>
      </c>
      <c r="BG23" s="14">
        <v>5000</v>
      </c>
      <c r="BH23" s="14">
        <v>0</v>
      </c>
      <c r="BI23" s="21">
        <v>0</v>
      </c>
      <c r="BJ23" s="21">
        <v>19000</v>
      </c>
      <c r="BK23" s="21">
        <v>5391</v>
      </c>
    </row>
    <row r="24" spans="1:63">
      <c r="A24" s="14">
        <v>3302</v>
      </c>
      <c r="B24" s="14" t="s">
        <v>46</v>
      </c>
      <c r="C24" s="21">
        <v>46560.78</v>
      </c>
      <c r="D24" s="21">
        <v>0</v>
      </c>
      <c r="E24" s="21">
        <v>-14447</v>
      </c>
      <c r="F24" s="21">
        <f t="shared" si="0"/>
        <v>32113.78</v>
      </c>
      <c r="G24" s="21">
        <v>919340</v>
      </c>
      <c r="H24" s="21">
        <v>0</v>
      </c>
      <c r="I24" s="21">
        <v>19207</v>
      </c>
      <c r="J24" s="21">
        <v>0</v>
      </c>
      <c r="K24" s="21">
        <v>23400</v>
      </c>
      <c r="L24" s="21">
        <v>21064</v>
      </c>
      <c r="M24" s="21">
        <v>-1</v>
      </c>
      <c r="N24" s="21">
        <v>17242</v>
      </c>
      <c r="O24" s="21">
        <v>36922</v>
      </c>
      <c r="P24" s="21">
        <v>8550</v>
      </c>
      <c r="Q24" s="21">
        <v>0</v>
      </c>
      <c r="R24" s="21">
        <v>33011</v>
      </c>
      <c r="S24" s="21">
        <v>14005</v>
      </c>
      <c r="T24" s="21">
        <v>0</v>
      </c>
      <c r="U24" s="21">
        <v>0</v>
      </c>
      <c r="V24" s="21">
        <v>0</v>
      </c>
      <c r="W24" s="21">
        <v>27496</v>
      </c>
      <c r="X24" s="21">
        <v>480678</v>
      </c>
      <c r="Y24" s="21">
        <v>34828</v>
      </c>
      <c r="Z24" s="21">
        <v>165147</v>
      </c>
      <c r="AA24" s="21">
        <v>35031</v>
      </c>
      <c r="AB24" s="21">
        <v>34947</v>
      </c>
      <c r="AC24" s="21">
        <v>0</v>
      </c>
      <c r="AD24" s="21">
        <v>22425</v>
      </c>
      <c r="AE24" s="21">
        <v>5578</v>
      </c>
      <c r="AF24" s="21">
        <v>2859</v>
      </c>
      <c r="AG24" s="21">
        <v>8667</v>
      </c>
      <c r="AH24" s="21">
        <v>958</v>
      </c>
      <c r="AI24" s="21">
        <v>13282</v>
      </c>
      <c r="AJ24" s="21">
        <v>898</v>
      </c>
      <c r="AK24" s="21">
        <v>3651</v>
      </c>
      <c r="AL24" s="21">
        <v>2577</v>
      </c>
      <c r="AM24" s="21">
        <v>9735</v>
      </c>
      <c r="AN24" s="21">
        <v>0</v>
      </c>
      <c r="AO24" s="21">
        <v>3333</v>
      </c>
      <c r="AP24" s="21">
        <v>49204</v>
      </c>
      <c r="AQ24" s="21">
        <v>15598</v>
      </c>
      <c r="AR24" s="21">
        <v>0</v>
      </c>
      <c r="AS24" s="21">
        <v>4356</v>
      </c>
      <c r="AT24" s="21">
        <v>2620</v>
      </c>
      <c r="AU24" s="21">
        <v>476</v>
      </c>
      <c r="AV24" s="21">
        <v>62273</v>
      </c>
      <c r="AW24" s="21">
        <v>41612</v>
      </c>
      <c r="AX24" s="21">
        <v>31398</v>
      </c>
      <c r="AY24" s="21">
        <v>23412</v>
      </c>
      <c r="AZ24" s="21">
        <v>0</v>
      </c>
      <c r="BA24" s="21">
        <v>14447</v>
      </c>
      <c r="BB24" s="21">
        <v>0</v>
      </c>
      <c r="BC24" s="21">
        <v>0</v>
      </c>
      <c r="BD24" s="21">
        <v>0</v>
      </c>
      <c r="BE24" s="21">
        <v>0</v>
      </c>
      <c r="BF24" s="21">
        <v>14447</v>
      </c>
      <c r="BG24" s="14">
        <v>5000</v>
      </c>
      <c r="BH24" s="14">
        <v>0</v>
      </c>
      <c r="BI24" s="21">
        <v>0</v>
      </c>
      <c r="BJ24" s="21">
        <v>0</v>
      </c>
      <c r="BK24" s="21">
        <v>0</v>
      </c>
    </row>
    <row r="25" spans="1:63">
      <c r="A25" s="14">
        <v>2011</v>
      </c>
      <c r="B25" s="14" t="s">
        <v>47</v>
      </c>
      <c r="C25" s="21">
        <v>65623.070000000007</v>
      </c>
      <c r="D25" s="21">
        <v>0</v>
      </c>
      <c r="E25" s="21">
        <v>6817.7</v>
      </c>
      <c r="F25" s="21">
        <f t="shared" si="0"/>
        <v>72440.77</v>
      </c>
      <c r="G25" s="21">
        <v>989775</v>
      </c>
      <c r="H25" s="21">
        <v>0</v>
      </c>
      <c r="I25" s="21">
        <v>32292</v>
      </c>
      <c r="J25" s="21">
        <v>0</v>
      </c>
      <c r="K25" s="21">
        <v>45482</v>
      </c>
      <c r="L25" s="21">
        <v>0</v>
      </c>
      <c r="M25" s="21">
        <v>7765</v>
      </c>
      <c r="N25" s="21">
        <v>15777</v>
      </c>
      <c r="O25" s="21">
        <v>36965</v>
      </c>
      <c r="P25" s="21">
        <v>522</v>
      </c>
      <c r="Q25" s="21">
        <v>0</v>
      </c>
      <c r="R25" s="21">
        <v>35613</v>
      </c>
      <c r="S25" s="21">
        <v>1493</v>
      </c>
      <c r="T25" s="21">
        <v>0</v>
      </c>
      <c r="U25" s="21">
        <v>0</v>
      </c>
      <c r="V25" s="21">
        <v>0</v>
      </c>
      <c r="W25" s="21">
        <v>33236</v>
      </c>
      <c r="X25" s="21">
        <v>581419</v>
      </c>
      <c r="Y25" s="21">
        <v>840</v>
      </c>
      <c r="Z25" s="21">
        <v>217204</v>
      </c>
      <c r="AA25" s="21">
        <v>31708</v>
      </c>
      <c r="AB25" s="21">
        <v>59246</v>
      </c>
      <c r="AC25" s="21">
        <v>1</v>
      </c>
      <c r="AD25" s="21">
        <v>34066</v>
      </c>
      <c r="AE25" s="21">
        <v>5545</v>
      </c>
      <c r="AF25" s="21">
        <v>7871</v>
      </c>
      <c r="AG25" s="21">
        <v>9503</v>
      </c>
      <c r="AH25" s="21">
        <v>991</v>
      </c>
      <c r="AI25" s="21">
        <v>18626</v>
      </c>
      <c r="AJ25" s="21">
        <v>5295</v>
      </c>
      <c r="AK25" s="21">
        <v>13027</v>
      </c>
      <c r="AL25" s="21">
        <v>3503</v>
      </c>
      <c r="AM25" s="21">
        <v>19994</v>
      </c>
      <c r="AN25" s="21">
        <v>15183</v>
      </c>
      <c r="AO25" s="21">
        <v>5075</v>
      </c>
      <c r="AP25" s="21">
        <v>66421</v>
      </c>
      <c r="AQ25" s="21">
        <v>12791</v>
      </c>
      <c r="AR25" s="21">
        <v>0</v>
      </c>
      <c r="AS25" s="21">
        <v>5255</v>
      </c>
      <c r="AT25" s="21">
        <v>9242</v>
      </c>
      <c r="AU25" s="21">
        <v>2831</v>
      </c>
      <c r="AV25" s="21">
        <v>62651</v>
      </c>
      <c r="AW25" s="21">
        <v>16754</v>
      </c>
      <c r="AX25" s="21">
        <v>40872</v>
      </c>
      <c r="AY25" s="21">
        <v>14737</v>
      </c>
      <c r="AZ25" s="21">
        <v>0</v>
      </c>
      <c r="BA25" s="21">
        <v>0</v>
      </c>
      <c r="BB25" s="21">
        <v>0</v>
      </c>
      <c r="BC25" s="21">
        <v>0</v>
      </c>
      <c r="BD25" s="21">
        <v>6588</v>
      </c>
      <c r="BE25" s="21">
        <v>0</v>
      </c>
      <c r="BF25" s="21">
        <v>0</v>
      </c>
      <c r="BG25" s="14">
        <v>5000</v>
      </c>
      <c r="BH25" s="14">
        <v>0</v>
      </c>
      <c r="BI25" s="21">
        <v>9000</v>
      </c>
      <c r="BJ25" s="21">
        <v>0</v>
      </c>
      <c r="BK25" s="21">
        <v>0</v>
      </c>
    </row>
    <row r="26" spans="1:63">
      <c r="A26" s="14">
        <v>3522</v>
      </c>
      <c r="B26" s="14" t="s">
        <v>48</v>
      </c>
      <c r="C26" s="21">
        <v>254160.89</v>
      </c>
      <c r="D26" s="21">
        <v>0</v>
      </c>
      <c r="E26" s="21">
        <v>-0.18</v>
      </c>
      <c r="F26" s="21">
        <f t="shared" si="0"/>
        <v>254160.71000000002</v>
      </c>
      <c r="G26" s="21">
        <v>2065846</v>
      </c>
      <c r="H26" s="21">
        <v>0</v>
      </c>
      <c r="I26" s="21">
        <v>21528</v>
      </c>
      <c r="J26" s="21">
        <v>0</v>
      </c>
      <c r="K26" s="21">
        <v>307800</v>
      </c>
      <c r="L26" s="21">
        <v>4960</v>
      </c>
      <c r="M26" s="21">
        <v>1280</v>
      </c>
      <c r="N26" s="21">
        <v>6992</v>
      </c>
      <c r="O26" s="21">
        <v>17583</v>
      </c>
      <c r="P26" s="21">
        <v>0</v>
      </c>
      <c r="Q26" s="21">
        <v>10878</v>
      </c>
      <c r="R26" s="21">
        <v>4292</v>
      </c>
      <c r="S26" s="21">
        <v>3357</v>
      </c>
      <c r="T26" s="21">
        <v>0</v>
      </c>
      <c r="U26" s="21">
        <v>0</v>
      </c>
      <c r="V26" s="21">
        <v>0</v>
      </c>
      <c r="W26" s="21">
        <v>34821</v>
      </c>
      <c r="X26" s="21">
        <v>1033520</v>
      </c>
      <c r="Y26" s="21">
        <v>8636</v>
      </c>
      <c r="Z26" s="21">
        <v>496218</v>
      </c>
      <c r="AA26" s="21">
        <v>55484</v>
      </c>
      <c r="AB26" s="21">
        <v>66804</v>
      </c>
      <c r="AC26" s="21">
        <v>0</v>
      </c>
      <c r="AD26" s="21">
        <v>1551</v>
      </c>
      <c r="AE26" s="21">
        <v>22210</v>
      </c>
      <c r="AF26" s="21">
        <v>15169</v>
      </c>
      <c r="AG26" s="21">
        <v>12332</v>
      </c>
      <c r="AH26" s="21">
        <v>11460</v>
      </c>
      <c r="AI26" s="21">
        <v>49249</v>
      </c>
      <c r="AJ26" s="21">
        <v>4174</v>
      </c>
      <c r="AK26" s="21">
        <v>23406</v>
      </c>
      <c r="AL26" s="21">
        <v>6304</v>
      </c>
      <c r="AM26" s="21">
        <v>25227</v>
      </c>
      <c r="AN26" s="21">
        <v>18316</v>
      </c>
      <c r="AO26" s="21">
        <v>9378</v>
      </c>
      <c r="AP26" s="21">
        <v>64497</v>
      </c>
      <c r="AQ26" s="21">
        <v>32155</v>
      </c>
      <c r="AR26" s="21">
        <v>0</v>
      </c>
      <c r="AS26" s="21">
        <v>12330</v>
      </c>
      <c r="AT26" s="21">
        <v>9758</v>
      </c>
      <c r="AU26" s="21">
        <v>10634</v>
      </c>
      <c r="AV26" s="21">
        <v>96489</v>
      </c>
      <c r="AW26" s="21">
        <v>92300</v>
      </c>
      <c r="AX26" s="21">
        <v>248364</v>
      </c>
      <c r="AY26" s="21">
        <v>39335</v>
      </c>
      <c r="AZ26" s="21">
        <v>0</v>
      </c>
      <c r="BA26" s="21">
        <v>38258</v>
      </c>
      <c r="BB26" s="21">
        <v>0</v>
      </c>
      <c r="BC26" s="21">
        <v>0</v>
      </c>
      <c r="BD26" s="21">
        <v>8512</v>
      </c>
      <c r="BE26" s="21">
        <v>0</v>
      </c>
      <c r="BF26" s="21">
        <v>38258</v>
      </c>
      <c r="BG26" s="14">
        <v>5000</v>
      </c>
      <c r="BH26" s="14">
        <v>0</v>
      </c>
      <c r="BI26" s="21">
        <v>0</v>
      </c>
      <c r="BJ26" s="21">
        <v>35597</v>
      </c>
      <c r="BK26" s="21">
        <v>11173</v>
      </c>
    </row>
    <row r="27" spans="1:63">
      <c r="A27" s="14">
        <v>2014</v>
      </c>
      <c r="B27" s="14" t="s">
        <v>49</v>
      </c>
      <c r="C27" s="21">
        <v>447596.34</v>
      </c>
      <c r="D27" s="21">
        <v>0</v>
      </c>
      <c r="E27" s="21">
        <v>0.42</v>
      </c>
      <c r="F27" s="21">
        <f t="shared" si="0"/>
        <v>447596.76</v>
      </c>
      <c r="G27" s="21">
        <v>2846044</v>
      </c>
      <c r="H27" s="21">
        <v>0</v>
      </c>
      <c r="I27" s="21">
        <v>326723</v>
      </c>
      <c r="J27" s="21">
        <v>0</v>
      </c>
      <c r="K27" s="21">
        <v>219618</v>
      </c>
      <c r="L27" s="21">
        <v>9700</v>
      </c>
      <c r="M27" s="21">
        <v>1340</v>
      </c>
      <c r="N27" s="21">
        <v>27585</v>
      </c>
      <c r="O27" s="21">
        <v>65755</v>
      </c>
      <c r="P27" s="21">
        <v>24111</v>
      </c>
      <c r="Q27" s="21">
        <v>0</v>
      </c>
      <c r="R27" s="21">
        <v>31275</v>
      </c>
      <c r="S27" s="21">
        <v>8171</v>
      </c>
      <c r="T27" s="21">
        <v>0</v>
      </c>
      <c r="U27" s="21">
        <v>0</v>
      </c>
      <c r="V27" s="21">
        <v>0</v>
      </c>
      <c r="W27" s="21">
        <v>67085</v>
      </c>
      <c r="X27" s="21">
        <v>1398891</v>
      </c>
      <c r="Y27" s="21">
        <v>0</v>
      </c>
      <c r="Z27" s="21">
        <v>695333</v>
      </c>
      <c r="AA27" s="21">
        <v>85225</v>
      </c>
      <c r="AB27" s="21">
        <v>96819</v>
      </c>
      <c r="AC27" s="21">
        <v>0</v>
      </c>
      <c r="AD27" s="21">
        <v>36969</v>
      </c>
      <c r="AE27" s="21">
        <v>28651</v>
      </c>
      <c r="AF27" s="21">
        <v>6633</v>
      </c>
      <c r="AG27" s="21">
        <v>20426</v>
      </c>
      <c r="AH27" s="21">
        <v>8730</v>
      </c>
      <c r="AI27" s="21">
        <v>61092</v>
      </c>
      <c r="AJ27" s="21">
        <v>12570</v>
      </c>
      <c r="AK27" s="21">
        <v>5421</v>
      </c>
      <c r="AL27" s="21">
        <v>4456</v>
      </c>
      <c r="AM27" s="21">
        <v>67990</v>
      </c>
      <c r="AN27" s="21">
        <v>22775</v>
      </c>
      <c r="AO27" s="21">
        <v>26166</v>
      </c>
      <c r="AP27" s="21">
        <v>131803</v>
      </c>
      <c r="AQ27" s="21">
        <v>27705</v>
      </c>
      <c r="AR27" s="21">
        <v>0</v>
      </c>
      <c r="AS27" s="21">
        <v>31105</v>
      </c>
      <c r="AT27" s="21">
        <v>23218</v>
      </c>
      <c r="AU27" s="21">
        <v>3115</v>
      </c>
      <c r="AV27" s="21">
        <v>156425</v>
      </c>
      <c r="AW27" s="21">
        <v>156363</v>
      </c>
      <c r="AX27" s="21">
        <v>302362</v>
      </c>
      <c r="AY27" s="21">
        <v>41195</v>
      </c>
      <c r="AZ27" s="21">
        <v>0</v>
      </c>
      <c r="BA27" s="21">
        <v>99322</v>
      </c>
      <c r="BB27" s="21">
        <v>0</v>
      </c>
      <c r="BC27" s="21">
        <v>0</v>
      </c>
      <c r="BD27" s="21">
        <v>10824</v>
      </c>
      <c r="BE27" s="21">
        <v>0</v>
      </c>
      <c r="BF27" s="21">
        <v>99321</v>
      </c>
      <c r="BG27" s="14">
        <v>5000</v>
      </c>
      <c r="BH27" s="14">
        <v>0</v>
      </c>
      <c r="BI27" s="21">
        <v>38782</v>
      </c>
      <c r="BJ27" s="21">
        <v>0</v>
      </c>
      <c r="BK27" s="21">
        <v>71363</v>
      </c>
    </row>
    <row r="28" spans="1:63">
      <c r="A28" s="14">
        <v>2015</v>
      </c>
      <c r="B28" s="14" t="s">
        <v>50</v>
      </c>
      <c r="C28" s="21">
        <v>197477.05</v>
      </c>
      <c r="D28" s="21">
        <v>53813</v>
      </c>
      <c r="E28" s="21">
        <v>0.24</v>
      </c>
      <c r="F28" s="21">
        <f t="shared" si="0"/>
        <v>251290.28999999998</v>
      </c>
      <c r="G28" s="21">
        <v>1462594</v>
      </c>
      <c r="H28" s="21">
        <v>0</v>
      </c>
      <c r="I28" s="21">
        <v>187927</v>
      </c>
      <c r="J28" s="21">
        <v>0</v>
      </c>
      <c r="K28" s="21">
        <v>130300</v>
      </c>
      <c r="L28" s="21">
        <v>6100</v>
      </c>
      <c r="M28" s="21">
        <v>2145</v>
      </c>
      <c r="N28" s="21">
        <v>2745</v>
      </c>
      <c r="O28" s="21">
        <v>26864</v>
      </c>
      <c r="P28" s="21">
        <v>14740</v>
      </c>
      <c r="Q28" s="21">
        <v>6301</v>
      </c>
      <c r="R28" s="21">
        <v>23082</v>
      </c>
      <c r="S28" s="21">
        <v>2761</v>
      </c>
      <c r="T28" s="21">
        <v>0</v>
      </c>
      <c r="U28" s="21">
        <v>334158</v>
      </c>
      <c r="V28" s="21">
        <v>76631</v>
      </c>
      <c r="W28" s="21">
        <v>26920</v>
      </c>
      <c r="X28" s="21">
        <v>763563</v>
      </c>
      <c r="Y28" s="21">
        <v>0</v>
      </c>
      <c r="Z28" s="21">
        <v>578215</v>
      </c>
      <c r="AA28" s="21">
        <v>28178</v>
      </c>
      <c r="AB28" s="21">
        <v>92149</v>
      </c>
      <c r="AC28" s="21">
        <v>0</v>
      </c>
      <c r="AD28" s="21">
        <v>138852</v>
      </c>
      <c r="AE28" s="21">
        <v>9844</v>
      </c>
      <c r="AF28" s="21">
        <v>8282</v>
      </c>
      <c r="AG28" s="21">
        <v>16842</v>
      </c>
      <c r="AH28" s="21">
        <v>1163</v>
      </c>
      <c r="AI28" s="21">
        <v>18599</v>
      </c>
      <c r="AJ28" s="21">
        <v>12433</v>
      </c>
      <c r="AK28" s="21">
        <v>25740</v>
      </c>
      <c r="AL28" s="21">
        <v>4705</v>
      </c>
      <c r="AM28" s="21">
        <v>13658</v>
      </c>
      <c r="AN28" s="21">
        <v>17232</v>
      </c>
      <c r="AO28" s="21">
        <v>9923</v>
      </c>
      <c r="AP28" s="21">
        <v>72717</v>
      </c>
      <c r="AQ28" s="21">
        <v>22104</v>
      </c>
      <c r="AR28" s="21">
        <v>0</v>
      </c>
      <c r="AS28" s="21">
        <v>7889</v>
      </c>
      <c r="AT28" s="21">
        <v>5908</v>
      </c>
      <c r="AU28" s="21">
        <v>3796</v>
      </c>
      <c r="AV28" s="21">
        <v>56811</v>
      </c>
      <c r="AW28" s="21">
        <v>47464</v>
      </c>
      <c r="AX28" s="21">
        <v>40024</v>
      </c>
      <c r="AY28" s="21">
        <v>37500</v>
      </c>
      <c r="AZ28" s="21">
        <v>0</v>
      </c>
      <c r="BA28" s="21">
        <v>74465</v>
      </c>
      <c r="BB28" s="21">
        <v>47462</v>
      </c>
      <c r="BC28" s="21">
        <v>94351</v>
      </c>
      <c r="BD28" s="21">
        <v>7004</v>
      </c>
      <c r="BE28" s="21">
        <v>0</v>
      </c>
      <c r="BF28" s="21">
        <v>74465</v>
      </c>
      <c r="BG28" s="14">
        <v>5000</v>
      </c>
      <c r="BH28" s="14">
        <v>0</v>
      </c>
      <c r="BI28" s="21">
        <v>62649</v>
      </c>
      <c r="BJ28" s="21">
        <v>0</v>
      </c>
      <c r="BK28" s="21">
        <v>18821</v>
      </c>
    </row>
    <row r="29" spans="1:63">
      <c r="A29" s="14">
        <v>2016</v>
      </c>
      <c r="B29" s="14" t="s">
        <v>52</v>
      </c>
      <c r="C29" s="21">
        <v>71423.67</v>
      </c>
      <c r="D29" s="21">
        <v>0</v>
      </c>
      <c r="E29" s="21">
        <v>6284.51</v>
      </c>
      <c r="F29" s="21">
        <f t="shared" si="0"/>
        <v>77708.179999999993</v>
      </c>
      <c r="G29" s="21">
        <v>936486</v>
      </c>
      <c r="H29" s="21">
        <v>0</v>
      </c>
      <c r="I29" s="21">
        <v>41762</v>
      </c>
      <c r="J29" s="21">
        <v>0</v>
      </c>
      <c r="K29" s="21">
        <v>51597</v>
      </c>
      <c r="L29" s="21">
        <v>7098</v>
      </c>
      <c r="M29" s="21">
        <v>3878</v>
      </c>
      <c r="N29" s="21">
        <v>4150</v>
      </c>
      <c r="O29" s="21">
        <v>27156</v>
      </c>
      <c r="P29" s="21">
        <v>821</v>
      </c>
      <c r="Q29" s="21">
        <v>4412</v>
      </c>
      <c r="R29" s="21">
        <v>18269</v>
      </c>
      <c r="S29" s="21">
        <v>14401</v>
      </c>
      <c r="T29" s="21">
        <v>0</v>
      </c>
      <c r="U29" s="21">
        <v>0</v>
      </c>
      <c r="V29" s="21">
        <v>0</v>
      </c>
      <c r="W29" s="21">
        <v>27074</v>
      </c>
      <c r="X29" s="21">
        <v>539327</v>
      </c>
      <c r="Y29" s="21">
        <v>2010</v>
      </c>
      <c r="Z29" s="21">
        <v>208546</v>
      </c>
      <c r="AA29" s="21">
        <v>26445</v>
      </c>
      <c r="AB29" s="21">
        <v>17683</v>
      </c>
      <c r="AC29" s="21">
        <v>0</v>
      </c>
      <c r="AD29" s="21">
        <v>19538</v>
      </c>
      <c r="AE29" s="21">
        <v>5984</v>
      </c>
      <c r="AF29" s="21">
        <v>1863</v>
      </c>
      <c r="AG29" s="21">
        <v>9069</v>
      </c>
      <c r="AH29" s="21">
        <v>4145</v>
      </c>
      <c r="AI29" s="21">
        <v>23154</v>
      </c>
      <c r="AJ29" s="21">
        <v>4282</v>
      </c>
      <c r="AK29" s="21">
        <v>9213</v>
      </c>
      <c r="AL29" s="21">
        <v>3758</v>
      </c>
      <c r="AM29" s="21">
        <v>12327</v>
      </c>
      <c r="AN29" s="21">
        <v>15304</v>
      </c>
      <c r="AO29" s="21">
        <v>6053</v>
      </c>
      <c r="AP29" s="21">
        <v>42648</v>
      </c>
      <c r="AQ29" s="21">
        <v>16149</v>
      </c>
      <c r="AR29" s="21">
        <v>0</v>
      </c>
      <c r="AS29" s="21">
        <v>14182</v>
      </c>
      <c r="AT29" s="21">
        <v>948</v>
      </c>
      <c r="AU29" s="21">
        <v>3130</v>
      </c>
      <c r="AV29" s="21">
        <v>54656</v>
      </c>
      <c r="AW29" s="21">
        <v>21784</v>
      </c>
      <c r="AX29" s="21">
        <v>59528</v>
      </c>
      <c r="AY29" s="21">
        <v>26107</v>
      </c>
      <c r="AZ29" s="21">
        <v>0</v>
      </c>
      <c r="BA29" s="21">
        <v>0</v>
      </c>
      <c r="BB29" s="21">
        <v>0</v>
      </c>
      <c r="BC29" s="21">
        <v>0</v>
      </c>
      <c r="BD29" s="21">
        <v>6396</v>
      </c>
      <c r="BE29" s="21">
        <v>10000</v>
      </c>
      <c r="BF29" s="21">
        <v>0</v>
      </c>
      <c r="BG29" s="14">
        <v>5000</v>
      </c>
      <c r="BH29" s="14">
        <v>0</v>
      </c>
      <c r="BI29" s="21">
        <v>16700</v>
      </c>
      <c r="BJ29" s="21">
        <v>0</v>
      </c>
      <c r="BK29" s="21">
        <v>5050</v>
      </c>
    </row>
    <row r="30" spans="1:63">
      <c r="A30" s="14">
        <v>2017</v>
      </c>
      <c r="B30" s="14" t="s">
        <v>53</v>
      </c>
      <c r="C30" s="21">
        <v>259466.99</v>
      </c>
      <c r="D30" s="21">
        <v>0</v>
      </c>
      <c r="E30" s="21">
        <v>0.25</v>
      </c>
      <c r="F30" s="21">
        <f t="shared" si="0"/>
        <v>259467.24</v>
      </c>
      <c r="G30" s="21">
        <v>1730059</v>
      </c>
      <c r="H30" s="21">
        <v>0</v>
      </c>
      <c r="I30" s="21">
        <v>51519</v>
      </c>
      <c r="J30" s="21">
        <v>0</v>
      </c>
      <c r="K30" s="21">
        <v>164227</v>
      </c>
      <c r="L30" s="21">
        <v>500</v>
      </c>
      <c r="M30" s="21">
        <v>2090</v>
      </c>
      <c r="N30" s="21">
        <v>75021</v>
      </c>
      <c r="O30" s="21">
        <v>39761</v>
      </c>
      <c r="P30" s="21">
        <v>23146</v>
      </c>
      <c r="Q30" s="21">
        <v>3211</v>
      </c>
      <c r="R30" s="21">
        <v>40605</v>
      </c>
      <c r="S30" s="21">
        <v>19774</v>
      </c>
      <c r="T30" s="21">
        <v>0</v>
      </c>
      <c r="U30" s="21">
        <v>0</v>
      </c>
      <c r="V30" s="21">
        <v>0</v>
      </c>
      <c r="W30" s="21">
        <v>41831</v>
      </c>
      <c r="X30" s="21">
        <v>1058937</v>
      </c>
      <c r="Y30" s="21">
        <v>0</v>
      </c>
      <c r="Z30" s="21">
        <v>395612</v>
      </c>
      <c r="AA30" s="21">
        <v>34936</v>
      </c>
      <c r="AB30" s="21">
        <v>51019</v>
      </c>
      <c r="AC30" s="21">
        <v>0</v>
      </c>
      <c r="AD30" s="21">
        <v>84010</v>
      </c>
      <c r="AE30" s="21">
        <v>7807</v>
      </c>
      <c r="AF30" s="21">
        <v>8050</v>
      </c>
      <c r="AG30" s="21">
        <v>18004</v>
      </c>
      <c r="AH30" s="21">
        <v>1735</v>
      </c>
      <c r="AI30" s="21">
        <v>39533</v>
      </c>
      <c r="AJ30" s="21">
        <v>3756</v>
      </c>
      <c r="AK30" s="21">
        <v>25622</v>
      </c>
      <c r="AL30" s="21">
        <v>5669</v>
      </c>
      <c r="AM30" s="21">
        <v>39876</v>
      </c>
      <c r="AN30" s="21">
        <v>19883</v>
      </c>
      <c r="AO30" s="21">
        <v>8840</v>
      </c>
      <c r="AP30" s="21">
        <v>97593</v>
      </c>
      <c r="AQ30" s="21">
        <v>21323</v>
      </c>
      <c r="AR30" s="21">
        <v>0</v>
      </c>
      <c r="AS30" s="21">
        <v>17027</v>
      </c>
      <c r="AT30" s="21">
        <v>9966</v>
      </c>
      <c r="AU30" s="21">
        <v>14930</v>
      </c>
      <c r="AV30" s="21">
        <v>97001</v>
      </c>
      <c r="AW30" s="21">
        <v>24683</v>
      </c>
      <c r="AX30" s="21">
        <v>50518</v>
      </c>
      <c r="AY30" s="21">
        <v>56061</v>
      </c>
      <c r="AZ30" s="21">
        <v>0</v>
      </c>
      <c r="BA30" s="21">
        <v>0</v>
      </c>
      <c r="BB30" s="21">
        <v>0</v>
      </c>
      <c r="BC30" s="21">
        <v>0</v>
      </c>
      <c r="BD30" s="21">
        <v>8556</v>
      </c>
      <c r="BE30" s="21">
        <v>0</v>
      </c>
      <c r="BF30" s="21">
        <v>0</v>
      </c>
      <c r="BG30" s="14">
        <v>5000</v>
      </c>
      <c r="BH30" s="14">
        <v>0</v>
      </c>
      <c r="BI30" s="21">
        <v>0</v>
      </c>
      <c r="BJ30" s="21">
        <v>0</v>
      </c>
      <c r="BK30" s="21">
        <v>0</v>
      </c>
    </row>
    <row r="31" spans="1:63">
      <c r="A31" s="14">
        <v>2073</v>
      </c>
      <c r="B31" s="14" t="s">
        <v>54</v>
      </c>
      <c r="C31" s="21">
        <v>447128.42</v>
      </c>
      <c r="D31" s="21">
        <v>-4558</v>
      </c>
      <c r="E31" s="21">
        <v>0</v>
      </c>
      <c r="F31" s="21">
        <f t="shared" si="0"/>
        <v>442570.42</v>
      </c>
      <c r="G31" s="21">
        <v>2640229</v>
      </c>
      <c r="H31" s="21">
        <v>0</v>
      </c>
      <c r="I31" s="21">
        <v>277960</v>
      </c>
      <c r="J31" s="21">
        <v>0</v>
      </c>
      <c r="K31" s="21">
        <v>231471</v>
      </c>
      <c r="L31" s="21">
        <v>0</v>
      </c>
      <c r="M31" s="21">
        <v>3860</v>
      </c>
      <c r="N31" s="21">
        <v>121983</v>
      </c>
      <c r="O31" s="21">
        <v>91871</v>
      </c>
      <c r="P31" s="21">
        <v>13958</v>
      </c>
      <c r="Q31" s="21">
        <v>4075</v>
      </c>
      <c r="R31" s="21">
        <v>57291</v>
      </c>
      <c r="S31" s="21">
        <v>20000</v>
      </c>
      <c r="T31" s="21">
        <v>0</v>
      </c>
      <c r="U31" s="21">
        <v>0</v>
      </c>
      <c r="V31" s="21">
        <v>0</v>
      </c>
      <c r="W31" s="21">
        <v>64574</v>
      </c>
      <c r="X31" s="21">
        <v>1299674</v>
      </c>
      <c r="Y31" s="21">
        <v>0</v>
      </c>
      <c r="Z31" s="21">
        <v>763470</v>
      </c>
      <c r="AA31" s="21">
        <v>95820</v>
      </c>
      <c r="AB31" s="21">
        <v>103977</v>
      </c>
      <c r="AC31" s="21">
        <v>105059</v>
      </c>
      <c r="AD31" s="21">
        <v>193431</v>
      </c>
      <c r="AE31" s="21">
        <v>12572</v>
      </c>
      <c r="AF31" s="21">
        <v>19992</v>
      </c>
      <c r="AG31" s="21">
        <v>26848</v>
      </c>
      <c r="AH31" s="21">
        <v>8267</v>
      </c>
      <c r="AI31" s="21">
        <v>332134</v>
      </c>
      <c r="AJ31" s="21">
        <v>46213</v>
      </c>
      <c r="AK31" s="21">
        <v>6421</v>
      </c>
      <c r="AL31" s="21">
        <v>5680</v>
      </c>
      <c r="AM31" s="21">
        <v>47377</v>
      </c>
      <c r="AN31" s="21">
        <v>38655</v>
      </c>
      <c r="AO31" s="21">
        <v>17771</v>
      </c>
      <c r="AP31" s="21">
        <v>142577</v>
      </c>
      <c r="AQ31" s="21">
        <v>52560</v>
      </c>
      <c r="AR31" s="21">
        <v>0</v>
      </c>
      <c r="AS31" s="21">
        <v>39005</v>
      </c>
      <c r="AT31" s="21">
        <v>14847</v>
      </c>
      <c r="AU31" s="21">
        <v>18318</v>
      </c>
      <c r="AV31" s="21">
        <v>138912</v>
      </c>
      <c r="AW31" s="21">
        <v>77493</v>
      </c>
      <c r="AX31" s="21">
        <v>20327</v>
      </c>
      <c r="AY31" s="21">
        <v>18220</v>
      </c>
      <c r="AZ31" s="21">
        <v>0</v>
      </c>
      <c r="BA31" s="21">
        <v>0</v>
      </c>
      <c r="BB31" s="21">
        <v>1545</v>
      </c>
      <c r="BC31" s="21">
        <v>0</v>
      </c>
      <c r="BD31" s="21">
        <v>11380</v>
      </c>
      <c r="BE31" s="21">
        <v>0</v>
      </c>
      <c r="BF31" s="21">
        <v>0</v>
      </c>
      <c r="BG31" s="14">
        <v>5000</v>
      </c>
      <c r="BH31" s="14">
        <v>0</v>
      </c>
      <c r="BI31" s="21">
        <v>0</v>
      </c>
      <c r="BJ31" s="21">
        <v>10542</v>
      </c>
      <c r="BK31" s="21">
        <v>0</v>
      </c>
    </row>
    <row r="32" spans="1:63">
      <c r="A32" s="14">
        <v>2019</v>
      </c>
      <c r="B32" s="14" t="s">
        <v>55</v>
      </c>
      <c r="C32" s="21">
        <v>261630.74</v>
      </c>
      <c r="D32" s="21">
        <v>0</v>
      </c>
      <c r="E32" s="21">
        <v>0</v>
      </c>
      <c r="F32" s="21">
        <f t="shared" si="0"/>
        <v>261630.74</v>
      </c>
      <c r="G32" s="21">
        <v>1635894</v>
      </c>
      <c r="H32" s="21">
        <v>0</v>
      </c>
      <c r="I32" s="21">
        <v>35086</v>
      </c>
      <c r="J32" s="21">
        <v>0</v>
      </c>
      <c r="K32" s="21">
        <v>140238</v>
      </c>
      <c r="L32" s="21">
        <v>3200</v>
      </c>
      <c r="M32" s="21">
        <v>740</v>
      </c>
      <c r="N32" s="21">
        <v>3580</v>
      </c>
      <c r="O32" s="21">
        <v>15427</v>
      </c>
      <c r="P32" s="21">
        <v>26334</v>
      </c>
      <c r="Q32" s="21">
        <v>7708</v>
      </c>
      <c r="R32" s="21">
        <v>5873</v>
      </c>
      <c r="S32" s="21">
        <v>1005</v>
      </c>
      <c r="T32" s="21">
        <v>0</v>
      </c>
      <c r="U32" s="21">
        <v>0</v>
      </c>
      <c r="V32" s="21">
        <v>0</v>
      </c>
      <c r="W32" s="21">
        <v>60632</v>
      </c>
      <c r="X32" s="21">
        <v>714783</v>
      </c>
      <c r="Y32" s="21">
        <v>0</v>
      </c>
      <c r="Z32" s="21">
        <v>481322</v>
      </c>
      <c r="AA32" s="21">
        <v>35368</v>
      </c>
      <c r="AB32" s="21">
        <v>66113</v>
      </c>
      <c r="AC32" s="21">
        <v>0</v>
      </c>
      <c r="AD32" s="21">
        <v>49239</v>
      </c>
      <c r="AE32" s="21">
        <v>15345</v>
      </c>
      <c r="AF32" s="21">
        <v>5109</v>
      </c>
      <c r="AG32" s="21">
        <v>17923</v>
      </c>
      <c r="AH32" s="21">
        <v>1550</v>
      </c>
      <c r="AI32" s="21">
        <v>36991</v>
      </c>
      <c r="AJ32" s="21">
        <v>8645</v>
      </c>
      <c r="AK32" s="21">
        <v>3354</v>
      </c>
      <c r="AL32" s="21">
        <v>4409</v>
      </c>
      <c r="AM32" s="21">
        <v>22825</v>
      </c>
      <c r="AN32" s="21">
        <v>14460</v>
      </c>
      <c r="AO32" s="21">
        <v>8262</v>
      </c>
      <c r="AP32" s="21">
        <v>54223</v>
      </c>
      <c r="AQ32" s="21">
        <v>22726</v>
      </c>
      <c r="AR32" s="21">
        <v>0</v>
      </c>
      <c r="AS32" s="21">
        <v>19749</v>
      </c>
      <c r="AT32" s="21">
        <v>6192</v>
      </c>
      <c r="AU32" s="21">
        <v>3424</v>
      </c>
      <c r="AV32" s="21">
        <v>82027</v>
      </c>
      <c r="AW32" s="21">
        <v>118885</v>
      </c>
      <c r="AX32" s="21">
        <v>59113</v>
      </c>
      <c r="AY32" s="21">
        <v>54197</v>
      </c>
      <c r="AZ32" s="21">
        <v>0</v>
      </c>
      <c r="BA32" s="21">
        <v>148489</v>
      </c>
      <c r="BB32" s="21">
        <v>-1</v>
      </c>
      <c r="BC32" s="21">
        <v>0</v>
      </c>
      <c r="BD32" s="21">
        <v>7808</v>
      </c>
      <c r="BE32" s="21">
        <v>0</v>
      </c>
      <c r="BF32" s="21">
        <v>148489</v>
      </c>
      <c r="BG32" s="14">
        <v>5000</v>
      </c>
      <c r="BH32" s="14">
        <v>0</v>
      </c>
      <c r="BI32" s="21">
        <v>137469</v>
      </c>
      <c r="BJ32" s="21">
        <v>0</v>
      </c>
      <c r="BK32" s="21">
        <v>18828</v>
      </c>
    </row>
    <row r="33" spans="1:63">
      <c r="A33" s="14">
        <v>2021</v>
      </c>
      <c r="B33" s="14" t="s">
        <v>57</v>
      </c>
      <c r="C33" s="21">
        <v>81407.11</v>
      </c>
      <c r="D33" s="21">
        <v>0</v>
      </c>
      <c r="E33" s="21">
        <v>4027.76</v>
      </c>
      <c r="F33" s="21">
        <f t="shared" si="0"/>
        <v>85434.87</v>
      </c>
      <c r="G33" s="21">
        <v>1430531</v>
      </c>
      <c r="H33" s="21">
        <v>0</v>
      </c>
      <c r="I33" s="21">
        <v>84215</v>
      </c>
      <c r="J33" s="21">
        <v>0</v>
      </c>
      <c r="K33" s="21">
        <v>142138</v>
      </c>
      <c r="L33" s="21">
        <v>3400</v>
      </c>
      <c r="M33" s="21">
        <v>27631</v>
      </c>
      <c r="N33" s="21">
        <v>22319</v>
      </c>
      <c r="O33" s="21">
        <v>14754</v>
      </c>
      <c r="P33" s="21">
        <v>15390</v>
      </c>
      <c r="Q33" s="21">
        <v>9765</v>
      </c>
      <c r="R33" s="21">
        <v>7416</v>
      </c>
      <c r="S33" s="21">
        <v>517</v>
      </c>
      <c r="T33" s="21">
        <v>0</v>
      </c>
      <c r="U33" s="21">
        <v>0</v>
      </c>
      <c r="V33" s="21">
        <v>0</v>
      </c>
      <c r="W33" s="21">
        <v>55093</v>
      </c>
      <c r="X33" s="21">
        <v>713816</v>
      </c>
      <c r="Y33" s="21">
        <v>26248</v>
      </c>
      <c r="Z33" s="21">
        <v>532081</v>
      </c>
      <c r="AA33" s="21">
        <v>34846</v>
      </c>
      <c r="AB33" s="21">
        <v>71950</v>
      </c>
      <c r="AC33" s="21">
        <v>0</v>
      </c>
      <c r="AD33" s="21">
        <v>11546</v>
      </c>
      <c r="AE33" s="21">
        <v>1933</v>
      </c>
      <c r="AF33" s="21">
        <v>12839</v>
      </c>
      <c r="AG33" s="21">
        <v>18204</v>
      </c>
      <c r="AH33" s="21">
        <v>4148</v>
      </c>
      <c r="AI33" s="21">
        <v>32705</v>
      </c>
      <c r="AJ33" s="21">
        <v>7121</v>
      </c>
      <c r="AK33" s="21">
        <v>26559</v>
      </c>
      <c r="AL33" s="21">
        <v>3306</v>
      </c>
      <c r="AM33" s="21">
        <v>23983</v>
      </c>
      <c r="AN33" s="21">
        <v>19280</v>
      </c>
      <c r="AO33" s="21">
        <v>13012</v>
      </c>
      <c r="AP33" s="21">
        <v>54327</v>
      </c>
      <c r="AQ33" s="21">
        <v>13319</v>
      </c>
      <c r="AR33" s="21">
        <v>0</v>
      </c>
      <c r="AS33" s="21">
        <v>13403</v>
      </c>
      <c r="AT33" s="21">
        <v>3817</v>
      </c>
      <c r="AU33" s="21">
        <v>1507</v>
      </c>
      <c r="AV33" s="21">
        <v>86879</v>
      </c>
      <c r="AW33" s="21">
        <v>43071</v>
      </c>
      <c r="AX33" s="21">
        <v>43551</v>
      </c>
      <c r="AY33" s="21">
        <v>22585</v>
      </c>
      <c r="AZ33" s="21">
        <v>0</v>
      </c>
      <c r="BA33" s="21">
        <v>0</v>
      </c>
      <c r="BB33" s="21">
        <v>1</v>
      </c>
      <c r="BC33" s="21">
        <v>0</v>
      </c>
      <c r="BD33" s="21">
        <v>7644</v>
      </c>
      <c r="BE33" s="21">
        <v>0</v>
      </c>
      <c r="BF33" s="21">
        <v>0</v>
      </c>
      <c r="BG33" s="14">
        <v>5000</v>
      </c>
      <c r="BH33" s="14">
        <v>0</v>
      </c>
      <c r="BI33" s="21">
        <v>0</v>
      </c>
      <c r="BJ33" s="21">
        <v>0</v>
      </c>
      <c r="BK33" s="21">
        <v>0</v>
      </c>
    </row>
    <row r="34" spans="1:63">
      <c r="A34" s="14">
        <v>5200</v>
      </c>
      <c r="B34" s="14" t="s">
        <v>58</v>
      </c>
      <c r="C34" s="21">
        <v>111027.44</v>
      </c>
      <c r="D34" s="21">
        <v>0</v>
      </c>
      <c r="E34" s="21">
        <v>-0.71</v>
      </c>
      <c r="F34" s="21">
        <f t="shared" si="0"/>
        <v>111026.73</v>
      </c>
      <c r="G34" s="21">
        <v>1576016</v>
      </c>
      <c r="H34" s="21">
        <v>0</v>
      </c>
      <c r="I34" s="21">
        <v>101033</v>
      </c>
      <c r="J34" s="21">
        <v>0</v>
      </c>
      <c r="K34" s="21">
        <v>267003</v>
      </c>
      <c r="L34" s="21">
        <v>0</v>
      </c>
      <c r="M34" s="21">
        <v>894</v>
      </c>
      <c r="N34" s="21">
        <v>39436</v>
      </c>
      <c r="O34" s="21">
        <v>53256</v>
      </c>
      <c r="P34" s="21">
        <v>5500</v>
      </c>
      <c r="Q34" s="21">
        <v>14215</v>
      </c>
      <c r="R34" s="21">
        <v>26346</v>
      </c>
      <c r="S34" s="21">
        <v>31688</v>
      </c>
      <c r="T34" s="21">
        <v>0</v>
      </c>
      <c r="U34" s="21">
        <v>0</v>
      </c>
      <c r="V34" s="21">
        <v>0</v>
      </c>
      <c r="W34" s="21">
        <v>9404</v>
      </c>
      <c r="X34" s="21">
        <v>808374</v>
      </c>
      <c r="Y34" s="21">
        <v>0</v>
      </c>
      <c r="Z34" s="21">
        <v>424294</v>
      </c>
      <c r="AA34" s="21">
        <v>66178</v>
      </c>
      <c r="AB34" s="21">
        <v>94839</v>
      </c>
      <c r="AC34" s="21">
        <v>0</v>
      </c>
      <c r="AD34" s="21">
        <v>26580</v>
      </c>
      <c r="AE34" s="21">
        <v>9976</v>
      </c>
      <c r="AF34" s="21">
        <v>6490</v>
      </c>
      <c r="AG34" s="21">
        <v>16581</v>
      </c>
      <c r="AH34" s="21">
        <v>1800</v>
      </c>
      <c r="AI34" s="21">
        <v>60601</v>
      </c>
      <c r="AJ34" s="21">
        <v>3310</v>
      </c>
      <c r="AK34" s="21">
        <v>2577</v>
      </c>
      <c r="AL34" s="21">
        <v>11791</v>
      </c>
      <c r="AM34" s="21">
        <v>33524</v>
      </c>
      <c r="AN34" s="21">
        <v>0</v>
      </c>
      <c r="AO34" s="21">
        <v>14812</v>
      </c>
      <c r="AP34" s="21">
        <v>114323</v>
      </c>
      <c r="AQ34" s="21">
        <v>15723</v>
      </c>
      <c r="AR34" s="21">
        <v>0</v>
      </c>
      <c r="AS34" s="21">
        <v>8034</v>
      </c>
      <c r="AT34" s="21">
        <v>12615</v>
      </c>
      <c r="AU34" s="21">
        <v>0</v>
      </c>
      <c r="AV34" s="21">
        <v>62539</v>
      </c>
      <c r="AW34" s="21">
        <v>86417</v>
      </c>
      <c r="AX34" s="21">
        <v>245086</v>
      </c>
      <c r="AY34" s="21">
        <v>29104</v>
      </c>
      <c r="AZ34" s="21">
        <v>0</v>
      </c>
      <c r="BA34" s="21">
        <v>19546</v>
      </c>
      <c r="BB34" s="21">
        <v>0</v>
      </c>
      <c r="BC34" s="21">
        <v>0</v>
      </c>
      <c r="BD34" s="21">
        <v>7824</v>
      </c>
      <c r="BE34" s="21">
        <v>0</v>
      </c>
      <c r="BF34" s="21">
        <v>19546</v>
      </c>
      <c r="BG34" s="14">
        <v>5000</v>
      </c>
      <c r="BH34" s="14">
        <v>0</v>
      </c>
      <c r="BI34" s="21">
        <v>13040</v>
      </c>
      <c r="BJ34" s="21">
        <v>0</v>
      </c>
      <c r="BK34" s="21">
        <v>14331</v>
      </c>
    </row>
    <row r="35" spans="1:63">
      <c r="A35" s="14">
        <v>2023</v>
      </c>
      <c r="B35" s="14" t="s">
        <v>59</v>
      </c>
      <c r="C35" s="21">
        <v>77688.56</v>
      </c>
      <c r="D35" s="21">
        <v>1357</v>
      </c>
      <c r="E35" s="21">
        <v>0</v>
      </c>
      <c r="F35" s="21">
        <f t="shared" si="0"/>
        <v>79045.56</v>
      </c>
      <c r="G35" s="21">
        <v>2442673</v>
      </c>
      <c r="H35" s="21">
        <v>0</v>
      </c>
      <c r="I35" s="21">
        <v>114481</v>
      </c>
      <c r="J35" s="21">
        <v>0</v>
      </c>
      <c r="K35" s="21">
        <v>208370</v>
      </c>
      <c r="L35" s="21">
        <v>0</v>
      </c>
      <c r="M35" s="21">
        <v>15094</v>
      </c>
      <c r="N35" s="21">
        <v>30277</v>
      </c>
      <c r="O35" s="21">
        <v>34135</v>
      </c>
      <c r="P35" s="21">
        <v>22818</v>
      </c>
      <c r="Q35" s="21">
        <v>1483</v>
      </c>
      <c r="R35" s="21">
        <v>5834</v>
      </c>
      <c r="S35" s="21">
        <v>15413</v>
      </c>
      <c r="T35" s="21">
        <v>0</v>
      </c>
      <c r="U35" s="21">
        <v>0</v>
      </c>
      <c r="V35" s="21">
        <v>0</v>
      </c>
      <c r="W35" s="21">
        <v>54870</v>
      </c>
      <c r="X35" s="21">
        <v>1136999</v>
      </c>
      <c r="Y35" s="21">
        <v>0</v>
      </c>
      <c r="Z35" s="21">
        <v>610627</v>
      </c>
      <c r="AA35" s="21">
        <v>41770</v>
      </c>
      <c r="AB35" s="21">
        <v>122045</v>
      </c>
      <c r="AC35" s="21">
        <v>0</v>
      </c>
      <c r="AD35" s="21">
        <v>93280</v>
      </c>
      <c r="AE35" s="21">
        <v>16757</v>
      </c>
      <c r="AF35" s="21">
        <v>16789</v>
      </c>
      <c r="AG35" s="21">
        <v>18308</v>
      </c>
      <c r="AH35" s="21">
        <v>7189</v>
      </c>
      <c r="AI35" s="21">
        <v>20917</v>
      </c>
      <c r="AJ35" s="21">
        <v>6178</v>
      </c>
      <c r="AK35" s="21">
        <v>38933</v>
      </c>
      <c r="AL35" s="21">
        <v>8378</v>
      </c>
      <c r="AM35" s="21">
        <v>36894</v>
      </c>
      <c r="AN35" s="21">
        <v>9219</v>
      </c>
      <c r="AO35" s="21">
        <v>8730</v>
      </c>
      <c r="AP35" s="21">
        <v>103939</v>
      </c>
      <c r="AQ35" s="21">
        <v>13996</v>
      </c>
      <c r="AR35" s="21">
        <v>0</v>
      </c>
      <c r="AS35" s="21">
        <v>10305</v>
      </c>
      <c r="AT35" s="21">
        <v>15424</v>
      </c>
      <c r="AU35" s="21">
        <v>8149</v>
      </c>
      <c r="AV35" s="21">
        <v>102913</v>
      </c>
      <c r="AW35" s="21">
        <v>192186</v>
      </c>
      <c r="AX35" s="21">
        <v>118433</v>
      </c>
      <c r="AY35" s="21">
        <v>60221</v>
      </c>
      <c r="AZ35" s="21">
        <v>0</v>
      </c>
      <c r="BA35" s="21">
        <v>0</v>
      </c>
      <c r="BB35" s="21">
        <v>-2</v>
      </c>
      <c r="BC35" s="21">
        <v>0</v>
      </c>
      <c r="BD35" s="21">
        <v>12005</v>
      </c>
      <c r="BE35" s="21">
        <v>0</v>
      </c>
      <c r="BF35" s="21">
        <v>0</v>
      </c>
      <c r="BG35" s="14">
        <v>5000</v>
      </c>
      <c r="BH35" s="14">
        <v>0</v>
      </c>
      <c r="BI35" s="21">
        <v>6923</v>
      </c>
      <c r="BJ35" s="21">
        <v>0</v>
      </c>
      <c r="BK35" s="21">
        <v>3737</v>
      </c>
    </row>
    <row r="36" spans="1:63">
      <c r="A36" s="14">
        <v>2022</v>
      </c>
      <c r="B36" s="14" t="s">
        <v>60</v>
      </c>
      <c r="C36" s="21">
        <v>249902.55</v>
      </c>
      <c r="D36" s="21">
        <v>0</v>
      </c>
      <c r="E36" s="21">
        <v>0.4</v>
      </c>
      <c r="F36" s="21">
        <f t="shared" si="0"/>
        <v>249902.94999999998</v>
      </c>
      <c r="G36" s="21">
        <v>694366</v>
      </c>
      <c r="H36" s="21">
        <v>0</v>
      </c>
      <c r="I36" s="21">
        <v>50205</v>
      </c>
      <c r="J36" s="21">
        <v>0</v>
      </c>
      <c r="K36" s="21">
        <v>79542</v>
      </c>
      <c r="L36" s="21">
        <v>0</v>
      </c>
      <c r="M36" s="21">
        <v>0</v>
      </c>
      <c r="N36" s="21">
        <v>2191</v>
      </c>
      <c r="O36" s="21">
        <v>13791</v>
      </c>
      <c r="P36" s="21">
        <v>1348</v>
      </c>
      <c r="Q36" s="21">
        <v>0</v>
      </c>
      <c r="R36" s="21">
        <v>12195</v>
      </c>
      <c r="S36" s="21">
        <v>0</v>
      </c>
      <c r="T36" s="21">
        <v>0</v>
      </c>
      <c r="U36" s="21">
        <v>0</v>
      </c>
      <c r="V36" s="21">
        <v>0</v>
      </c>
      <c r="W36" s="21">
        <v>3755</v>
      </c>
      <c r="X36" s="21">
        <v>208490</v>
      </c>
      <c r="Y36" s="21">
        <v>3543</v>
      </c>
      <c r="Z36" s="21">
        <v>123371</v>
      </c>
      <c r="AA36" s="21">
        <v>11291</v>
      </c>
      <c r="AB36" s="21">
        <v>33568</v>
      </c>
      <c r="AC36" s="21">
        <v>63</v>
      </c>
      <c r="AD36" s="21">
        <v>19532</v>
      </c>
      <c r="AE36" s="21">
        <v>67650</v>
      </c>
      <c r="AF36" s="21">
        <v>3863</v>
      </c>
      <c r="AG36" s="21">
        <v>10467</v>
      </c>
      <c r="AH36" s="21">
        <v>671</v>
      </c>
      <c r="AI36" s="21">
        <v>24212</v>
      </c>
      <c r="AJ36" s="21">
        <v>2365</v>
      </c>
      <c r="AK36" s="21">
        <v>14485</v>
      </c>
      <c r="AL36" s="21">
        <v>2702</v>
      </c>
      <c r="AM36" s="21">
        <v>6560</v>
      </c>
      <c r="AN36" s="21">
        <v>10074</v>
      </c>
      <c r="AO36" s="21">
        <v>9925</v>
      </c>
      <c r="AP36" s="21">
        <v>70523</v>
      </c>
      <c r="AQ36" s="21">
        <v>11132</v>
      </c>
      <c r="AR36" s="21">
        <v>0</v>
      </c>
      <c r="AS36" s="21">
        <v>4729</v>
      </c>
      <c r="AT36" s="21">
        <v>3146</v>
      </c>
      <c r="AU36" s="21">
        <v>3771</v>
      </c>
      <c r="AV36" s="21">
        <v>23865</v>
      </c>
      <c r="AW36" s="21">
        <v>92324</v>
      </c>
      <c r="AX36" s="21">
        <v>44198</v>
      </c>
      <c r="AY36" s="21">
        <v>91719</v>
      </c>
      <c r="AZ36" s="21">
        <v>0</v>
      </c>
      <c r="BA36" s="21">
        <v>209248</v>
      </c>
      <c r="BB36" s="21">
        <v>0</v>
      </c>
      <c r="BC36" s="21">
        <v>0</v>
      </c>
      <c r="BD36" s="21">
        <v>3298</v>
      </c>
      <c r="BE36" s="21">
        <v>0</v>
      </c>
      <c r="BF36" s="21">
        <v>209248</v>
      </c>
      <c r="BG36" s="14">
        <v>5000</v>
      </c>
      <c r="BH36" s="14">
        <v>0</v>
      </c>
      <c r="BI36" s="21">
        <v>51649</v>
      </c>
      <c r="BJ36" s="21">
        <v>0</v>
      </c>
      <c r="BK36" s="21">
        <v>160896</v>
      </c>
    </row>
    <row r="37" spans="1:63">
      <c r="A37" s="14">
        <v>2024</v>
      </c>
      <c r="B37" s="14" t="s">
        <v>61</v>
      </c>
      <c r="C37" s="21">
        <v>217069.87</v>
      </c>
      <c r="D37" s="21">
        <v>2778</v>
      </c>
      <c r="E37" s="21">
        <v>30137.119999999999</v>
      </c>
      <c r="F37" s="21">
        <f t="shared" si="0"/>
        <v>249984.99</v>
      </c>
      <c r="G37" s="21">
        <v>1303926</v>
      </c>
      <c r="H37" s="21">
        <v>0</v>
      </c>
      <c r="I37" s="21">
        <v>68569</v>
      </c>
      <c r="J37" s="21">
        <v>0</v>
      </c>
      <c r="K37" s="21">
        <v>111132</v>
      </c>
      <c r="L37" s="21">
        <v>4471</v>
      </c>
      <c r="M37" s="21">
        <v>1961</v>
      </c>
      <c r="N37" s="21">
        <v>15616</v>
      </c>
      <c r="O37" s="21">
        <v>19890</v>
      </c>
      <c r="P37" s="21">
        <v>0</v>
      </c>
      <c r="Q37" s="21">
        <v>7890</v>
      </c>
      <c r="R37" s="21">
        <v>22044</v>
      </c>
      <c r="S37" s="21">
        <v>469</v>
      </c>
      <c r="T37" s="21">
        <v>0</v>
      </c>
      <c r="U37" s="21">
        <v>485338</v>
      </c>
      <c r="V37" s="21">
        <v>169801</v>
      </c>
      <c r="W37" s="21">
        <v>27786</v>
      </c>
      <c r="X37" s="21">
        <v>668434</v>
      </c>
      <c r="Y37" s="21">
        <v>605</v>
      </c>
      <c r="Z37" s="21">
        <v>336245</v>
      </c>
      <c r="AA37" s="21">
        <v>27814</v>
      </c>
      <c r="AB37" s="21">
        <v>108159</v>
      </c>
      <c r="AC37" s="21">
        <v>0</v>
      </c>
      <c r="AD37" s="21">
        <v>27765</v>
      </c>
      <c r="AE37" s="21">
        <v>7216</v>
      </c>
      <c r="AF37" s="21">
        <v>5457</v>
      </c>
      <c r="AG37" s="21">
        <v>11825</v>
      </c>
      <c r="AH37" s="21">
        <v>806</v>
      </c>
      <c r="AI37" s="21">
        <v>104749</v>
      </c>
      <c r="AJ37" s="21">
        <v>2374</v>
      </c>
      <c r="AK37" s="21">
        <v>17781</v>
      </c>
      <c r="AL37" s="21">
        <v>-914</v>
      </c>
      <c r="AM37" s="21">
        <v>18992</v>
      </c>
      <c r="AN37" s="21">
        <v>46686</v>
      </c>
      <c r="AO37" s="21">
        <v>3365</v>
      </c>
      <c r="AP37" s="21">
        <v>61487</v>
      </c>
      <c r="AQ37" s="21">
        <v>44549</v>
      </c>
      <c r="AR37" s="21">
        <v>0</v>
      </c>
      <c r="AS37" s="21">
        <v>27558</v>
      </c>
      <c r="AT37" s="21">
        <v>9693</v>
      </c>
      <c r="AU37" s="21">
        <v>17306</v>
      </c>
      <c r="AV37" s="21">
        <v>44904</v>
      </c>
      <c r="AW37" s="21">
        <v>21753</v>
      </c>
      <c r="AX37" s="21">
        <v>73922</v>
      </c>
      <c r="AY37" s="21">
        <v>17452</v>
      </c>
      <c r="AZ37" s="21">
        <v>0</v>
      </c>
      <c r="BA37" s="21">
        <v>0</v>
      </c>
      <c r="BB37" s="21">
        <v>527377</v>
      </c>
      <c r="BC37" s="21">
        <v>93607</v>
      </c>
      <c r="BD37" s="21">
        <v>6920</v>
      </c>
      <c r="BE37" s="21">
        <v>0</v>
      </c>
      <c r="BF37" s="21">
        <v>0</v>
      </c>
      <c r="BG37" s="14">
        <v>5000</v>
      </c>
      <c r="BH37" s="14">
        <v>0</v>
      </c>
      <c r="BI37" s="21">
        <v>0</v>
      </c>
      <c r="BJ37" s="21">
        <v>0</v>
      </c>
      <c r="BK37" s="21">
        <v>0</v>
      </c>
    </row>
    <row r="38" spans="1:63">
      <c r="A38" s="14">
        <v>2025</v>
      </c>
      <c r="B38" s="14" t="s">
        <v>62</v>
      </c>
      <c r="C38" s="21">
        <v>69915.59</v>
      </c>
      <c r="D38" s="21">
        <v>0</v>
      </c>
      <c r="E38" s="21">
        <v>22130.5</v>
      </c>
      <c r="F38" s="21">
        <f t="shared" si="0"/>
        <v>92046.09</v>
      </c>
      <c r="G38" s="21">
        <v>1236924</v>
      </c>
      <c r="H38" s="21">
        <v>0</v>
      </c>
      <c r="I38" s="21">
        <v>48705</v>
      </c>
      <c r="J38" s="21">
        <v>0</v>
      </c>
      <c r="K38" s="21">
        <v>32800</v>
      </c>
      <c r="L38" s="21">
        <v>18584</v>
      </c>
      <c r="M38" s="21">
        <v>5160</v>
      </c>
      <c r="N38" s="21">
        <v>43663</v>
      </c>
      <c r="O38" s="21">
        <v>48065</v>
      </c>
      <c r="P38" s="21">
        <v>13229</v>
      </c>
      <c r="Q38" s="21">
        <v>3080</v>
      </c>
      <c r="R38" s="21">
        <v>44732</v>
      </c>
      <c r="S38" s="21">
        <v>14126</v>
      </c>
      <c r="T38" s="21">
        <v>0</v>
      </c>
      <c r="U38" s="21">
        <v>0</v>
      </c>
      <c r="V38" s="21">
        <v>0</v>
      </c>
      <c r="W38" s="21">
        <v>38348</v>
      </c>
      <c r="X38" s="21">
        <v>717151</v>
      </c>
      <c r="Y38" s="21">
        <v>13773</v>
      </c>
      <c r="Z38" s="21">
        <v>251375</v>
      </c>
      <c r="AA38" s="21">
        <v>57327</v>
      </c>
      <c r="AB38" s="21">
        <v>46737</v>
      </c>
      <c r="AC38" s="21">
        <v>0</v>
      </c>
      <c r="AD38" s="21">
        <v>29018</v>
      </c>
      <c r="AE38" s="21">
        <v>29469</v>
      </c>
      <c r="AF38" s="21">
        <v>6622</v>
      </c>
      <c r="AG38" s="21">
        <v>5501</v>
      </c>
      <c r="AH38" s="21">
        <v>6370</v>
      </c>
      <c r="AI38" s="21">
        <v>17276</v>
      </c>
      <c r="AJ38" s="21">
        <v>5</v>
      </c>
      <c r="AK38" s="21">
        <v>4722</v>
      </c>
      <c r="AL38" s="21">
        <v>5000</v>
      </c>
      <c r="AM38" s="21">
        <v>26151</v>
      </c>
      <c r="AN38" s="21">
        <v>20967</v>
      </c>
      <c r="AO38" s="21">
        <v>4477</v>
      </c>
      <c r="AP38" s="21">
        <v>83303</v>
      </c>
      <c r="AQ38" s="21">
        <v>16780</v>
      </c>
      <c r="AR38" s="21">
        <v>0</v>
      </c>
      <c r="AS38" s="21">
        <v>7791</v>
      </c>
      <c r="AT38" s="21">
        <v>7323</v>
      </c>
      <c r="AU38" s="21">
        <v>7126</v>
      </c>
      <c r="AV38" s="21">
        <v>71338</v>
      </c>
      <c r="AW38" s="21">
        <v>65827</v>
      </c>
      <c r="AX38" s="21">
        <v>34156</v>
      </c>
      <c r="AY38" s="21">
        <v>32612</v>
      </c>
      <c r="AZ38" s="21">
        <v>0</v>
      </c>
      <c r="BA38" s="21">
        <v>0</v>
      </c>
      <c r="BB38" s="21">
        <v>0</v>
      </c>
      <c r="BC38" s="21">
        <v>0</v>
      </c>
      <c r="BD38" s="21">
        <v>7532</v>
      </c>
      <c r="BE38" s="21">
        <v>0</v>
      </c>
      <c r="BF38" s="21">
        <v>0</v>
      </c>
      <c r="BG38" s="14">
        <v>5000</v>
      </c>
      <c r="BH38" s="14">
        <v>0</v>
      </c>
      <c r="BI38" s="21">
        <v>0</v>
      </c>
      <c r="BJ38" s="21">
        <v>0</v>
      </c>
      <c r="BK38" s="21">
        <v>13173</v>
      </c>
    </row>
    <row r="39" spans="1:63">
      <c r="A39" s="14">
        <v>2026</v>
      </c>
      <c r="B39" s="14" t="s">
        <v>63</v>
      </c>
      <c r="C39" s="21">
        <v>91130.46</v>
      </c>
      <c r="D39" s="21">
        <v>0</v>
      </c>
      <c r="E39" s="21">
        <v>2324.87</v>
      </c>
      <c r="F39" s="21">
        <f t="shared" si="0"/>
        <v>93455.33</v>
      </c>
      <c r="G39" s="21">
        <v>2625070</v>
      </c>
      <c r="H39" s="21">
        <v>0</v>
      </c>
      <c r="I39" s="21">
        <v>120823</v>
      </c>
      <c r="J39" s="21">
        <v>0</v>
      </c>
      <c r="K39" s="21">
        <v>174637</v>
      </c>
      <c r="L39" s="21">
        <v>1240</v>
      </c>
      <c r="M39" s="21">
        <v>0</v>
      </c>
      <c r="N39" s="21">
        <v>87486</v>
      </c>
      <c r="O39" s="21">
        <v>48145</v>
      </c>
      <c r="P39" s="21">
        <v>0</v>
      </c>
      <c r="Q39" s="21">
        <v>0</v>
      </c>
      <c r="R39" s="21">
        <v>82060</v>
      </c>
      <c r="S39" s="21">
        <v>35706</v>
      </c>
      <c r="T39" s="21">
        <v>0</v>
      </c>
      <c r="U39" s="21">
        <v>0</v>
      </c>
      <c r="V39" s="21">
        <v>0</v>
      </c>
      <c r="W39" s="21">
        <v>62642</v>
      </c>
      <c r="X39" s="21">
        <v>1566669</v>
      </c>
      <c r="Y39" s="21">
        <v>14060</v>
      </c>
      <c r="Z39" s="21">
        <v>600209</v>
      </c>
      <c r="AA39" s="21">
        <v>53442</v>
      </c>
      <c r="AB39" s="21">
        <v>131511</v>
      </c>
      <c r="AC39" s="21">
        <v>0</v>
      </c>
      <c r="AD39" s="21">
        <v>86121</v>
      </c>
      <c r="AE39" s="21">
        <v>18553</v>
      </c>
      <c r="AF39" s="21">
        <v>10293</v>
      </c>
      <c r="AG39" s="21">
        <v>2036</v>
      </c>
      <c r="AH39" s="21">
        <v>0</v>
      </c>
      <c r="AI39" s="21">
        <v>27589</v>
      </c>
      <c r="AJ39" s="21">
        <v>2721</v>
      </c>
      <c r="AK39" s="21">
        <v>37011</v>
      </c>
      <c r="AL39" s="21">
        <v>4108</v>
      </c>
      <c r="AM39" s="21">
        <v>36743</v>
      </c>
      <c r="AN39" s="21">
        <v>38905</v>
      </c>
      <c r="AO39" s="21">
        <v>19923</v>
      </c>
      <c r="AP39" s="21">
        <v>117880</v>
      </c>
      <c r="AQ39" s="21">
        <v>30919</v>
      </c>
      <c r="AR39" s="21">
        <v>0</v>
      </c>
      <c r="AS39" s="21">
        <v>27172</v>
      </c>
      <c r="AT39" s="21">
        <v>16053</v>
      </c>
      <c r="AU39" s="21">
        <v>6790</v>
      </c>
      <c r="AV39" s="21">
        <v>146993</v>
      </c>
      <c r="AW39" s="21">
        <v>129823</v>
      </c>
      <c r="AX39" s="21">
        <v>140594</v>
      </c>
      <c r="AY39" s="21">
        <v>42109</v>
      </c>
      <c r="AZ39" s="21">
        <v>0</v>
      </c>
      <c r="BA39" s="21">
        <v>4429</v>
      </c>
      <c r="BB39" s="21">
        <v>2</v>
      </c>
      <c r="BC39" s="21">
        <v>0</v>
      </c>
      <c r="BD39" s="21">
        <v>11482</v>
      </c>
      <c r="BE39" s="21">
        <v>0</v>
      </c>
      <c r="BF39" s="21">
        <v>4429</v>
      </c>
      <c r="BG39" s="14">
        <v>5000</v>
      </c>
      <c r="BH39" s="14">
        <v>0</v>
      </c>
      <c r="BI39" s="21">
        <v>18236</v>
      </c>
      <c r="BJ39" s="21">
        <v>0</v>
      </c>
      <c r="BK39" s="21">
        <v>0</v>
      </c>
    </row>
    <row r="40" spans="1:63">
      <c r="A40" s="14">
        <v>2028</v>
      </c>
      <c r="B40" s="14" t="s">
        <v>64</v>
      </c>
      <c r="C40" s="21">
        <v>89086.74</v>
      </c>
      <c r="D40" s="21">
        <v>0</v>
      </c>
      <c r="E40" s="21">
        <v>0</v>
      </c>
      <c r="F40" s="21">
        <f t="shared" si="0"/>
        <v>89086.74</v>
      </c>
      <c r="G40" s="21">
        <v>1126980</v>
      </c>
      <c r="H40" s="21">
        <v>0</v>
      </c>
      <c r="I40" s="21">
        <v>71870</v>
      </c>
      <c r="J40" s="21">
        <v>0</v>
      </c>
      <c r="K40" s="21">
        <v>50851</v>
      </c>
      <c r="L40" s="21">
        <v>3540</v>
      </c>
      <c r="M40" s="21">
        <v>0</v>
      </c>
      <c r="N40" s="21">
        <v>6489</v>
      </c>
      <c r="O40" s="21">
        <v>22035</v>
      </c>
      <c r="P40" s="21">
        <v>2052</v>
      </c>
      <c r="Q40" s="21">
        <v>325</v>
      </c>
      <c r="R40" s="21">
        <v>1280</v>
      </c>
      <c r="S40" s="21">
        <v>3116</v>
      </c>
      <c r="T40" s="21">
        <v>0</v>
      </c>
      <c r="U40" s="21">
        <v>0</v>
      </c>
      <c r="V40" s="21">
        <v>0</v>
      </c>
      <c r="W40" s="21">
        <v>57807</v>
      </c>
      <c r="X40" s="21">
        <v>658871</v>
      </c>
      <c r="Y40" s="21">
        <v>0</v>
      </c>
      <c r="Z40" s="21">
        <v>295665</v>
      </c>
      <c r="AA40" s="21">
        <v>25332</v>
      </c>
      <c r="AB40" s="21">
        <v>36080</v>
      </c>
      <c r="AC40" s="21">
        <v>0</v>
      </c>
      <c r="AD40" s="21">
        <v>29013</v>
      </c>
      <c r="AE40" s="21">
        <v>5552</v>
      </c>
      <c r="AF40" s="21">
        <v>2835</v>
      </c>
      <c r="AG40" s="21">
        <v>13882</v>
      </c>
      <c r="AH40" s="21">
        <v>1134</v>
      </c>
      <c r="AI40" s="21">
        <v>6856</v>
      </c>
      <c r="AJ40" s="21">
        <v>2005</v>
      </c>
      <c r="AK40" s="21">
        <v>16692</v>
      </c>
      <c r="AL40" s="21">
        <v>-72</v>
      </c>
      <c r="AM40" s="21">
        <v>13128</v>
      </c>
      <c r="AN40" s="21">
        <v>17194</v>
      </c>
      <c r="AO40" s="21">
        <v>6598</v>
      </c>
      <c r="AP40" s="21">
        <v>20738</v>
      </c>
      <c r="AQ40" s="21">
        <v>10891</v>
      </c>
      <c r="AR40" s="21">
        <v>0</v>
      </c>
      <c r="AS40" s="21">
        <v>12263</v>
      </c>
      <c r="AT40" s="21">
        <v>5570</v>
      </c>
      <c r="AU40" s="21">
        <v>3201</v>
      </c>
      <c r="AV40" s="21">
        <v>79943</v>
      </c>
      <c r="AW40" s="21">
        <v>15660</v>
      </c>
      <c r="AX40" s="21">
        <v>24561</v>
      </c>
      <c r="AY40" s="21">
        <v>24518</v>
      </c>
      <c r="AZ40" s="21">
        <v>0</v>
      </c>
      <c r="BA40" s="21">
        <v>0</v>
      </c>
      <c r="BB40" s="21">
        <v>-1</v>
      </c>
      <c r="BC40" s="21">
        <v>0</v>
      </c>
      <c r="BD40" s="21">
        <v>7016</v>
      </c>
      <c r="BE40" s="21">
        <v>15233</v>
      </c>
      <c r="BF40" s="21">
        <v>0</v>
      </c>
      <c r="BG40" s="14">
        <v>5000</v>
      </c>
      <c r="BH40" s="14">
        <v>0</v>
      </c>
      <c r="BI40" s="21">
        <v>0</v>
      </c>
      <c r="BJ40" s="21">
        <v>0</v>
      </c>
      <c r="BK40" s="21">
        <v>19027</v>
      </c>
    </row>
    <row r="41" spans="1:63">
      <c r="A41" s="14">
        <v>2027</v>
      </c>
      <c r="B41" s="14" t="s">
        <v>65</v>
      </c>
      <c r="C41" s="21">
        <v>120135.57</v>
      </c>
      <c r="D41" s="21">
        <v>0</v>
      </c>
      <c r="E41" s="21">
        <v>0.5</v>
      </c>
      <c r="F41" s="21">
        <f t="shared" si="0"/>
        <v>120136.07</v>
      </c>
      <c r="G41" s="21">
        <v>1450901</v>
      </c>
      <c r="H41" s="21">
        <v>0</v>
      </c>
      <c r="I41" s="21">
        <v>74718</v>
      </c>
      <c r="J41" s="21">
        <v>0</v>
      </c>
      <c r="K41" s="21">
        <v>103194</v>
      </c>
      <c r="L41" s="21">
        <v>6150</v>
      </c>
      <c r="M41" s="21">
        <v>0</v>
      </c>
      <c r="N41" s="21">
        <v>11463</v>
      </c>
      <c r="O41" s="21">
        <v>70949</v>
      </c>
      <c r="P41" s="21">
        <v>7695</v>
      </c>
      <c r="Q41" s="21">
        <v>3082</v>
      </c>
      <c r="R41" s="21">
        <v>27561</v>
      </c>
      <c r="S41" s="21">
        <v>8730</v>
      </c>
      <c r="T41" s="21">
        <v>0</v>
      </c>
      <c r="U41" s="21">
        <v>0</v>
      </c>
      <c r="V41" s="21">
        <v>0</v>
      </c>
      <c r="W41" s="21">
        <v>9466</v>
      </c>
      <c r="X41" s="21">
        <v>918903</v>
      </c>
      <c r="Y41" s="21">
        <v>1455</v>
      </c>
      <c r="Z41" s="21">
        <v>252915</v>
      </c>
      <c r="AA41" s="21">
        <v>25333</v>
      </c>
      <c r="AB41" s="21">
        <v>43583</v>
      </c>
      <c r="AC41" s="21">
        <v>0</v>
      </c>
      <c r="AD41" s="21">
        <v>24382</v>
      </c>
      <c r="AE41" s="21">
        <v>11430</v>
      </c>
      <c r="AF41" s="21">
        <v>1990</v>
      </c>
      <c r="AG41" s="21">
        <v>15492</v>
      </c>
      <c r="AH41" s="21">
        <v>1491</v>
      </c>
      <c r="AI41" s="21">
        <v>20881</v>
      </c>
      <c r="AJ41" s="21">
        <v>1442</v>
      </c>
      <c r="AK41" s="21">
        <v>23536</v>
      </c>
      <c r="AL41" s="21">
        <v>-245</v>
      </c>
      <c r="AM41" s="21">
        <v>23602</v>
      </c>
      <c r="AN41" s="21">
        <v>17193</v>
      </c>
      <c r="AO41" s="21">
        <v>6152</v>
      </c>
      <c r="AP41" s="21">
        <v>76841</v>
      </c>
      <c r="AQ41" s="21">
        <v>17215</v>
      </c>
      <c r="AR41" s="21">
        <v>0</v>
      </c>
      <c r="AS41" s="21">
        <v>12964</v>
      </c>
      <c r="AT41" s="21">
        <v>7979</v>
      </c>
      <c r="AU41" s="21">
        <v>11274</v>
      </c>
      <c r="AV41" s="21">
        <v>84585</v>
      </c>
      <c r="AW41" s="21">
        <v>37731</v>
      </c>
      <c r="AX41" s="21">
        <v>126140</v>
      </c>
      <c r="AY41" s="21">
        <v>29310</v>
      </c>
      <c r="AZ41" s="21">
        <v>0</v>
      </c>
      <c r="BA41" s="21">
        <v>680</v>
      </c>
      <c r="BB41" s="21">
        <v>1</v>
      </c>
      <c r="BC41" s="21">
        <v>0</v>
      </c>
      <c r="BD41" s="21">
        <v>7960</v>
      </c>
      <c r="BE41" s="21">
        <v>1000</v>
      </c>
      <c r="BF41" s="21">
        <v>680</v>
      </c>
      <c r="BG41" s="14">
        <v>5000</v>
      </c>
      <c r="BH41" s="14">
        <v>0</v>
      </c>
      <c r="BI41" s="21">
        <v>0</v>
      </c>
      <c r="BJ41" s="21">
        <v>0</v>
      </c>
      <c r="BK41" s="21">
        <v>9641</v>
      </c>
    </row>
    <row r="42" spans="1:63">
      <c r="A42" s="14">
        <v>2029</v>
      </c>
      <c r="B42" s="14" t="s">
        <v>66</v>
      </c>
      <c r="C42" s="21">
        <v>163754.21</v>
      </c>
      <c r="D42" s="21">
        <v>0</v>
      </c>
      <c r="E42" s="21">
        <v>-0.5</v>
      </c>
      <c r="F42" s="21">
        <f t="shared" si="0"/>
        <v>163753.71</v>
      </c>
      <c r="G42" s="21">
        <v>2275419</v>
      </c>
      <c r="H42" s="21">
        <v>0</v>
      </c>
      <c r="I42" s="21">
        <v>57243</v>
      </c>
      <c r="J42" s="21">
        <v>0</v>
      </c>
      <c r="K42" s="21">
        <v>300832</v>
      </c>
      <c r="L42" s="21">
        <v>8800</v>
      </c>
      <c r="M42" s="21">
        <v>1152</v>
      </c>
      <c r="N42" s="21">
        <v>16571</v>
      </c>
      <c r="O42" s="21">
        <v>24963</v>
      </c>
      <c r="P42" s="21">
        <v>248</v>
      </c>
      <c r="Q42" s="21">
        <v>0</v>
      </c>
      <c r="R42" s="21">
        <v>26059</v>
      </c>
      <c r="S42" s="21">
        <v>1492</v>
      </c>
      <c r="T42" s="21">
        <v>0</v>
      </c>
      <c r="U42" s="21">
        <v>0</v>
      </c>
      <c r="V42" s="21">
        <v>0</v>
      </c>
      <c r="W42" s="21">
        <v>37644</v>
      </c>
      <c r="X42" s="21">
        <v>1011511</v>
      </c>
      <c r="Y42" s="21">
        <v>0</v>
      </c>
      <c r="Z42" s="21">
        <v>480479</v>
      </c>
      <c r="AA42" s="21">
        <v>65878</v>
      </c>
      <c r="AB42" s="21">
        <v>74762</v>
      </c>
      <c r="AC42" s="21">
        <v>-2</v>
      </c>
      <c r="AD42" s="21">
        <v>89155</v>
      </c>
      <c r="AE42" s="21">
        <v>7785</v>
      </c>
      <c r="AF42" s="21">
        <v>6144</v>
      </c>
      <c r="AG42" s="21">
        <v>17621</v>
      </c>
      <c r="AH42" s="21">
        <v>-7608</v>
      </c>
      <c r="AI42" s="21">
        <v>38013</v>
      </c>
      <c r="AJ42" s="21">
        <v>916</v>
      </c>
      <c r="AK42" s="21">
        <v>25488</v>
      </c>
      <c r="AL42" s="21">
        <v>2317</v>
      </c>
      <c r="AM42" s="21">
        <v>37727</v>
      </c>
      <c r="AN42" s="21">
        <v>22052</v>
      </c>
      <c r="AO42" s="21">
        <v>14458</v>
      </c>
      <c r="AP42" s="21">
        <v>130387</v>
      </c>
      <c r="AQ42" s="21">
        <v>22707</v>
      </c>
      <c r="AR42" s="21">
        <v>0</v>
      </c>
      <c r="AS42" s="21">
        <v>15659</v>
      </c>
      <c r="AT42" s="21">
        <v>9307</v>
      </c>
      <c r="AU42" s="21">
        <v>25723</v>
      </c>
      <c r="AV42" s="21">
        <v>95105</v>
      </c>
      <c r="AW42" s="21">
        <v>158196</v>
      </c>
      <c r="AX42" s="21">
        <v>156981</v>
      </c>
      <c r="AY42" s="21">
        <v>51208</v>
      </c>
      <c r="AZ42" s="21">
        <v>0</v>
      </c>
      <c r="BA42" s="21">
        <v>120706</v>
      </c>
      <c r="BB42" s="21">
        <v>-1</v>
      </c>
      <c r="BC42" s="21">
        <v>0</v>
      </c>
      <c r="BD42" s="21">
        <v>8984</v>
      </c>
      <c r="BE42" s="21">
        <v>0</v>
      </c>
      <c r="BF42" s="21">
        <v>120706</v>
      </c>
      <c r="BG42" s="14">
        <v>5000</v>
      </c>
      <c r="BH42" s="14">
        <v>0</v>
      </c>
      <c r="BI42" s="21">
        <v>103537</v>
      </c>
      <c r="BJ42" s="21">
        <v>7274</v>
      </c>
      <c r="BK42" s="21">
        <v>18878</v>
      </c>
    </row>
    <row r="43" spans="1:63">
      <c r="A43" s="14">
        <v>3516</v>
      </c>
      <c r="B43" s="14" t="s">
        <v>68</v>
      </c>
      <c r="C43" s="21">
        <v>-657.02</v>
      </c>
      <c r="D43" s="21">
        <v>0</v>
      </c>
      <c r="E43" s="21">
        <v>0</v>
      </c>
      <c r="F43" s="21">
        <f t="shared" si="0"/>
        <v>-657.02</v>
      </c>
      <c r="G43" s="21">
        <v>931111</v>
      </c>
      <c r="H43" s="21">
        <v>0</v>
      </c>
      <c r="I43" s="21">
        <v>87762</v>
      </c>
      <c r="J43" s="21">
        <v>0</v>
      </c>
      <c r="K43" s="21">
        <v>23981</v>
      </c>
      <c r="L43" s="21">
        <v>0</v>
      </c>
      <c r="M43" s="21">
        <v>0</v>
      </c>
      <c r="N43" s="21">
        <v>0</v>
      </c>
      <c r="O43" s="21">
        <v>34237</v>
      </c>
      <c r="P43" s="21">
        <v>0</v>
      </c>
      <c r="Q43" s="21">
        <v>12556</v>
      </c>
      <c r="R43" s="21">
        <v>0</v>
      </c>
      <c r="S43" s="21">
        <v>25225</v>
      </c>
      <c r="T43" s="21">
        <v>0</v>
      </c>
      <c r="U43" s="21">
        <v>0</v>
      </c>
      <c r="V43" s="21">
        <v>0</v>
      </c>
      <c r="W43" s="21">
        <v>27506</v>
      </c>
      <c r="X43" s="21">
        <v>570188</v>
      </c>
      <c r="Y43" s="21">
        <v>1514</v>
      </c>
      <c r="Z43" s="21">
        <v>227594</v>
      </c>
      <c r="AA43" s="21">
        <v>18391</v>
      </c>
      <c r="AB43" s="21">
        <v>66865</v>
      </c>
      <c r="AC43" s="21">
        <v>0</v>
      </c>
      <c r="AD43" s="21">
        <v>16252</v>
      </c>
      <c r="AE43" s="21">
        <v>2499</v>
      </c>
      <c r="AF43" s="21">
        <v>3826</v>
      </c>
      <c r="AG43" s="21">
        <v>804</v>
      </c>
      <c r="AH43" s="21">
        <v>0</v>
      </c>
      <c r="AI43" s="21">
        <v>12079</v>
      </c>
      <c r="AJ43" s="21">
        <v>0</v>
      </c>
      <c r="AK43" s="21">
        <v>34974</v>
      </c>
      <c r="AL43" s="21">
        <v>5500</v>
      </c>
      <c r="AM43" s="21">
        <v>14309</v>
      </c>
      <c r="AN43" s="21">
        <v>0</v>
      </c>
      <c r="AO43" s="21">
        <v>3276</v>
      </c>
      <c r="AP43" s="21">
        <v>21354</v>
      </c>
      <c r="AQ43" s="21">
        <v>15677</v>
      </c>
      <c r="AR43" s="21">
        <v>0</v>
      </c>
      <c r="AS43" s="21">
        <v>19158</v>
      </c>
      <c r="AT43" s="21">
        <v>7567</v>
      </c>
      <c r="AU43" s="21">
        <v>0</v>
      </c>
      <c r="AV43" s="21">
        <v>59887</v>
      </c>
      <c r="AW43" s="21">
        <v>0</v>
      </c>
      <c r="AX43" s="21">
        <v>2301</v>
      </c>
      <c r="AY43" s="21">
        <v>33786</v>
      </c>
      <c r="AZ43" s="21">
        <v>0</v>
      </c>
      <c r="BA43" s="21">
        <v>0</v>
      </c>
      <c r="BB43" s="21">
        <v>0</v>
      </c>
      <c r="BC43" s="21">
        <v>0</v>
      </c>
      <c r="BD43" s="21">
        <v>0</v>
      </c>
      <c r="BE43" s="21">
        <v>0</v>
      </c>
      <c r="BF43" s="21">
        <v>0</v>
      </c>
      <c r="BG43" s="14">
        <v>5000</v>
      </c>
      <c r="BH43" s="14">
        <v>0</v>
      </c>
      <c r="BI43" s="21">
        <v>0</v>
      </c>
      <c r="BJ43" s="21">
        <v>0</v>
      </c>
      <c r="BK43" s="21">
        <v>0</v>
      </c>
    </row>
    <row r="44" spans="1:63">
      <c r="A44" s="14">
        <v>2031</v>
      </c>
      <c r="B44" s="14" t="s">
        <v>69</v>
      </c>
      <c r="C44" s="21">
        <v>248394.45</v>
      </c>
      <c r="D44" s="21">
        <v>0</v>
      </c>
      <c r="E44" s="21">
        <v>-0.18</v>
      </c>
      <c r="F44" s="21">
        <f t="shared" si="0"/>
        <v>248394.27000000002</v>
      </c>
      <c r="G44" s="21">
        <v>1183116</v>
      </c>
      <c r="H44" s="21">
        <v>0</v>
      </c>
      <c r="I44" s="21">
        <v>30970</v>
      </c>
      <c r="J44" s="21">
        <v>0</v>
      </c>
      <c r="K44" s="21">
        <v>117000</v>
      </c>
      <c r="L44" s="21">
        <v>2785</v>
      </c>
      <c r="M44" s="21">
        <v>2890</v>
      </c>
      <c r="N44" s="21">
        <v>49221</v>
      </c>
      <c r="O44" s="21">
        <v>24184</v>
      </c>
      <c r="P44" s="21">
        <v>12572</v>
      </c>
      <c r="Q44" s="21">
        <v>6167</v>
      </c>
      <c r="R44" s="21">
        <v>12670</v>
      </c>
      <c r="S44" s="21">
        <v>7320</v>
      </c>
      <c r="T44" s="21">
        <v>0</v>
      </c>
      <c r="U44" s="21">
        <v>0</v>
      </c>
      <c r="V44" s="21">
        <v>0</v>
      </c>
      <c r="W44" s="21">
        <v>23218</v>
      </c>
      <c r="X44" s="21">
        <v>631267</v>
      </c>
      <c r="Y44" s="21">
        <v>2799</v>
      </c>
      <c r="Z44" s="21">
        <v>338403</v>
      </c>
      <c r="AA44" s="21">
        <v>22550</v>
      </c>
      <c r="AB44" s="21">
        <v>35060</v>
      </c>
      <c r="AC44" s="21">
        <v>0</v>
      </c>
      <c r="AD44" s="21">
        <v>51741</v>
      </c>
      <c r="AE44" s="21">
        <v>7088</v>
      </c>
      <c r="AF44" s="21">
        <v>12527</v>
      </c>
      <c r="AG44" s="21">
        <v>11703</v>
      </c>
      <c r="AH44" s="21">
        <v>941</v>
      </c>
      <c r="AI44" s="21">
        <v>33781</v>
      </c>
      <c r="AJ44" s="21">
        <v>10836</v>
      </c>
      <c r="AK44" s="21">
        <v>20659</v>
      </c>
      <c r="AL44" s="21">
        <v>4084</v>
      </c>
      <c r="AM44" s="21">
        <v>18193</v>
      </c>
      <c r="AN44" s="21">
        <v>0</v>
      </c>
      <c r="AO44" s="21">
        <v>7407</v>
      </c>
      <c r="AP44" s="21">
        <v>71695</v>
      </c>
      <c r="AQ44" s="21">
        <v>13083</v>
      </c>
      <c r="AR44" s="21">
        <v>0</v>
      </c>
      <c r="AS44" s="21">
        <v>8348</v>
      </c>
      <c r="AT44" s="21">
        <v>5590</v>
      </c>
      <c r="AU44" s="21">
        <v>8550</v>
      </c>
      <c r="AV44" s="21">
        <v>54686</v>
      </c>
      <c r="AW44" s="21">
        <v>80992</v>
      </c>
      <c r="AX44" s="21">
        <v>74704</v>
      </c>
      <c r="AY44" s="21">
        <v>34445</v>
      </c>
      <c r="AZ44" s="21">
        <v>0</v>
      </c>
      <c r="BA44" s="21">
        <v>50621</v>
      </c>
      <c r="BB44" s="21">
        <v>0</v>
      </c>
      <c r="BC44" s="21">
        <v>0</v>
      </c>
      <c r="BD44" s="21">
        <v>6373</v>
      </c>
      <c r="BE44" s="21">
        <v>0</v>
      </c>
      <c r="BF44" s="21">
        <v>50621</v>
      </c>
      <c r="BG44" s="14">
        <v>5000</v>
      </c>
      <c r="BH44" s="14">
        <v>0</v>
      </c>
      <c r="BI44" s="21">
        <v>46600</v>
      </c>
      <c r="BJ44" s="21">
        <v>0</v>
      </c>
      <c r="BK44" s="21">
        <v>10395</v>
      </c>
    </row>
    <row r="45" spans="1:63">
      <c r="A45" s="14">
        <v>2032</v>
      </c>
      <c r="B45" s="14" t="s">
        <v>70</v>
      </c>
      <c r="C45" s="21">
        <v>150371.49</v>
      </c>
      <c r="D45" s="21">
        <v>0</v>
      </c>
      <c r="E45" s="21">
        <v>260.74</v>
      </c>
      <c r="F45" s="21">
        <f t="shared" si="0"/>
        <v>150632.22999999998</v>
      </c>
      <c r="G45" s="21">
        <v>2184774</v>
      </c>
      <c r="H45" s="21">
        <v>0</v>
      </c>
      <c r="I45" s="21">
        <v>87922</v>
      </c>
      <c r="J45" s="21">
        <v>0</v>
      </c>
      <c r="K45" s="21">
        <v>164350</v>
      </c>
      <c r="L45" s="21">
        <v>0</v>
      </c>
      <c r="M45" s="21">
        <v>0</v>
      </c>
      <c r="N45" s="21">
        <v>101383</v>
      </c>
      <c r="O45" s="21">
        <v>47733</v>
      </c>
      <c r="P45" s="21">
        <v>0</v>
      </c>
      <c r="Q45" s="21">
        <v>0</v>
      </c>
      <c r="R45" s="21">
        <v>0</v>
      </c>
      <c r="S45" s="21">
        <v>28722</v>
      </c>
      <c r="T45" s="21">
        <v>0</v>
      </c>
      <c r="U45" s="21">
        <v>0</v>
      </c>
      <c r="V45" s="21">
        <v>0</v>
      </c>
      <c r="W45" s="21">
        <v>48724</v>
      </c>
      <c r="X45" s="21">
        <v>1137567</v>
      </c>
      <c r="Y45" s="21">
        <v>27613</v>
      </c>
      <c r="Z45" s="21">
        <v>553608</v>
      </c>
      <c r="AA45" s="21">
        <v>30432</v>
      </c>
      <c r="AB45" s="21">
        <v>82637</v>
      </c>
      <c r="AC45" s="21">
        <v>0</v>
      </c>
      <c r="AD45" s="21">
        <v>48227</v>
      </c>
      <c r="AE45" s="21">
        <v>5391</v>
      </c>
      <c r="AF45" s="21">
        <v>6339</v>
      </c>
      <c r="AG45" s="21">
        <v>17022</v>
      </c>
      <c r="AH45" s="21">
        <v>2272</v>
      </c>
      <c r="AI45" s="21">
        <v>121498</v>
      </c>
      <c r="AJ45" s="21">
        <v>2366</v>
      </c>
      <c r="AK45" s="21">
        <v>40321</v>
      </c>
      <c r="AL45" s="21">
        <v>4600</v>
      </c>
      <c r="AM45" s="21">
        <v>31301</v>
      </c>
      <c r="AN45" s="21">
        <v>20967</v>
      </c>
      <c r="AO45" s="21">
        <v>7840</v>
      </c>
      <c r="AP45" s="21">
        <v>114714</v>
      </c>
      <c r="AQ45" s="21">
        <v>17892</v>
      </c>
      <c r="AR45" s="21">
        <v>0</v>
      </c>
      <c r="AS45" s="21">
        <v>10747</v>
      </c>
      <c r="AT45" s="21">
        <v>10363</v>
      </c>
      <c r="AU45" s="21">
        <v>7650</v>
      </c>
      <c r="AV45" s="21">
        <v>147236</v>
      </c>
      <c r="AW45" s="21">
        <v>136443</v>
      </c>
      <c r="AX45" s="21">
        <v>68697</v>
      </c>
      <c r="AY45" s="21">
        <v>30524</v>
      </c>
      <c r="AZ45" s="21">
        <v>0</v>
      </c>
      <c r="BA45" s="21">
        <v>0</v>
      </c>
      <c r="BB45" s="21">
        <v>-2</v>
      </c>
      <c r="BC45" s="21">
        <v>0</v>
      </c>
      <c r="BD45" s="21">
        <v>9816</v>
      </c>
      <c r="BE45" s="21">
        <v>0</v>
      </c>
      <c r="BF45" s="21">
        <v>0</v>
      </c>
      <c r="BG45" s="14">
        <v>5000</v>
      </c>
      <c r="BH45" s="14">
        <v>0</v>
      </c>
      <c r="BI45" s="21">
        <v>10068</v>
      </c>
      <c r="BJ45" s="21">
        <v>0</v>
      </c>
      <c r="BK45" s="21">
        <v>0</v>
      </c>
    </row>
    <row r="46" spans="1:63">
      <c r="A46" s="14">
        <v>3304</v>
      </c>
      <c r="B46" s="14" t="s">
        <v>71</v>
      </c>
      <c r="C46" s="21">
        <v>1912.32</v>
      </c>
      <c r="D46" s="21">
        <v>0</v>
      </c>
      <c r="E46" s="21">
        <v>-0.95</v>
      </c>
      <c r="F46" s="21">
        <f t="shared" si="0"/>
        <v>1911.37</v>
      </c>
      <c r="G46" s="21">
        <v>1079355</v>
      </c>
      <c r="H46" s="21">
        <v>0</v>
      </c>
      <c r="I46" s="21">
        <v>28368</v>
      </c>
      <c r="J46" s="21">
        <v>0</v>
      </c>
      <c r="K46" s="21">
        <v>84300</v>
      </c>
      <c r="L46" s="21">
        <v>11264</v>
      </c>
      <c r="M46" s="21">
        <v>2400</v>
      </c>
      <c r="N46" s="21">
        <v>60950</v>
      </c>
      <c r="O46" s="21">
        <v>26234</v>
      </c>
      <c r="P46" s="21">
        <v>0</v>
      </c>
      <c r="Q46" s="21">
        <v>226</v>
      </c>
      <c r="R46" s="21">
        <v>19637</v>
      </c>
      <c r="S46" s="21">
        <v>8906</v>
      </c>
      <c r="T46" s="21">
        <v>0</v>
      </c>
      <c r="U46" s="21">
        <v>0</v>
      </c>
      <c r="V46" s="21">
        <v>0</v>
      </c>
      <c r="W46" s="21">
        <v>26377</v>
      </c>
      <c r="X46" s="21">
        <v>567321</v>
      </c>
      <c r="Y46" s="21">
        <v>0</v>
      </c>
      <c r="Z46" s="21">
        <v>194310</v>
      </c>
      <c r="AA46" s="21">
        <v>32675</v>
      </c>
      <c r="AB46" s="21">
        <v>59500</v>
      </c>
      <c r="AC46" s="21">
        <v>0</v>
      </c>
      <c r="AD46" s="21">
        <v>55688</v>
      </c>
      <c r="AE46" s="21">
        <v>8010</v>
      </c>
      <c r="AF46" s="21">
        <v>3536</v>
      </c>
      <c r="AG46" s="21">
        <v>11027</v>
      </c>
      <c r="AH46" s="21">
        <v>2469</v>
      </c>
      <c r="AI46" s="21">
        <v>24466</v>
      </c>
      <c r="AJ46" s="21">
        <v>2546</v>
      </c>
      <c r="AK46" s="21">
        <v>21217</v>
      </c>
      <c r="AL46" s="21">
        <v>3698</v>
      </c>
      <c r="AM46" s="21">
        <v>14891</v>
      </c>
      <c r="AN46" s="21">
        <v>0</v>
      </c>
      <c r="AO46" s="21">
        <v>10733</v>
      </c>
      <c r="AP46" s="21">
        <v>46292</v>
      </c>
      <c r="AQ46" s="21">
        <v>9796</v>
      </c>
      <c r="AR46" s="21">
        <v>0</v>
      </c>
      <c r="AS46" s="21">
        <v>12592</v>
      </c>
      <c r="AT46" s="21">
        <v>300</v>
      </c>
      <c r="AU46" s="21">
        <v>29897</v>
      </c>
      <c r="AV46" s="21">
        <v>62593</v>
      </c>
      <c r="AW46" s="21">
        <v>53276</v>
      </c>
      <c r="AX46" s="21">
        <v>54601</v>
      </c>
      <c r="AY46" s="21">
        <v>38047</v>
      </c>
      <c r="AZ46" s="21">
        <v>0</v>
      </c>
      <c r="BA46" s="21">
        <v>7088</v>
      </c>
      <c r="BB46" s="21">
        <v>0</v>
      </c>
      <c r="BC46" s="21">
        <v>0</v>
      </c>
      <c r="BD46" s="21">
        <v>0</v>
      </c>
      <c r="BE46" s="21">
        <v>0</v>
      </c>
      <c r="BF46" s="21">
        <v>7088</v>
      </c>
      <c r="BG46" s="14">
        <v>5000</v>
      </c>
      <c r="BH46" s="14">
        <v>0</v>
      </c>
      <c r="BI46" s="21">
        <v>-5007</v>
      </c>
      <c r="BJ46" s="21">
        <v>0</v>
      </c>
      <c r="BK46" s="21">
        <v>5242</v>
      </c>
    </row>
    <row r="47" spans="1:63">
      <c r="A47" s="14">
        <v>2036</v>
      </c>
      <c r="B47" s="14" t="s">
        <v>72</v>
      </c>
      <c r="C47" s="21">
        <v>473310.03</v>
      </c>
      <c r="D47" s="21">
        <v>0</v>
      </c>
      <c r="E47" s="21">
        <v>-3098.67</v>
      </c>
      <c r="F47" s="21">
        <f t="shared" si="0"/>
        <v>470211.36000000004</v>
      </c>
      <c r="G47" s="21">
        <v>1517717</v>
      </c>
      <c r="H47" s="21">
        <v>0</v>
      </c>
      <c r="I47" s="21">
        <v>452151</v>
      </c>
      <c r="J47" s="21">
        <v>0</v>
      </c>
      <c r="K47" s="21">
        <v>114400</v>
      </c>
      <c r="L47" s="21">
        <v>0</v>
      </c>
      <c r="M47" s="21">
        <v>1940</v>
      </c>
      <c r="N47" s="21">
        <v>33220</v>
      </c>
      <c r="O47" s="21">
        <v>21415</v>
      </c>
      <c r="P47" s="21">
        <v>0</v>
      </c>
      <c r="Q47" s="21">
        <v>0</v>
      </c>
      <c r="R47" s="21">
        <v>20411</v>
      </c>
      <c r="S47" s="21">
        <v>726</v>
      </c>
      <c r="T47" s="21">
        <v>0</v>
      </c>
      <c r="U47" s="21">
        <v>0</v>
      </c>
      <c r="V47" s="21">
        <v>0</v>
      </c>
      <c r="W47" s="21">
        <v>27665</v>
      </c>
      <c r="X47" s="21">
        <v>872531</v>
      </c>
      <c r="Y47" s="21">
        <v>15420</v>
      </c>
      <c r="Z47" s="21">
        <v>597592</v>
      </c>
      <c r="AA47" s="21">
        <v>47931</v>
      </c>
      <c r="AB47" s="21">
        <v>61483</v>
      </c>
      <c r="AC47" s="21">
        <v>0</v>
      </c>
      <c r="AD47" s="21">
        <v>13511</v>
      </c>
      <c r="AE47" s="21">
        <v>12070</v>
      </c>
      <c r="AF47" s="21">
        <v>9072</v>
      </c>
      <c r="AG47" s="21">
        <v>672</v>
      </c>
      <c r="AH47" s="21">
        <v>1063</v>
      </c>
      <c r="AI47" s="21">
        <v>77422</v>
      </c>
      <c r="AJ47" s="21">
        <v>21567</v>
      </c>
      <c r="AK47" s="21">
        <v>13103</v>
      </c>
      <c r="AL47" s="21">
        <v>2430</v>
      </c>
      <c r="AM47" s="21">
        <v>19660</v>
      </c>
      <c r="AN47" s="21">
        <v>13858</v>
      </c>
      <c r="AO47" s="21">
        <v>7048</v>
      </c>
      <c r="AP47" s="21">
        <v>88683</v>
      </c>
      <c r="AQ47" s="21">
        <v>35389</v>
      </c>
      <c r="AR47" s="21">
        <v>0</v>
      </c>
      <c r="AS47" s="21">
        <v>16751</v>
      </c>
      <c r="AT47" s="21">
        <v>8382</v>
      </c>
      <c r="AU47" s="21">
        <v>7421</v>
      </c>
      <c r="AV47" s="21">
        <v>63796</v>
      </c>
      <c r="AW47" s="21">
        <v>31216</v>
      </c>
      <c r="AX47" s="21">
        <v>118141</v>
      </c>
      <c r="AY47" s="21">
        <v>30840</v>
      </c>
      <c r="AZ47" s="21">
        <v>0</v>
      </c>
      <c r="BA47" s="21">
        <v>107481</v>
      </c>
      <c r="BB47" s="21">
        <v>0</v>
      </c>
      <c r="BC47" s="21">
        <v>0</v>
      </c>
      <c r="BD47" s="21">
        <v>6432</v>
      </c>
      <c r="BE47" s="21">
        <v>0</v>
      </c>
      <c r="BF47" s="21">
        <v>107481</v>
      </c>
      <c r="BG47" s="14">
        <v>5000</v>
      </c>
      <c r="BH47" s="14">
        <v>0</v>
      </c>
      <c r="BI47" s="21">
        <v>77660</v>
      </c>
      <c r="BJ47" s="21">
        <v>0</v>
      </c>
      <c r="BK47" s="21">
        <v>33120</v>
      </c>
    </row>
    <row r="48" spans="1:63">
      <c r="A48" s="14">
        <v>2037</v>
      </c>
      <c r="B48" s="14" t="s">
        <v>73</v>
      </c>
      <c r="C48" s="21">
        <v>90475.57</v>
      </c>
      <c r="D48" s="21">
        <v>0</v>
      </c>
      <c r="E48" s="21">
        <v>6941.75</v>
      </c>
      <c r="F48" s="21">
        <f t="shared" si="0"/>
        <v>97417.32</v>
      </c>
      <c r="G48" s="21">
        <v>1346831</v>
      </c>
      <c r="H48" s="21">
        <v>0</v>
      </c>
      <c r="I48" s="21">
        <v>82798</v>
      </c>
      <c r="J48" s="21">
        <v>0</v>
      </c>
      <c r="K48" s="21">
        <v>111132</v>
      </c>
      <c r="L48" s="21">
        <v>2306</v>
      </c>
      <c r="M48" s="21">
        <v>11622</v>
      </c>
      <c r="N48" s="21">
        <v>23543</v>
      </c>
      <c r="O48" s="21">
        <v>34664</v>
      </c>
      <c r="P48" s="21">
        <v>10568</v>
      </c>
      <c r="Q48" s="21">
        <v>0</v>
      </c>
      <c r="R48" s="21">
        <v>18382</v>
      </c>
      <c r="S48" s="21">
        <v>4445</v>
      </c>
      <c r="T48" s="21">
        <v>0</v>
      </c>
      <c r="U48" s="21">
        <v>0</v>
      </c>
      <c r="V48" s="21">
        <v>0</v>
      </c>
      <c r="W48" s="21">
        <v>31418</v>
      </c>
      <c r="X48" s="21">
        <v>668650</v>
      </c>
      <c r="Y48" s="21">
        <v>600</v>
      </c>
      <c r="Z48" s="21">
        <v>404480</v>
      </c>
      <c r="AA48" s="21">
        <v>42020</v>
      </c>
      <c r="AB48" s="21">
        <v>45843</v>
      </c>
      <c r="AC48" s="21">
        <v>2741</v>
      </c>
      <c r="AD48" s="21">
        <v>46605</v>
      </c>
      <c r="AE48" s="21">
        <v>3380</v>
      </c>
      <c r="AF48" s="21">
        <v>4117</v>
      </c>
      <c r="AG48" s="21">
        <v>13036</v>
      </c>
      <c r="AH48" s="21">
        <v>1176</v>
      </c>
      <c r="AI48" s="21">
        <v>18402</v>
      </c>
      <c r="AJ48" s="21">
        <v>633</v>
      </c>
      <c r="AK48" s="21">
        <v>27894</v>
      </c>
      <c r="AL48" s="21">
        <v>2078</v>
      </c>
      <c r="AM48" s="21">
        <v>31690</v>
      </c>
      <c r="AN48" s="21">
        <v>16147</v>
      </c>
      <c r="AO48" s="21">
        <v>6182</v>
      </c>
      <c r="AP48" s="21">
        <v>63025</v>
      </c>
      <c r="AQ48" s="21">
        <v>26823</v>
      </c>
      <c r="AR48" s="21">
        <v>0</v>
      </c>
      <c r="AS48" s="21">
        <v>6358</v>
      </c>
      <c r="AT48" s="21">
        <v>12184</v>
      </c>
      <c r="AU48" s="21">
        <v>8358</v>
      </c>
      <c r="AV48" s="21">
        <v>75921</v>
      </c>
      <c r="AW48" s="21">
        <v>42235</v>
      </c>
      <c r="AX48" s="21">
        <v>60415</v>
      </c>
      <c r="AY48" s="21">
        <v>43001</v>
      </c>
      <c r="AZ48" s="21">
        <v>0</v>
      </c>
      <c r="BA48" s="21">
        <v>0</v>
      </c>
      <c r="BB48" s="21">
        <v>1</v>
      </c>
      <c r="BC48" s="21">
        <v>0</v>
      </c>
      <c r="BD48" s="21">
        <v>6976</v>
      </c>
      <c r="BE48" s="21">
        <v>0</v>
      </c>
      <c r="BF48" s="21">
        <v>0</v>
      </c>
      <c r="BG48" s="14">
        <v>5000</v>
      </c>
      <c r="BH48" s="14">
        <v>0</v>
      </c>
      <c r="BI48" s="21">
        <v>5964</v>
      </c>
      <c r="BJ48" s="21">
        <v>0</v>
      </c>
      <c r="BK48" s="21">
        <v>7615</v>
      </c>
    </row>
    <row r="49" spans="1:63">
      <c r="A49" s="14">
        <v>3523</v>
      </c>
      <c r="B49" s="14" t="s">
        <v>249</v>
      </c>
      <c r="C49" s="21">
        <v>250828.1</v>
      </c>
      <c r="D49" s="21">
        <v>0</v>
      </c>
      <c r="E49" s="21">
        <v>-0.59</v>
      </c>
      <c r="F49" s="21">
        <f t="shared" si="0"/>
        <v>250827.51</v>
      </c>
      <c r="G49" s="21">
        <v>2443852</v>
      </c>
      <c r="H49" s="21">
        <v>0</v>
      </c>
      <c r="I49" s="21">
        <v>162750</v>
      </c>
      <c r="J49" s="21">
        <v>0</v>
      </c>
      <c r="K49" s="21">
        <v>198390</v>
      </c>
      <c r="L49" s="21">
        <v>3038</v>
      </c>
      <c r="M49" s="21">
        <v>27248</v>
      </c>
      <c r="N49" s="21">
        <v>72713</v>
      </c>
      <c r="O49" s="21">
        <v>39022</v>
      </c>
      <c r="P49" s="21">
        <v>9151</v>
      </c>
      <c r="Q49" s="21">
        <v>6253</v>
      </c>
      <c r="R49" s="21">
        <v>55922</v>
      </c>
      <c r="S49" s="21">
        <v>14074</v>
      </c>
      <c r="T49" s="21">
        <v>0</v>
      </c>
      <c r="U49" s="21">
        <v>0</v>
      </c>
      <c r="V49" s="21">
        <v>0</v>
      </c>
      <c r="W49" s="21">
        <v>62709</v>
      </c>
      <c r="X49" s="21">
        <v>1259432</v>
      </c>
      <c r="Y49" s="21">
        <v>0</v>
      </c>
      <c r="Z49" s="21">
        <v>761855</v>
      </c>
      <c r="AA49" s="21">
        <v>124081</v>
      </c>
      <c r="AB49" s="21">
        <v>182452</v>
      </c>
      <c r="AC49" s="21">
        <v>0</v>
      </c>
      <c r="AD49" s="21">
        <v>80240</v>
      </c>
      <c r="AE49" s="21">
        <v>41537</v>
      </c>
      <c r="AF49" s="21">
        <v>10519</v>
      </c>
      <c r="AG49" s="21">
        <v>30327</v>
      </c>
      <c r="AH49" s="21">
        <v>2356</v>
      </c>
      <c r="AI49" s="21">
        <v>56610</v>
      </c>
      <c r="AJ49" s="21">
        <v>515</v>
      </c>
      <c r="AK49" s="21">
        <v>6415</v>
      </c>
      <c r="AL49" s="21">
        <v>1177</v>
      </c>
      <c r="AM49" s="21">
        <v>38711</v>
      </c>
      <c r="AN49" s="21">
        <v>29116</v>
      </c>
      <c r="AO49" s="21">
        <v>7778</v>
      </c>
      <c r="AP49" s="21">
        <v>120353</v>
      </c>
      <c r="AQ49" s="21">
        <v>20439</v>
      </c>
      <c r="AR49" s="21">
        <v>0</v>
      </c>
      <c r="AS49" s="21">
        <v>14846</v>
      </c>
      <c r="AT49" s="21">
        <v>12091</v>
      </c>
      <c r="AU49" s="21">
        <v>1038</v>
      </c>
      <c r="AV49" s="21">
        <v>122999</v>
      </c>
      <c r="AW49" s="21">
        <v>51578</v>
      </c>
      <c r="AX49" s="21">
        <v>73172</v>
      </c>
      <c r="AY49" s="21">
        <v>26761</v>
      </c>
      <c r="AZ49" s="21">
        <v>0</v>
      </c>
      <c r="BA49" s="21">
        <v>89689</v>
      </c>
      <c r="BB49" s="21">
        <v>0</v>
      </c>
      <c r="BC49" s="21">
        <v>0</v>
      </c>
      <c r="BD49" s="21">
        <v>9772</v>
      </c>
      <c r="BE49" s="21">
        <v>16000</v>
      </c>
      <c r="BF49" s="21">
        <v>89689</v>
      </c>
      <c r="BG49" s="14">
        <v>5000</v>
      </c>
      <c r="BH49" s="14">
        <v>0</v>
      </c>
      <c r="BI49" s="21">
        <v>97367</v>
      </c>
      <c r="BJ49" s="21">
        <v>0</v>
      </c>
      <c r="BK49" s="21">
        <v>23238</v>
      </c>
    </row>
    <row r="50" spans="1:63">
      <c r="A50" s="14">
        <v>5948</v>
      </c>
      <c r="B50" s="14" t="s">
        <v>75</v>
      </c>
      <c r="C50" s="21">
        <v>3413.57</v>
      </c>
      <c r="D50" s="21">
        <v>0</v>
      </c>
      <c r="E50" s="21">
        <v>0</v>
      </c>
      <c r="F50" s="21">
        <f t="shared" si="0"/>
        <v>3413.57</v>
      </c>
      <c r="G50" s="21">
        <v>907089</v>
      </c>
      <c r="H50" s="21">
        <v>0</v>
      </c>
      <c r="I50" s="21">
        <v>60332</v>
      </c>
      <c r="J50" s="21">
        <v>0</v>
      </c>
      <c r="K50" s="21">
        <v>20100</v>
      </c>
      <c r="L50" s="21">
        <v>60013</v>
      </c>
      <c r="M50" s="21">
        <v>8347</v>
      </c>
      <c r="N50" s="21">
        <v>58039</v>
      </c>
      <c r="O50" s="21">
        <v>23170</v>
      </c>
      <c r="P50" s="21">
        <v>7850</v>
      </c>
      <c r="Q50" s="21">
        <v>1734</v>
      </c>
      <c r="R50" s="21">
        <v>28661</v>
      </c>
      <c r="S50" s="21">
        <v>285754</v>
      </c>
      <c r="T50" s="21">
        <v>0</v>
      </c>
      <c r="U50" s="21">
        <v>0</v>
      </c>
      <c r="V50" s="21">
        <v>-4614</v>
      </c>
      <c r="W50" s="21">
        <v>28631</v>
      </c>
      <c r="X50" s="21">
        <v>640342</v>
      </c>
      <c r="Y50" s="21">
        <v>28827</v>
      </c>
      <c r="Z50" s="21">
        <v>380929</v>
      </c>
      <c r="AA50" s="21">
        <v>39288</v>
      </c>
      <c r="AB50" s="21">
        <v>65972</v>
      </c>
      <c r="AC50" s="21">
        <v>0</v>
      </c>
      <c r="AD50" s="21">
        <v>4730</v>
      </c>
      <c r="AE50" s="21">
        <v>3729</v>
      </c>
      <c r="AF50" s="21">
        <v>4140</v>
      </c>
      <c r="AG50" s="21">
        <v>5896</v>
      </c>
      <c r="AH50" s="21">
        <v>7015</v>
      </c>
      <c r="AI50" s="21">
        <v>23282</v>
      </c>
      <c r="AJ50" s="21">
        <v>2287</v>
      </c>
      <c r="AK50" s="21">
        <v>15034</v>
      </c>
      <c r="AL50" s="21">
        <v>2131</v>
      </c>
      <c r="AM50" s="21">
        <v>17545</v>
      </c>
      <c r="AN50" s="21">
        <v>0</v>
      </c>
      <c r="AO50" s="21">
        <v>55755</v>
      </c>
      <c r="AP50" s="21">
        <v>36665</v>
      </c>
      <c r="AQ50" s="21">
        <v>22851</v>
      </c>
      <c r="AR50" s="21">
        <v>0</v>
      </c>
      <c r="AS50" s="21">
        <v>10209</v>
      </c>
      <c r="AT50" s="21">
        <v>12352</v>
      </c>
      <c r="AU50" s="21">
        <v>11149</v>
      </c>
      <c r="AV50" s="21">
        <v>48961</v>
      </c>
      <c r="AW50" s="21">
        <v>10663</v>
      </c>
      <c r="AX50" s="21">
        <v>15907</v>
      </c>
      <c r="AY50" s="21">
        <v>22394</v>
      </c>
      <c r="AZ50" s="21">
        <v>0</v>
      </c>
      <c r="BA50" s="21">
        <v>0</v>
      </c>
      <c r="BB50" s="21">
        <v>0</v>
      </c>
      <c r="BC50" s="21">
        <v>0</v>
      </c>
      <c r="BD50" s="21">
        <v>0</v>
      </c>
      <c r="BE50" s="21">
        <v>0</v>
      </c>
      <c r="BF50" s="21">
        <v>0</v>
      </c>
      <c r="BG50" s="14">
        <v>5000</v>
      </c>
      <c r="BH50" s="14">
        <v>0</v>
      </c>
      <c r="BI50" s="21">
        <v>0</v>
      </c>
      <c r="BJ50" s="21">
        <v>0</v>
      </c>
      <c r="BK50" s="21">
        <v>0</v>
      </c>
    </row>
    <row r="51" spans="1:63">
      <c r="A51" s="14">
        <v>5949</v>
      </c>
      <c r="B51" s="14" t="s">
        <v>76</v>
      </c>
      <c r="C51" s="21">
        <v>20540.79</v>
      </c>
      <c r="D51" s="21">
        <v>0</v>
      </c>
      <c r="E51" s="21">
        <v>0</v>
      </c>
      <c r="F51" s="21">
        <f t="shared" si="0"/>
        <v>20540.79</v>
      </c>
      <c r="G51" s="21">
        <v>1068136</v>
      </c>
      <c r="H51" s="21">
        <v>0</v>
      </c>
      <c r="I51" s="21">
        <v>66966</v>
      </c>
      <c r="J51" s="21">
        <v>0</v>
      </c>
      <c r="K51" s="21">
        <v>19300</v>
      </c>
      <c r="L51" s="21">
        <v>20594</v>
      </c>
      <c r="M51" s="21">
        <v>58138</v>
      </c>
      <c r="N51" s="21">
        <v>2522</v>
      </c>
      <c r="O51" s="21">
        <v>22139</v>
      </c>
      <c r="P51" s="21">
        <v>0</v>
      </c>
      <c r="Q51" s="21">
        <v>8372</v>
      </c>
      <c r="R51" s="21">
        <v>25247</v>
      </c>
      <c r="S51" s="21">
        <v>145193</v>
      </c>
      <c r="T51" s="21">
        <v>0</v>
      </c>
      <c r="U51" s="21">
        <v>0</v>
      </c>
      <c r="V51" s="21">
        <v>0</v>
      </c>
      <c r="W51" s="21">
        <v>34654</v>
      </c>
      <c r="X51" s="21">
        <v>655608</v>
      </c>
      <c r="Y51" s="21">
        <v>16997</v>
      </c>
      <c r="Z51" s="21">
        <v>251942</v>
      </c>
      <c r="AA51" s="21">
        <v>28243</v>
      </c>
      <c r="AB51" s="21">
        <v>92274</v>
      </c>
      <c r="AC51" s="21">
        <v>2296</v>
      </c>
      <c r="AD51" s="21">
        <v>22903</v>
      </c>
      <c r="AE51" s="21">
        <v>36728</v>
      </c>
      <c r="AF51" s="21">
        <v>4830</v>
      </c>
      <c r="AG51" s="21">
        <v>13707</v>
      </c>
      <c r="AH51" s="21">
        <v>2600</v>
      </c>
      <c r="AI51" s="21">
        <v>28892</v>
      </c>
      <c r="AJ51" s="21">
        <v>0</v>
      </c>
      <c r="AK51" s="21">
        <v>13022</v>
      </c>
      <c r="AL51" s="21">
        <v>2317</v>
      </c>
      <c r="AM51" s="21">
        <v>20522</v>
      </c>
      <c r="AN51" s="21">
        <v>0</v>
      </c>
      <c r="AO51" s="21">
        <v>9331</v>
      </c>
      <c r="AP51" s="21">
        <v>53931</v>
      </c>
      <c r="AQ51" s="21">
        <v>33313</v>
      </c>
      <c r="AR51" s="21">
        <v>0</v>
      </c>
      <c r="AS51" s="21">
        <v>8783</v>
      </c>
      <c r="AT51" s="21">
        <v>16247</v>
      </c>
      <c r="AU51" s="21">
        <v>2279</v>
      </c>
      <c r="AV51" s="21">
        <v>67577</v>
      </c>
      <c r="AW51" s="21">
        <v>92384</v>
      </c>
      <c r="AX51" s="21">
        <v>25836</v>
      </c>
      <c r="AY51" s="21">
        <v>49537</v>
      </c>
      <c r="AZ51" s="21">
        <v>0</v>
      </c>
      <c r="BA51" s="21">
        <v>0</v>
      </c>
      <c r="BB51" s="21">
        <v>0</v>
      </c>
      <c r="BC51" s="21">
        <v>0</v>
      </c>
      <c r="BD51" s="21">
        <v>0</v>
      </c>
      <c r="BE51" s="21">
        <v>0</v>
      </c>
      <c r="BF51" s="21">
        <v>0</v>
      </c>
      <c r="BG51" s="14">
        <v>5000</v>
      </c>
      <c r="BH51" s="14">
        <v>0</v>
      </c>
      <c r="BI51" s="21">
        <v>0</v>
      </c>
      <c r="BJ51" s="21">
        <v>0</v>
      </c>
      <c r="BK51" s="21">
        <v>0</v>
      </c>
    </row>
    <row r="52" spans="1:63">
      <c r="A52" s="14">
        <v>3513</v>
      </c>
      <c r="B52" s="14" t="s">
        <v>77</v>
      </c>
      <c r="C52" s="21">
        <v>33815.17</v>
      </c>
      <c r="D52" s="21">
        <v>0</v>
      </c>
      <c r="E52" s="21">
        <v>0</v>
      </c>
      <c r="F52" s="21">
        <f t="shared" si="0"/>
        <v>33815.17</v>
      </c>
      <c r="G52" s="21">
        <v>1589804</v>
      </c>
      <c r="H52" s="21">
        <v>0</v>
      </c>
      <c r="I52" s="21">
        <v>139206</v>
      </c>
      <c r="J52" s="21">
        <v>0</v>
      </c>
      <c r="K52" s="21">
        <v>20958</v>
      </c>
      <c r="L52" s="21">
        <v>0</v>
      </c>
      <c r="M52" s="21">
        <v>0</v>
      </c>
      <c r="N52" s="21">
        <v>0</v>
      </c>
      <c r="O52" s="21">
        <v>34372</v>
      </c>
      <c r="P52" s="21">
        <v>35884</v>
      </c>
      <c r="Q52" s="21">
        <v>8755</v>
      </c>
      <c r="R52" s="21">
        <v>14143</v>
      </c>
      <c r="S52" s="21">
        <v>47749</v>
      </c>
      <c r="T52" s="21">
        <v>0</v>
      </c>
      <c r="U52" s="21">
        <v>0</v>
      </c>
      <c r="V52" s="21">
        <v>0</v>
      </c>
      <c r="W52" s="21">
        <v>46427</v>
      </c>
      <c r="X52" s="21">
        <v>1145637</v>
      </c>
      <c r="Y52" s="21">
        <v>1156</v>
      </c>
      <c r="Z52" s="21">
        <v>191902</v>
      </c>
      <c r="AA52" s="21">
        <v>30626</v>
      </c>
      <c r="AB52" s="21">
        <v>75398</v>
      </c>
      <c r="AC52" s="21">
        <v>0</v>
      </c>
      <c r="AD52" s="21">
        <v>4513</v>
      </c>
      <c r="AE52" s="21">
        <v>8214</v>
      </c>
      <c r="AF52" s="21">
        <v>6666</v>
      </c>
      <c r="AG52" s="21">
        <v>14156</v>
      </c>
      <c r="AH52" s="21">
        <v>0</v>
      </c>
      <c r="AI52" s="21">
        <v>28112</v>
      </c>
      <c r="AJ52" s="21">
        <v>10</v>
      </c>
      <c r="AK52" s="21">
        <v>62194</v>
      </c>
      <c r="AL52" s="21">
        <v>5656</v>
      </c>
      <c r="AM52" s="21">
        <v>30440</v>
      </c>
      <c r="AN52" s="21">
        <v>0</v>
      </c>
      <c r="AO52" s="21">
        <v>18495</v>
      </c>
      <c r="AP52" s="21">
        <v>74030</v>
      </c>
      <c r="AQ52" s="21">
        <v>16118</v>
      </c>
      <c r="AR52" s="21">
        <v>0</v>
      </c>
      <c r="AS52" s="21">
        <v>10500</v>
      </c>
      <c r="AT52" s="21">
        <v>0</v>
      </c>
      <c r="AU52" s="21">
        <v>0</v>
      </c>
      <c r="AV52" s="21">
        <v>90765</v>
      </c>
      <c r="AW52" s="21">
        <v>0</v>
      </c>
      <c r="AX52" s="21">
        <v>110788</v>
      </c>
      <c r="AY52" s="21">
        <v>14811</v>
      </c>
      <c r="AZ52" s="21">
        <v>0</v>
      </c>
      <c r="BA52" s="21">
        <v>0</v>
      </c>
      <c r="BB52" s="21">
        <v>-1</v>
      </c>
      <c r="BC52" s="21">
        <v>0</v>
      </c>
      <c r="BD52" s="21">
        <v>0</v>
      </c>
      <c r="BE52" s="21">
        <v>0</v>
      </c>
      <c r="BF52" s="21">
        <v>0</v>
      </c>
      <c r="BG52" s="14">
        <v>5000</v>
      </c>
      <c r="BH52" s="14">
        <v>0</v>
      </c>
      <c r="BI52" s="21">
        <v>0</v>
      </c>
      <c r="BJ52" s="21">
        <v>0</v>
      </c>
      <c r="BK52" s="21">
        <v>0</v>
      </c>
    </row>
    <row r="53" spans="1:63">
      <c r="A53" s="14">
        <v>3305</v>
      </c>
      <c r="B53" s="14" t="s">
        <v>78</v>
      </c>
      <c r="C53" s="21">
        <v>928.16</v>
      </c>
      <c r="D53" s="21">
        <v>0</v>
      </c>
      <c r="E53" s="21">
        <v>-0.08</v>
      </c>
      <c r="F53" s="21">
        <f t="shared" si="0"/>
        <v>928.07999999999993</v>
      </c>
      <c r="G53" s="21">
        <v>609967</v>
      </c>
      <c r="H53" s="21">
        <v>0</v>
      </c>
      <c r="I53" s="21">
        <v>36099</v>
      </c>
      <c r="J53" s="21">
        <v>0</v>
      </c>
      <c r="K53" s="21">
        <v>10490</v>
      </c>
      <c r="L53" s="21">
        <v>1625</v>
      </c>
      <c r="M53" s="21">
        <v>1964</v>
      </c>
      <c r="N53" s="21">
        <v>8748</v>
      </c>
      <c r="O53" s="21">
        <v>16271</v>
      </c>
      <c r="P53" s="21">
        <v>9234</v>
      </c>
      <c r="Q53" s="21">
        <v>0</v>
      </c>
      <c r="R53" s="21">
        <v>19154</v>
      </c>
      <c r="S53" s="21">
        <v>7888</v>
      </c>
      <c r="T53" s="21">
        <v>0</v>
      </c>
      <c r="U53" s="21">
        <v>0</v>
      </c>
      <c r="V53" s="21">
        <v>0</v>
      </c>
      <c r="W53" s="21">
        <v>28410</v>
      </c>
      <c r="X53" s="21">
        <v>363150</v>
      </c>
      <c r="Y53" s="21">
        <v>0</v>
      </c>
      <c r="Z53" s="21">
        <v>98698</v>
      </c>
      <c r="AA53" s="21">
        <v>26215</v>
      </c>
      <c r="AB53" s="21">
        <v>25881</v>
      </c>
      <c r="AC53" s="21">
        <v>0</v>
      </c>
      <c r="AD53" s="21">
        <v>21001</v>
      </c>
      <c r="AE53" s="21">
        <v>5549</v>
      </c>
      <c r="AF53" s="21">
        <v>2505</v>
      </c>
      <c r="AG53" s="21">
        <v>5648</v>
      </c>
      <c r="AH53" s="21">
        <v>605</v>
      </c>
      <c r="AI53" s="21">
        <v>5363</v>
      </c>
      <c r="AJ53" s="21">
        <v>75</v>
      </c>
      <c r="AK53" s="21">
        <v>910</v>
      </c>
      <c r="AL53" s="21">
        <v>1579</v>
      </c>
      <c r="AM53" s="21">
        <v>11711</v>
      </c>
      <c r="AN53" s="21">
        <v>0</v>
      </c>
      <c r="AO53" s="21">
        <v>4801</v>
      </c>
      <c r="AP53" s="21">
        <v>39597</v>
      </c>
      <c r="AQ53" s="21">
        <v>8192</v>
      </c>
      <c r="AR53" s="21">
        <v>0</v>
      </c>
      <c r="AS53" s="21">
        <v>6183</v>
      </c>
      <c r="AT53" s="21">
        <v>1474</v>
      </c>
      <c r="AU53" s="21">
        <v>5673</v>
      </c>
      <c r="AV53" s="21">
        <v>36801</v>
      </c>
      <c r="AW53" s="21">
        <v>6019</v>
      </c>
      <c r="AX53" s="21">
        <v>24601</v>
      </c>
      <c r="AY53" s="21">
        <v>18877</v>
      </c>
      <c r="AZ53" s="21">
        <v>0</v>
      </c>
      <c r="BA53" s="21">
        <v>0</v>
      </c>
      <c r="BB53" s="21">
        <v>0</v>
      </c>
      <c r="BC53" s="21">
        <v>0</v>
      </c>
      <c r="BD53" s="21">
        <v>0</v>
      </c>
      <c r="BE53" s="21">
        <v>0</v>
      </c>
      <c r="BF53" s="21">
        <v>0</v>
      </c>
      <c r="BG53" s="14">
        <v>5000</v>
      </c>
      <c r="BH53" s="14">
        <v>0</v>
      </c>
      <c r="BI53" s="21">
        <v>0</v>
      </c>
      <c r="BJ53" s="21">
        <v>0</v>
      </c>
      <c r="BK53" s="21">
        <v>0</v>
      </c>
    </row>
    <row r="54" spans="1:63">
      <c r="A54" s="14">
        <v>2042</v>
      </c>
      <c r="B54" s="14" t="s">
        <v>79</v>
      </c>
      <c r="C54" s="21">
        <v>117621.69</v>
      </c>
      <c r="D54" s="21">
        <v>0</v>
      </c>
      <c r="E54" s="21">
        <v>0</v>
      </c>
      <c r="F54" s="21">
        <f t="shared" si="0"/>
        <v>117621.69</v>
      </c>
      <c r="G54" s="21">
        <v>1062597</v>
      </c>
      <c r="H54" s="21">
        <v>0</v>
      </c>
      <c r="I54" s="21">
        <v>76985</v>
      </c>
      <c r="J54" s="21">
        <v>0</v>
      </c>
      <c r="K54" s="21">
        <v>46700</v>
      </c>
      <c r="L54" s="21">
        <v>63972</v>
      </c>
      <c r="M54" s="21">
        <v>870</v>
      </c>
      <c r="N54" s="21">
        <v>41489</v>
      </c>
      <c r="O54" s="21">
        <v>45656</v>
      </c>
      <c r="P54" s="21">
        <v>330</v>
      </c>
      <c r="Q54" s="21">
        <v>8410</v>
      </c>
      <c r="R54" s="21">
        <v>26813</v>
      </c>
      <c r="S54" s="21">
        <v>12147</v>
      </c>
      <c r="T54" s="21">
        <v>0</v>
      </c>
      <c r="U54" s="21">
        <v>0</v>
      </c>
      <c r="V54" s="21">
        <v>0</v>
      </c>
      <c r="W54" s="21">
        <v>33702</v>
      </c>
      <c r="X54" s="21">
        <v>522172</v>
      </c>
      <c r="Y54" s="21">
        <v>0</v>
      </c>
      <c r="Z54" s="21">
        <v>322096</v>
      </c>
      <c r="AA54" s="21">
        <v>38515</v>
      </c>
      <c r="AB54" s="21">
        <v>80645</v>
      </c>
      <c r="AC54" s="21">
        <v>0</v>
      </c>
      <c r="AD54" s="21">
        <v>69405</v>
      </c>
      <c r="AE54" s="21">
        <v>4122</v>
      </c>
      <c r="AF54" s="21">
        <v>1962</v>
      </c>
      <c r="AG54" s="21">
        <v>5258</v>
      </c>
      <c r="AH54" s="21">
        <v>1025</v>
      </c>
      <c r="AI54" s="21">
        <v>15384</v>
      </c>
      <c r="AJ54" s="21">
        <v>5034</v>
      </c>
      <c r="AK54" s="21">
        <v>399</v>
      </c>
      <c r="AL54" s="21">
        <v>1916</v>
      </c>
      <c r="AM54" s="21">
        <v>16435</v>
      </c>
      <c r="AN54" s="21">
        <v>15304</v>
      </c>
      <c r="AO54" s="21">
        <v>5461</v>
      </c>
      <c r="AP54" s="21">
        <v>59840</v>
      </c>
      <c r="AQ54" s="21">
        <v>10870</v>
      </c>
      <c r="AR54" s="21">
        <v>0</v>
      </c>
      <c r="AS54" s="21">
        <v>5543</v>
      </c>
      <c r="AT54" s="21">
        <v>6323</v>
      </c>
      <c r="AU54" s="21">
        <v>7952</v>
      </c>
      <c r="AV54" s="21">
        <v>80078</v>
      </c>
      <c r="AW54" s="21">
        <v>20716</v>
      </c>
      <c r="AX54" s="21">
        <v>37990</v>
      </c>
      <c r="AY54" s="21">
        <v>22525</v>
      </c>
      <c r="AZ54" s="21">
        <v>0</v>
      </c>
      <c r="BA54" s="21">
        <v>65788</v>
      </c>
      <c r="BB54" s="21">
        <v>0</v>
      </c>
      <c r="BC54" s="21">
        <v>0</v>
      </c>
      <c r="BD54" s="21">
        <v>6780</v>
      </c>
      <c r="BE54" s="21">
        <v>0</v>
      </c>
      <c r="BF54" s="21">
        <v>65788</v>
      </c>
      <c r="BG54" s="14">
        <v>5000</v>
      </c>
      <c r="BH54" s="14">
        <v>0</v>
      </c>
      <c r="BI54" s="21">
        <v>39028</v>
      </c>
      <c r="BJ54" s="21">
        <v>0</v>
      </c>
      <c r="BK54" s="21">
        <v>33539</v>
      </c>
    </row>
    <row r="55" spans="1:63">
      <c r="A55" s="14">
        <v>2044</v>
      </c>
      <c r="B55" s="14" t="s">
        <v>80</v>
      </c>
      <c r="C55" s="21">
        <v>127797.12</v>
      </c>
      <c r="D55" s="21">
        <v>0</v>
      </c>
      <c r="E55" s="21">
        <v>-0.06</v>
      </c>
      <c r="F55" s="21">
        <f t="shared" si="0"/>
        <v>127797.06</v>
      </c>
      <c r="G55" s="21">
        <v>1443833</v>
      </c>
      <c r="H55" s="21">
        <v>0</v>
      </c>
      <c r="I55" s="21">
        <v>171849</v>
      </c>
      <c r="J55" s="21">
        <v>0</v>
      </c>
      <c r="K55" s="21">
        <v>83100</v>
      </c>
      <c r="L55" s="21">
        <v>2915</v>
      </c>
      <c r="M55" s="21">
        <v>10808</v>
      </c>
      <c r="N55" s="21">
        <v>39946</v>
      </c>
      <c r="O55" s="21">
        <v>28301</v>
      </c>
      <c r="P55" s="21">
        <v>18536</v>
      </c>
      <c r="Q55" s="21">
        <v>0</v>
      </c>
      <c r="R55" s="21">
        <v>12877</v>
      </c>
      <c r="S55" s="21">
        <v>25184</v>
      </c>
      <c r="T55" s="21">
        <v>0</v>
      </c>
      <c r="U55" s="21">
        <v>0</v>
      </c>
      <c r="V55" s="21">
        <v>0</v>
      </c>
      <c r="W55" s="21">
        <v>73052</v>
      </c>
      <c r="X55" s="21">
        <v>809046</v>
      </c>
      <c r="Y55" s="21">
        <v>350</v>
      </c>
      <c r="Z55" s="21">
        <v>385704</v>
      </c>
      <c r="AA55" s="21">
        <v>39081</v>
      </c>
      <c r="AB55" s="21">
        <v>92316</v>
      </c>
      <c r="AC55" s="21">
        <v>0</v>
      </c>
      <c r="AD55" s="21">
        <v>61581</v>
      </c>
      <c r="AE55" s="21">
        <v>39834</v>
      </c>
      <c r="AF55" s="21">
        <v>5405</v>
      </c>
      <c r="AG55" s="21">
        <v>10623</v>
      </c>
      <c r="AH55" s="21">
        <v>5148</v>
      </c>
      <c r="AI55" s="21">
        <v>61091</v>
      </c>
      <c r="AJ55" s="21">
        <v>4731</v>
      </c>
      <c r="AK55" s="21">
        <v>33756</v>
      </c>
      <c r="AL55" s="21">
        <v>4692</v>
      </c>
      <c r="AM55" s="21">
        <v>28174</v>
      </c>
      <c r="AN55" s="21">
        <v>12291</v>
      </c>
      <c r="AO55" s="21">
        <v>12447</v>
      </c>
      <c r="AP55" s="21">
        <v>97429</v>
      </c>
      <c r="AQ55" s="21">
        <v>13246</v>
      </c>
      <c r="AR55" s="21">
        <v>0</v>
      </c>
      <c r="AS55" s="21">
        <v>18531</v>
      </c>
      <c r="AT55" s="21">
        <v>8162</v>
      </c>
      <c r="AU55" s="21">
        <v>568</v>
      </c>
      <c r="AV55" s="21">
        <v>100053</v>
      </c>
      <c r="AW55" s="21">
        <v>32797</v>
      </c>
      <c r="AX55" s="21">
        <v>37896</v>
      </c>
      <c r="AY55" s="21">
        <v>19995</v>
      </c>
      <c r="AZ55" s="21">
        <v>0</v>
      </c>
      <c r="BA55" s="21">
        <v>40902</v>
      </c>
      <c r="BB55" s="21">
        <v>0</v>
      </c>
      <c r="BC55" s="21">
        <v>0</v>
      </c>
      <c r="BD55" s="21">
        <v>7408</v>
      </c>
      <c r="BE55" s="21">
        <v>0</v>
      </c>
      <c r="BF55" s="21">
        <v>40902</v>
      </c>
      <c r="BG55" s="14">
        <v>5000</v>
      </c>
      <c r="BH55" s="14">
        <v>0</v>
      </c>
      <c r="BI55" s="21">
        <v>17303</v>
      </c>
      <c r="BJ55" s="21">
        <v>0</v>
      </c>
      <c r="BK55" s="21">
        <v>31008</v>
      </c>
    </row>
    <row r="56" spans="1:63">
      <c r="A56" s="14">
        <v>2043</v>
      </c>
      <c r="B56" s="14" t="s">
        <v>81</v>
      </c>
      <c r="C56" s="21">
        <v>210846.4</v>
      </c>
      <c r="D56" s="21">
        <v>0</v>
      </c>
      <c r="E56" s="21">
        <v>-0.33</v>
      </c>
      <c r="F56" s="21">
        <f t="shared" si="0"/>
        <v>210846.07</v>
      </c>
      <c r="G56" s="21">
        <v>1599179</v>
      </c>
      <c r="H56" s="21">
        <v>0</v>
      </c>
      <c r="I56" s="21">
        <v>152211</v>
      </c>
      <c r="J56" s="21">
        <v>0</v>
      </c>
      <c r="K56" s="21">
        <v>113480</v>
      </c>
      <c r="L56" s="21">
        <v>2290</v>
      </c>
      <c r="M56" s="21">
        <v>300</v>
      </c>
      <c r="N56" s="21">
        <v>71977</v>
      </c>
      <c r="O56" s="21">
        <v>80013</v>
      </c>
      <c r="P56" s="21">
        <v>4506</v>
      </c>
      <c r="Q56" s="21">
        <v>2119</v>
      </c>
      <c r="R56" s="21">
        <v>68483</v>
      </c>
      <c r="S56" s="21">
        <v>17631</v>
      </c>
      <c r="T56" s="21">
        <v>0</v>
      </c>
      <c r="U56" s="21">
        <v>0</v>
      </c>
      <c r="V56" s="21">
        <v>0</v>
      </c>
      <c r="W56" s="21">
        <v>9615</v>
      </c>
      <c r="X56" s="21">
        <v>911037</v>
      </c>
      <c r="Y56" s="21">
        <v>5624</v>
      </c>
      <c r="Z56" s="21">
        <v>341215</v>
      </c>
      <c r="AA56" s="21">
        <v>54681</v>
      </c>
      <c r="AB56" s="21">
        <v>80881</v>
      </c>
      <c r="AC56" s="21">
        <v>0</v>
      </c>
      <c r="AD56" s="21">
        <v>44601</v>
      </c>
      <c r="AE56" s="21">
        <v>21430</v>
      </c>
      <c r="AF56" s="21">
        <v>6170</v>
      </c>
      <c r="AG56" s="21">
        <v>10487</v>
      </c>
      <c r="AH56" s="21">
        <v>6462</v>
      </c>
      <c r="AI56" s="21">
        <v>85414</v>
      </c>
      <c r="AJ56" s="21">
        <v>36691</v>
      </c>
      <c r="AK56" s="21">
        <v>39204</v>
      </c>
      <c r="AL56" s="21">
        <v>7354</v>
      </c>
      <c r="AM56" s="21">
        <v>24809</v>
      </c>
      <c r="AN56" s="21">
        <v>12291</v>
      </c>
      <c r="AO56" s="21">
        <v>8739</v>
      </c>
      <c r="AP56" s="21">
        <v>126285</v>
      </c>
      <c r="AQ56" s="21">
        <v>23635</v>
      </c>
      <c r="AR56" s="21">
        <v>0</v>
      </c>
      <c r="AS56" s="21">
        <v>15087</v>
      </c>
      <c r="AT56" s="21">
        <v>12684</v>
      </c>
      <c r="AU56" s="21">
        <v>517</v>
      </c>
      <c r="AV56" s="21">
        <v>84234</v>
      </c>
      <c r="AW56" s="21">
        <v>66113</v>
      </c>
      <c r="AX56" s="21">
        <v>30141</v>
      </c>
      <c r="AY56" s="21">
        <v>31583</v>
      </c>
      <c r="AZ56" s="21">
        <v>0</v>
      </c>
      <c r="BA56" s="21">
        <v>35471</v>
      </c>
      <c r="BB56" s="21">
        <v>-1</v>
      </c>
      <c r="BC56" s="21">
        <v>0</v>
      </c>
      <c r="BD56" s="21">
        <v>8365</v>
      </c>
      <c r="BE56" s="21">
        <v>0</v>
      </c>
      <c r="BF56" s="21">
        <v>35471</v>
      </c>
      <c r="BG56" s="14">
        <v>5000</v>
      </c>
      <c r="BH56" s="14">
        <v>0</v>
      </c>
      <c r="BI56" s="21">
        <v>28782</v>
      </c>
      <c r="BJ56" s="21">
        <v>9272</v>
      </c>
      <c r="BK56" s="21">
        <v>5783</v>
      </c>
    </row>
    <row r="57" spans="1:63">
      <c r="A57" s="14">
        <v>2045</v>
      </c>
      <c r="B57" s="14" t="s">
        <v>82</v>
      </c>
      <c r="C57" s="21">
        <v>326371.17</v>
      </c>
      <c r="D57" s="21">
        <v>0</v>
      </c>
      <c r="E57" s="21">
        <v>31715</v>
      </c>
      <c r="F57" s="21">
        <f t="shared" si="0"/>
        <v>358086.17</v>
      </c>
      <c r="G57" s="21">
        <v>1344796</v>
      </c>
      <c r="H57" s="21">
        <v>0</v>
      </c>
      <c r="I57" s="21">
        <v>37864</v>
      </c>
      <c r="J57" s="21">
        <v>0</v>
      </c>
      <c r="K57" s="21">
        <v>82600</v>
      </c>
      <c r="L57" s="21">
        <v>7769</v>
      </c>
      <c r="M57" s="21">
        <v>29397</v>
      </c>
      <c r="N57" s="21">
        <v>39694</v>
      </c>
      <c r="O57" s="21">
        <v>21193</v>
      </c>
      <c r="P57" s="21">
        <v>3185</v>
      </c>
      <c r="Q57" s="21">
        <v>0</v>
      </c>
      <c r="R57" s="21">
        <v>14981</v>
      </c>
      <c r="S57" s="21">
        <v>261</v>
      </c>
      <c r="T57" s="21">
        <v>0</v>
      </c>
      <c r="U57" s="21">
        <v>0</v>
      </c>
      <c r="V57" s="21">
        <v>0</v>
      </c>
      <c r="W57" s="21">
        <v>32452</v>
      </c>
      <c r="X57" s="21">
        <v>672556</v>
      </c>
      <c r="Y57" s="21">
        <v>10497</v>
      </c>
      <c r="Z57" s="21">
        <v>359167</v>
      </c>
      <c r="AA57" s="21">
        <v>25413</v>
      </c>
      <c r="AB57" s="21">
        <v>41748</v>
      </c>
      <c r="AC57" s="21">
        <v>0</v>
      </c>
      <c r="AD57" s="21">
        <v>40310</v>
      </c>
      <c r="AE57" s="21">
        <v>13320</v>
      </c>
      <c r="AF57" s="21">
        <v>17527</v>
      </c>
      <c r="AG57" s="21">
        <v>11880</v>
      </c>
      <c r="AH57" s="21">
        <v>1201</v>
      </c>
      <c r="AI57" s="21">
        <v>33108</v>
      </c>
      <c r="AJ57" s="21">
        <v>3532</v>
      </c>
      <c r="AK57" s="21">
        <v>17181</v>
      </c>
      <c r="AL57" s="21">
        <v>4523</v>
      </c>
      <c r="AM57" s="21">
        <v>21031</v>
      </c>
      <c r="AN57" s="21">
        <v>17714</v>
      </c>
      <c r="AO57" s="21">
        <v>7208</v>
      </c>
      <c r="AP57" s="21">
        <v>54601</v>
      </c>
      <c r="AQ57" s="21">
        <v>28809</v>
      </c>
      <c r="AR57" s="21">
        <v>0</v>
      </c>
      <c r="AS57" s="21">
        <v>4740</v>
      </c>
      <c r="AT57" s="21">
        <v>8866</v>
      </c>
      <c r="AU57" s="21">
        <v>15255</v>
      </c>
      <c r="AV57" s="21">
        <v>53591</v>
      </c>
      <c r="AW57" s="21">
        <v>21245</v>
      </c>
      <c r="AX57" s="21">
        <v>14409</v>
      </c>
      <c r="AY57" s="21">
        <v>42007</v>
      </c>
      <c r="AZ57" s="21">
        <v>0</v>
      </c>
      <c r="BA57" s="21">
        <v>0</v>
      </c>
      <c r="BB57" s="21">
        <v>0</v>
      </c>
      <c r="BC57" s="21">
        <v>0</v>
      </c>
      <c r="BD57" s="21">
        <v>6644</v>
      </c>
      <c r="BE57" s="21">
        <v>0</v>
      </c>
      <c r="BF57" s="21">
        <v>0</v>
      </c>
      <c r="BG57" s="14">
        <v>5000</v>
      </c>
      <c r="BH57" s="14">
        <v>0</v>
      </c>
      <c r="BI57" s="21">
        <v>0</v>
      </c>
      <c r="BJ57" s="21">
        <v>0</v>
      </c>
      <c r="BK57" s="21">
        <v>26107</v>
      </c>
    </row>
    <row r="58" spans="1:63">
      <c r="A58" s="14">
        <v>2077</v>
      </c>
      <c r="B58" s="14" t="s">
        <v>83</v>
      </c>
      <c r="C58" s="21">
        <v>349239.34</v>
      </c>
      <c r="D58" s="21">
        <v>0</v>
      </c>
      <c r="E58" s="21">
        <v>1</v>
      </c>
      <c r="F58" s="21">
        <f t="shared" si="0"/>
        <v>349240.34</v>
      </c>
      <c r="G58" s="21">
        <v>3010295</v>
      </c>
      <c r="H58" s="21">
        <v>0</v>
      </c>
      <c r="I58" s="21">
        <v>284927</v>
      </c>
      <c r="J58" s="21">
        <v>0</v>
      </c>
      <c r="K58" s="21">
        <v>412455</v>
      </c>
      <c r="L58" s="21">
        <v>2000</v>
      </c>
      <c r="M58" s="21">
        <v>180</v>
      </c>
      <c r="N58" s="21">
        <v>54280</v>
      </c>
      <c r="O58" s="21">
        <v>36745</v>
      </c>
      <c r="P58" s="21">
        <v>-2775</v>
      </c>
      <c r="Q58" s="21">
        <v>-100</v>
      </c>
      <c r="R58" s="21">
        <v>20101</v>
      </c>
      <c r="S58" s="21">
        <v>5856</v>
      </c>
      <c r="T58" s="21">
        <v>0</v>
      </c>
      <c r="U58" s="21">
        <v>0</v>
      </c>
      <c r="V58" s="21">
        <v>0</v>
      </c>
      <c r="W58" s="21">
        <v>53334</v>
      </c>
      <c r="X58" s="21">
        <v>1276316</v>
      </c>
      <c r="Y58" s="21">
        <v>0</v>
      </c>
      <c r="Z58" s="21">
        <v>861709</v>
      </c>
      <c r="AA58" s="21">
        <v>107935</v>
      </c>
      <c r="AB58" s="21">
        <v>134901</v>
      </c>
      <c r="AC58" s="21">
        <v>-1</v>
      </c>
      <c r="AD58" s="21">
        <v>116319</v>
      </c>
      <c r="AE58" s="21">
        <v>35012</v>
      </c>
      <c r="AF58" s="21">
        <v>20402</v>
      </c>
      <c r="AG58" s="21">
        <v>28228</v>
      </c>
      <c r="AH58" s="21">
        <v>2386</v>
      </c>
      <c r="AI58" s="21">
        <v>64426</v>
      </c>
      <c r="AJ58" s="21">
        <v>17762</v>
      </c>
      <c r="AK58" s="21">
        <v>29071</v>
      </c>
      <c r="AL58" s="21">
        <v>4613</v>
      </c>
      <c r="AM58" s="21">
        <v>38223</v>
      </c>
      <c r="AN58" s="21">
        <v>7910</v>
      </c>
      <c r="AO58" s="21">
        <v>26890</v>
      </c>
      <c r="AP58" s="21">
        <v>252111</v>
      </c>
      <c r="AQ58" s="21">
        <v>34542</v>
      </c>
      <c r="AR58" s="21">
        <v>0</v>
      </c>
      <c r="AS58" s="21">
        <v>79046</v>
      </c>
      <c r="AT58" s="21">
        <v>20871</v>
      </c>
      <c r="AU58" s="21">
        <v>65661</v>
      </c>
      <c r="AV58" s="21">
        <v>153939</v>
      </c>
      <c r="AW58" s="21">
        <v>300561</v>
      </c>
      <c r="AX58" s="21">
        <v>383901</v>
      </c>
      <c r="AY58" s="21">
        <v>101375</v>
      </c>
      <c r="AZ58" s="21">
        <v>0</v>
      </c>
      <c r="BA58" s="21">
        <v>22144</v>
      </c>
      <c r="BB58" s="21">
        <v>0</v>
      </c>
      <c r="BC58" s="21">
        <v>0</v>
      </c>
      <c r="BD58" s="21">
        <v>9760</v>
      </c>
      <c r="BE58" s="21">
        <v>0</v>
      </c>
      <c r="BF58" s="21">
        <v>22144</v>
      </c>
      <c r="BG58" s="14">
        <v>5000</v>
      </c>
      <c r="BH58" s="14">
        <v>0</v>
      </c>
      <c r="BI58" s="21">
        <v>18074</v>
      </c>
      <c r="BJ58" s="21">
        <v>0</v>
      </c>
      <c r="BK58" s="21">
        <v>13830</v>
      </c>
    </row>
    <row r="59" spans="1:63">
      <c r="A59" s="14">
        <v>5201</v>
      </c>
      <c r="B59" s="14" t="s">
        <v>84</v>
      </c>
      <c r="C59" s="21">
        <v>215909.73</v>
      </c>
      <c r="D59" s="21">
        <v>0</v>
      </c>
      <c r="E59" s="21">
        <v>14091.76</v>
      </c>
      <c r="F59" s="21">
        <f t="shared" si="0"/>
        <v>230001.49000000002</v>
      </c>
      <c r="G59" s="21">
        <v>1738690</v>
      </c>
      <c r="H59" s="21">
        <v>0</v>
      </c>
      <c r="I59" s="21">
        <v>72975</v>
      </c>
      <c r="J59" s="21">
        <v>0</v>
      </c>
      <c r="K59" s="21">
        <v>105600</v>
      </c>
      <c r="L59" s="21">
        <v>1500</v>
      </c>
      <c r="M59" s="21">
        <v>740</v>
      </c>
      <c r="N59" s="21">
        <v>129099</v>
      </c>
      <c r="O59" s="21">
        <v>61812</v>
      </c>
      <c r="P59" s="21">
        <v>36437</v>
      </c>
      <c r="Q59" s="21">
        <v>5803</v>
      </c>
      <c r="R59" s="21">
        <v>56689</v>
      </c>
      <c r="S59" s="21">
        <v>8572</v>
      </c>
      <c r="T59" s="21">
        <v>200</v>
      </c>
      <c r="U59" s="21">
        <v>0</v>
      </c>
      <c r="V59" s="21">
        <v>0</v>
      </c>
      <c r="W59" s="21">
        <v>45415</v>
      </c>
      <c r="X59" s="21">
        <v>886941</v>
      </c>
      <c r="Y59" s="21">
        <v>202</v>
      </c>
      <c r="Z59" s="21">
        <v>342037</v>
      </c>
      <c r="AA59" s="21">
        <v>73432</v>
      </c>
      <c r="AB59" s="21">
        <v>152762</v>
      </c>
      <c r="AC59" s="21">
        <v>79821</v>
      </c>
      <c r="AD59" s="21">
        <v>94171</v>
      </c>
      <c r="AE59" s="21">
        <v>8980</v>
      </c>
      <c r="AF59" s="21">
        <v>5780</v>
      </c>
      <c r="AG59" s="21">
        <v>12522</v>
      </c>
      <c r="AH59" s="21">
        <v>9610</v>
      </c>
      <c r="AI59" s="21">
        <v>55561</v>
      </c>
      <c r="AJ59" s="21">
        <v>8631</v>
      </c>
      <c r="AK59" s="21">
        <v>3765</v>
      </c>
      <c r="AL59" s="21">
        <v>3797</v>
      </c>
      <c r="AM59" s="21">
        <v>26073</v>
      </c>
      <c r="AN59" s="21">
        <v>0</v>
      </c>
      <c r="AO59" s="21">
        <v>13297</v>
      </c>
      <c r="AP59" s="21">
        <v>151561</v>
      </c>
      <c r="AQ59" s="21">
        <v>15720</v>
      </c>
      <c r="AR59" s="21">
        <v>0</v>
      </c>
      <c r="AS59" s="21">
        <v>10360</v>
      </c>
      <c r="AT59" s="21">
        <v>8938</v>
      </c>
      <c r="AU59" s="21">
        <v>10261</v>
      </c>
      <c r="AV59" s="21">
        <v>62189</v>
      </c>
      <c r="AW59" s="21">
        <v>92214</v>
      </c>
      <c r="AX59" s="21">
        <v>44858</v>
      </c>
      <c r="AY59" s="21">
        <v>28930</v>
      </c>
      <c r="AZ59" s="21">
        <v>0</v>
      </c>
      <c r="BA59" s="21">
        <v>23575</v>
      </c>
      <c r="BB59" s="21">
        <v>0</v>
      </c>
      <c r="BC59" s="21">
        <v>0</v>
      </c>
      <c r="BD59" s="21">
        <v>18724</v>
      </c>
      <c r="BE59" s="21">
        <v>0</v>
      </c>
      <c r="BF59" s="21">
        <v>23575</v>
      </c>
      <c r="BG59" s="14">
        <v>5000</v>
      </c>
      <c r="BH59" s="14">
        <v>0</v>
      </c>
      <c r="BI59" s="21">
        <v>37062</v>
      </c>
      <c r="BJ59" s="21">
        <v>0</v>
      </c>
      <c r="BK59" s="21">
        <v>9330</v>
      </c>
    </row>
    <row r="60" spans="1:63">
      <c r="A60" s="14">
        <v>3501</v>
      </c>
      <c r="B60" s="14" t="s">
        <v>85</v>
      </c>
      <c r="C60" s="21">
        <v>137177.51</v>
      </c>
      <c r="D60" s="21">
        <v>0</v>
      </c>
      <c r="E60" s="21">
        <v>-4998.97</v>
      </c>
      <c r="F60" s="21">
        <f t="shared" si="0"/>
        <v>132178.54</v>
      </c>
      <c r="G60" s="21">
        <v>1011317</v>
      </c>
      <c r="H60" s="21">
        <v>0</v>
      </c>
      <c r="I60" s="21">
        <v>40674</v>
      </c>
      <c r="J60" s="21">
        <v>0</v>
      </c>
      <c r="K60" s="21">
        <v>62758</v>
      </c>
      <c r="L60" s="21">
        <v>0</v>
      </c>
      <c r="M60" s="21">
        <v>6816</v>
      </c>
      <c r="N60" s="21">
        <v>23763</v>
      </c>
      <c r="O60" s="21">
        <v>34409</v>
      </c>
      <c r="P60" s="21">
        <v>7768</v>
      </c>
      <c r="Q60" s="21">
        <v>0</v>
      </c>
      <c r="R60" s="21">
        <v>31631</v>
      </c>
      <c r="S60" s="21">
        <v>36083</v>
      </c>
      <c r="T60" s="21">
        <v>0</v>
      </c>
      <c r="U60" s="21">
        <v>0</v>
      </c>
      <c r="V60" s="21">
        <v>0</v>
      </c>
      <c r="W60" s="21">
        <v>27283</v>
      </c>
      <c r="X60" s="21">
        <v>566447</v>
      </c>
      <c r="Y60" s="21">
        <v>922</v>
      </c>
      <c r="Z60" s="21">
        <v>211255</v>
      </c>
      <c r="AA60" s="21">
        <v>47818</v>
      </c>
      <c r="AB60" s="21">
        <v>47953</v>
      </c>
      <c r="AC60" s="21">
        <v>0</v>
      </c>
      <c r="AD60" s="21">
        <v>20566</v>
      </c>
      <c r="AE60" s="21">
        <v>8287</v>
      </c>
      <c r="AF60" s="21">
        <v>6972</v>
      </c>
      <c r="AG60" s="21">
        <v>8292</v>
      </c>
      <c r="AH60" s="21">
        <v>1029</v>
      </c>
      <c r="AI60" s="21">
        <v>65325</v>
      </c>
      <c r="AJ60" s="21">
        <v>1042</v>
      </c>
      <c r="AK60" s="21">
        <v>2859</v>
      </c>
      <c r="AL60" s="21">
        <v>2150</v>
      </c>
      <c r="AM60" s="21">
        <v>5079</v>
      </c>
      <c r="AN60" s="21">
        <v>0</v>
      </c>
      <c r="AO60" s="21">
        <v>6573</v>
      </c>
      <c r="AP60" s="21">
        <v>73269</v>
      </c>
      <c r="AQ60" s="21">
        <v>12245</v>
      </c>
      <c r="AR60" s="21">
        <v>0</v>
      </c>
      <c r="AS60" s="21">
        <v>23095</v>
      </c>
      <c r="AT60" s="21">
        <v>6607</v>
      </c>
      <c r="AU60" s="21">
        <v>8666</v>
      </c>
      <c r="AV60" s="21">
        <v>75240</v>
      </c>
      <c r="AW60" s="21">
        <v>50641</v>
      </c>
      <c r="AX60" s="21">
        <v>50479</v>
      </c>
      <c r="AY60" s="21">
        <v>29059</v>
      </c>
      <c r="AZ60" s="21">
        <v>0</v>
      </c>
      <c r="BA60" s="21">
        <v>21002</v>
      </c>
      <c r="BB60" s="21">
        <v>1</v>
      </c>
      <c r="BC60" s="21">
        <v>0</v>
      </c>
      <c r="BD60" s="21">
        <v>-2880</v>
      </c>
      <c r="BE60" s="21">
        <v>0</v>
      </c>
      <c r="BF60" s="21">
        <v>21002</v>
      </c>
      <c r="BG60" s="14">
        <v>5000</v>
      </c>
      <c r="BH60" s="14">
        <v>0</v>
      </c>
      <c r="BI60" s="21">
        <v>6240</v>
      </c>
      <c r="BJ60" s="21">
        <v>0</v>
      </c>
      <c r="BK60" s="21">
        <v>11882</v>
      </c>
    </row>
    <row r="61" spans="1:63">
      <c r="A61" s="14">
        <v>2078</v>
      </c>
      <c r="B61" s="14" t="s">
        <v>86</v>
      </c>
      <c r="C61" s="21">
        <v>23768.19</v>
      </c>
      <c r="D61" s="21">
        <v>0</v>
      </c>
      <c r="E61" s="21">
        <v>0</v>
      </c>
      <c r="F61" s="21">
        <f t="shared" si="0"/>
        <v>23768.19</v>
      </c>
      <c r="G61" s="21">
        <v>899457</v>
      </c>
      <c r="H61" s="21">
        <v>0</v>
      </c>
      <c r="I61" s="21">
        <v>6852</v>
      </c>
      <c r="J61" s="21">
        <v>0</v>
      </c>
      <c r="K61" s="21">
        <v>33680</v>
      </c>
      <c r="L61" s="21">
        <v>0</v>
      </c>
      <c r="M61" s="21">
        <v>5540</v>
      </c>
      <c r="N61" s="21">
        <v>10057</v>
      </c>
      <c r="O61" s="21">
        <v>15049</v>
      </c>
      <c r="P61" s="21">
        <v>8413</v>
      </c>
      <c r="Q61" s="21">
        <v>3927</v>
      </c>
      <c r="R61" s="21">
        <v>40780</v>
      </c>
      <c r="S61" s="21">
        <v>87523</v>
      </c>
      <c r="T61" s="21">
        <v>0</v>
      </c>
      <c r="U61" s="21">
        <v>0</v>
      </c>
      <c r="V61" s="21">
        <v>858</v>
      </c>
      <c r="W61" s="21">
        <v>31247</v>
      </c>
      <c r="X61" s="21">
        <v>541324</v>
      </c>
      <c r="Y61" s="21">
        <v>0</v>
      </c>
      <c r="Z61" s="21">
        <v>200512</v>
      </c>
      <c r="AA61" s="21">
        <v>24995</v>
      </c>
      <c r="AB61" s="21">
        <v>94669</v>
      </c>
      <c r="AC61" s="21">
        <v>0</v>
      </c>
      <c r="AD61" s="21">
        <v>18772</v>
      </c>
      <c r="AE61" s="21">
        <v>5504</v>
      </c>
      <c r="AF61" s="21">
        <v>6634</v>
      </c>
      <c r="AG61" s="21">
        <v>9231</v>
      </c>
      <c r="AH61" s="21">
        <v>0</v>
      </c>
      <c r="AI61" s="21">
        <v>18437</v>
      </c>
      <c r="AJ61" s="21">
        <v>0</v>
      </c>
      <c r="AK61" s="21">
        <v>25775</v>
      </c>
      <c r="AL61" s="21">
        <v>4068</v>
      </c>
      <c r="AM61" s="21">
        <v>16353</v>
      </c>
      <c r="AN61" s="21">
        <v>0</v>
      </c>
      <c r="AO61" s="21">
        <v>46508</v>
      </c>
      <c r="AP61" s="21">
        <v>80766</v>
      </c>
      <c r="AQ61" s="21">
        <v>4925</v>
      </c>
      <c r="AR61" s="21">
        <v>0</v>
      </c>
      <c r="AS61" s="21">
        <v>9566</v>
      </c>
      <c r="AT61" s="21">
        <v>0</v>
      </c>
      <c r="AU61" s="21">
        <v>7393</v>
      </c>
      <c r="AV61" s="21">
        <v>37571</v>
      </c>
      <c r="AW61" s="21">
        <v>16887</v>
      </c>
      <c r="AX61" s="21">
        <v>23612</v>
      </c>
      <c r="AY61" s="21">
        <v>19178</v>
      </c>
      <c r="AZ61" s="21">
        <v>0</v>
      </c>
      <c r="BA61" s="21">
        <v>0</v>
      </c>
      <c r="BB61" s="21">
        <v>0</v>
      </c>
      <c r="BC61" s="21">
        <v>0</v>
      </c>
      <c r="BD61" s="21">
        <v>0</v>
      </c>
      <c r="BE61" s="21">
        <v>0</v>
      </c>
      <c r="BF61" s="21">
        <v>0</v>
      </c>
      <c r="BG61" s="14">
        <v>5000</v>
      </c>
      <c r="BH61" s="14">
        <v>0</v>
      </c>
      <c r="BI61" s="21">
        <v>0</v>
      </c>
      <c r="BJ61" s="21">
        <v>0</v>
      </c>
      <c r="BK61" s="21">
        <v>0</v>
      </c>
    </row>
    <row r="62" spans="1:63">
      <c r="A62" s="14">
        <v>2071</v>
      </c>
      <c r="B62" s="14" t="s">
        <v>87</v>
      </c>
      <c r="C62" s="21">
        <v>25031.86</v>
      </c>
      <c r="D62" s="21">
        <v>0</v>
      </c>
      <c r="E62" s="21">
        <v>-0.28000000000000003</v>
      </c>
      <c r="F62" s="21">
        <f t="shared" si="0"/>
        <v>25031.58</v>
      </c>
      <c r="G62" s="21">
        <v>1545846</v>
      </c>
      <c r="H62" s="21">
        <v>0</v>
      </c>
      <c r="I62" s="21">
        <v>66221</v>
      </c>
      <c r="J62" s="21">
        <v>0</v>
      </c>
      <c r="K62" s="21">
        <v>135257</v>
      </c>
      <c r="L62" s="21">
        <v>9700</v>
      </c>
      <c r="M62" s="21">
        <v>5637</v>
      </c>
      <c r="N62" s="21">
        <v>38044</v>
      </c>
      <c r="O62" s="21">
        <v>17635</v>
      </c>
      <c r="P62" s="21">
        <v>6584</v>
      </c>
      <c r="Q62" s="21">
        <v>2406</v>
      </c>
      <c r="R62" s="21">
        <v>7406</v>
      </c>
      <c r="S62" s="21">
        <v>2254</v>
      </c>
      <c r="T62" s="21">
        <v>0</v>
      </c>
      <c r="U62" s="21">
        <v>0</v>
      </c>
      <c r="V62" s="21">
        <v>0</v>
      </c>
      <c r="W62" s="21">
        <v>55735</v>
      </c>
      <c r="X62" s="21">
        <v>656357</v>
      </c>
      <c r="Y62" s="21">
        <v>0</v>
      </c>
      <c r="Z62" s="21">
        <v>574170</v>
      </c>
      <c r="AA62" s="21">
        <v>24459</v>
      </c>
      <c r="AB62" s="21">
        <v>99530</v>
      </c>
      <c r="AC62" s="21">
        <v>0</v>
      </c>
      <c r="AD62" s="21">
        <v>14886</v>
      </c>
      <c r="AE62" s="21">
        <v>6562</v>
      </c>
      <c r="AF62" s="21">
        <v>13471</v>
      </c>
      <c r="AG62" s="21">
        <v>9306</v>
      </c>
      <c r="AH62" s="21">
        <v>8861</v>
      </c>
      <c r="AI62" s="21">
        <v>22102</v>
      </c>
      <c r="AJ62" s="21">
        <v>15141</v>
      </c>
      <c r="AK62" s="21">
        <v>32807</v>
      </c>
      <c r="AL62" s="21">
        <v>3877</v>
      </c>
      <c r="AM62" s="21">
        <v>20945</v>
      </c>
      <c r="AN62" s="21">
        <v>19039</v>
      </c>
      <c r="AO62" s="21">
        <v>3505</v>
      </c>
      <c r="AP62" s="21">
        <v>51572</v>
      </c>
      <c r="AQ62" s="21">
        <v>18257</v>
      </c>
      <c r="AR62" s="21">
        <v>0</v>
      </c>
      <c r="AS62" s="21">
        <v>9856</v>
      </c>
      <c r="AT62" s="21">
        <v>5551</v>
      </c>
      <c r="AU62" s="21">
        <v>5742</v>
      </c>
      <c r="AV62" s="21">
        <v>90520</v>
      </c>
      <c r="AW62" s="21">
        <v>41472</v>
      </c>
      <c r="AX62" s="21">
        <v>94955</v>
      </c>
      <c r="AY62" s="21">
        <v>12361</v>
      </c>
      <c r="AZ62" s="21">
        <v>0</v>
      </c>
      <c r="BA62" s="21">
        <v>1577</v>
      </c>
      <c r="BB62" s="21">
        <v>-1</v>
      </c>
      <c r="BC62" s="21">
        <v>0</v>
      </c>
      <c r="BD62" s="21">
        <v>7764</v>
      </c>
      <c r="BE62" s="21">
        <v>0</v>
      </c>
      <c r="BF62" s="21">
        <v>1577</v>
      </c>
      <c r="BG62" s="14">
        <v>5000</v>
      </c>
      <c r="BH62" s="14">
        <v>0</v>
      </c>
      <c r="BI62" s="21">
        <v>0</v>
      </c>
      <c r="BJ62" s="21">
        <v>0</v>
      </c>
      <c r="BK62" s="21">
        <v>9340</v>
      </c>
    </row>
    <row r="63" spans="1:63">
      <c r="A63" s="14">
        <v>2072</v>
      </c>
      <c r="B63" s="14" t="s">
        <v>88</v>
      </c>
      <c r="C63" s="21">
        <v>55704.41</v>
      </c>
      <c r="D63" s="21">
        <v>0</v>
      </c>
      <c r="E63" s="21">
        <v>7353.35</v>
      </c>
      <c r="F63" s="21">
        <f t="shared" si="0"/>
        <v>63057.760000000002</v>
      </c>
      <c r="G63" s="21">
        <v>1447854</v>
      </c>
      <c r="H63" s="21">
        <v>0</v>
      </c>
      <c r="I63" s="21">
        <v>67584</v>
      </c>
      <c r="J63" s="21">
        <v>0</v>
      </c>
      <c r="K63" s="21">
        <v>209067</v>
      </c>
      <c r="L63" s="21">
        <v>6650</v>
      </c>
      <c r="M63" s="21">
        <v>9758</v>
      </c>
      <c r="N63" s="21">
        <v>469</v>
      </c>
      <c r="O63" s="21">
        <v>45734</v>
      </c>
      <c r="P63" s="21">
        <v>780</v>
      </c>
      <c r="Q63" s="21">
        <v>581</v>
      </c>
      <c r="R63" s="21">
        <v>37389</v>
      </c>
      <c r="S63" s="21">
        <v>500</v>
      </c>
      <c r="T63" s="21">
        <v>0</v>
      </c>
      <c r="U63" s="21">
        <v>0</v>
      </c>
      <c r="V63" s="21">
        <v>0</v>
      </c>
      <c r="W63" s="21">
        <v>9307</v>
      </c>
      <c r="X63" s="21">
        <v>817833</v>
      </c>
      <c r="Y63" s="21">
        <v>4400</v>
      </c>
      <c r="Z63" s="21">
        <v>465455</v>
      </c>
      <c r="AA63" s="21">
        <v>24368</v>
      </c>
      <c r="AB63" s="21">
        <v>55172</v>
      </c>
      <c r="AC63" s="21">
        <v>0</v>
      </c>
      <c r="AD63" s="21">
        <v>16797</v>
      </c>
      <c r="AE63" s="21">
        <v>11677</v>
      </c>
      <c r="AF63" s="21">
        <v>7252</v>
      </c>
      <c r="AG63" s="21">
        <v>5738</v>
      </c>
      <c r="AH63" s="21">
        <v>4478</v>
      </c>
      <c r="AI63" s="21">
        <v>24241</v>
      </c>
      <c r="AJ63" s="21">
        <v>15612</v>
      </c>
      <c r="AK63" s="21">
        <v>21415</v>
      </c>
      <c r="AL63" s="21">
        <v>4094</v>
      </c>
      <c r="AM63" s="21">
        <v>15467</v>
      </c>
      <c r="AN63" s="21">
        <v>10480</v>
      </c>
      <c r="AO63" s="21">
        <v>8315</v>
      </c>
      <c r="AP63" s="21">
        <v>85847</v>
      </c>
      <c r="AQ63" s="21">
        <v>14510</v>
      </c>
      <c r="AR63" s="21">
        <v>0</v>
      </c>
      <c r="AS63" s="21">
        <v>14195</v>
      </c>
      <c r="AT63" s="21">
        <v>5751</v>
      </c>
      <c r="AU63" s="21">
        <v>233</v>
      </c>
      <c r="AV63" s="21">
        <v>74055</v>
      </c>
      <c r="AW63" s="21">
        <v>3721</v>
      </c>
      <c r="AX63" s="21">
        <v>52227</v>
      </c>
      <c r="AY63" s="21">
        <v>43265</v>
      </c>
      <c r="AZ63" s="21">
        <v>0</v>
      </c>
      <c r="BA63" s="21">
        <v>11094</v>
      </c>
      <c r="BB63" s="21">
        <v>0</v>
      </c>
      <c r="BC63" s="21">
        <v>0</v>
      </c>
      <c r="BD63" s="21">
        <v>7512</v>
      </c>
      <c r="BE63" s="21">
        <v>0</v>
      </c>
      <c r="BF63" s="21">
        <v>11094</v>
      </c>
      <c r="BG63" s="14">
        <v>5000</v>
      </c>
      <c r="BH63" s="14">
        <v>0</v>
      </c>
      <c r="BI63" s="21">
        <v>0</v>
      </c>
      <c r="BJ63" s="21">
        <v>0</v>
      </c>
      <c r="BK63" s="21">
        <v>25957</v>
      </c>
    </row>
    <row r="64" spans="1:63">
      <c r="A64" s="14">
        <v>3512</v>
      </c>
      <c r="B64" s="14" t="s">
        <v>89</v>
      </c>
      <c r="C64" s="21">
        <v>60537.279999999999</v>
      </c>
      <c r="D64" s="21">
        <v>0</v>
      </c>
      <c r="E64" s="21">
        <v>0</v>
      </c>
      <c r="F64" s="21">
        <f t="shared" si="0"/>
        <v>60537.279999999999</v>
      </c>
      <c r="G64" s="21">
        <v>1730691</v>
      </c>
      <c r="H64" s="21">
        <v>0</v>
      </c>
      <c r="I64" s="21">
        <v>58381</v>
      </c>
      <c r="J64" s="21">
        <v>0</v>
      </c>
      <c r="K64" s="21">
        <v>24700</v>
      </c>
      <c r="L64" s="21">
        <v>0</v>
      </c>
      <c r="M64" s="21">
        <v>0</v>
      </c>
      <c r="N64" s="21">
        <v>242314</v>
      </c>
      <c r="O64" s="21">
        <v>157407</v>
      </c>
      <c r="P64" s="21">
        <v>6907</v>
      </c>
      <c r="Q64" s="21">
        <v>6315</v>
      </c>
      <c r="R64" s="21">
        <v>42219</v>
      </c>
      <c r="S64" s="21">
        <v>17011</v>
      </c>
      <c r="T64" s="21">
        <v>0</v>
      </c>
      <c r="U64" s="21">
        <v>0</v>
      </c>
      <c r="V64" s="21">
        <v>0</v>
      </c>
      <c r="W64" s="21">
        <v>49687</v>
      </c>
      <c r="X64" s="21">
        <v>987137</v>
      </c>
      <c r="Y64" s="21">
        <v>26414</v>
      </c>
      <c r="Z64" s="21">
        <v>461060</v>
      </c>
      <c r="AA64" s="21">
        <v>55990</v>
      </c>
      <c r="AB64" s="21">
        <v>129623</v>
      </c>
      <c r="AC64" s="21">
        <v>0</v>
      </c>
      <c r="AD64" s="21">
        <v>40576</v>
      </c>
      <c r="AE64" s="21">
        <v>8435</v>
      </c>
      <c r="AF64" s="21">
        <v>16235</v>
      </c>
      <c r="AG64" s="21">
        <v>17299</v>
      </c>
      <c r="AH64" s="21">
        <v>0</v>
      </c>
      <c r="AI64" s="21">
        <v>10798</v>
      </c>
      <c r="AJ64" s="21">
        <v>3886</v>
      </c>
      <c r="AK64" s="21">
        <v>35611</v>
      </c>
      <c r="AL64" s="21">
        <v>2789</v>
      </c>
      <c r="AM64" s="21">
        <v>16293</v>
      </c>
      <c r="AN64" s="21">
        <v>0</v>
      </c>
      <c r="AO64" s="21">
        <v>21483</v>
      </c>
      <c r="AP64" s="21">
        <v>83624</v>
      </c>
      <c r="AQ64" s="21">
        <v>20693</v>
      </c>
      <c r="AR64" s="21">
        <v>0</v>
      </c>
      <c r="AS64" s="21">
        <v>41380</v>
      </c>
      <c r="AT64" s="21">
        <v>26498</v>
      </c>
      <c r="AU64" s="21">
        <v>14174</v>
      </c>
      <c r="AV64" s="21">
        <v>134342</v>
      </c>
      <c r="AW64" s="21">
        <v>55131</v>
      </c>
      <c r="AX64" s="21">
        <v>32164</v>
      </c>
      <c r="AY64" s="21">
        <v>161784</v>
      </c>
      <c r="AZ64" s="21">
        <v>0</v>
      </c>
      <c r="BA64" s="21">
        <v>0</v>
      </c>
      <c r="BB64" s="21">
        <v>0</v>
      </c>
      <c r="BC64" s="21">
        <v>0</v>
      </c>
      <c r="BD64" s="21">
        <v>0</v>
      </c>
      <c r="BE64" s="21">
        <v>0</v>
      </c>
      <c r="BF64" s="21">
        <v>0</v>
      </c>
      <c r="BG64" s="14">
        <v>5000</v>
      </c>
      <c r="BH64" s="14">
        <v>0</v>
      </c>
      <c r="BI64" s="21">
        <v>0</v>
      </c>
      <c r="BJ64" s="21">
        <v>0</v>
      </c>
      <c r="BK64" s="21">
        <v>0</v>
      </c>
    </row>
    <row r="65" spans="1:63">
      <c r="A65" s="14">
        <v>2041</v>
      </c>
      <c r="B65" s="17" t="s">
        <v>340</v>
      </c>
      <c r="C65" s="21">
        <v>-7542.49</v>
      </c>
      <c r="D65" s="21">
        <v>0</v>
      </c>
      <c r="E65" s="21">
        <v>1</v>
      </c>
      <c r="F65" s="21">
        <f t="shared" si="0"/>
        <v>-7541.49</v>
      </c>
      <c r="G65" s="21">
        <v>686794</v>
      </c>
      <c r="H65" s="21">
        <v>0</v>
      </c>
      <c r="I65" s="21">
        <v>0</v>
      </c>
      <c r="J65" s="21">
        <v>0</v>
      </c>
      <c r="K65" s="21">
        <v>3969</v>
      </c>
      <c r="L65" s="21">
        <v>0</v>
      </c>
      <c r="M65" s="21">
        <v>3136</v>
      </c>
      <c r="N65" s="21">
        <v>2584</v>
      </c>
      <c r="O65" s="21">
        <v>38368</v>
      </c>
      <c r="P65" s="21">
        <v>0</v>
      </c>
      <c r="Q65" s="21">
        <v>480</v>
      </c>
      <c r="R65" s="21">
        <v>1310</v>
      </c>
      <c r="S65" s="21">
        <v>16069</v>
      </c>
      <c r="T65" s="21">
        <v>0</v>
      </c>
      <c r="U65" s="21">
        <v>0</v>
      </c>
      <c r="V65" s="21">
        <v>0</v>
      </c>
      <c r="W65" s="21">
        <v>33000</v>
      </c>
      <c r="X65" s="21">
        <v>379289</v>
      </c>
      <c r="Y65" s="21">
        <v>0</v>
      </c>
      <c r="Z65" s="21">
        <v>58721</v>
      </c>
      <c r="AA65" s="21">
        <v>13876</v>
      </c>
      <c r="AB65" s="21">
        <v>41471</v>
      </c>
      <c r="AC65" s="21">
        <v>0</v>
      </c>
      <c r="AD65" s="21">
        <v>9340</v>
      </c>
      <c r="AE65" s="21">
        <v>9696</v>
      </c>
      <c r="AF65" s="21">
        <v>4419</v>
      </c>
      <c r="AG65" s="21">
        <v>12008</v>
      </c>
      <c r="AH65" s="21">
        <v>260</v>
      </c>
      <c r="AI65" s="21">
        <v>8919</v>
      </c>
      <c r="AJ65" s="21">
        <v>0</v>
      </c>
      <c r="AK65" s="21">
        <v>18318</v>
      </c>
      <c r="AL65" s="21">
        <v>2088</v>
      </c>
      <c r="AM65" s="21">
        <v>7562</v>
      </c>
      <c r="AN65" s="21">
        <v>0</v>
      </c>
      <c r="AO65" s="21">
        <v>2414</v>
      </c>
      <c r="AP65" s="21">
        <v>33129</v>
      </c>
      <c r="AQ65" s="21">
        <v>9698</v>
      </c>
      <c r="AR65" s="21">
        <v>0</v>
      </c>
      <c r="AS65" s="21">
        <v>9638</v>
      </c>
      <c r="AT65" s="21">
        <v>6667</v>
      </c>
      <c r="AU65" s="21">
        <v>349</v>
      </c>
      <c r="AV65" s="21">
        <v>57206</v>
      </c>
      <c r="AW65" s="21">
        <v>20761</v>
      </c>
      <c r="AX65" s="21">
        <v>14238</v>
      </c>
      <c r="AY65" s="21">
        <v>20782</v>
      </c>
      <c r="AZ65" s="21">
        <v>0</v>
      </c>
      <c r="BA65" s="21">
        <v>12599</v>
      </c>
      <c r="BB65" s="21">
        <v>0</v>
      </c>
      <c r="BC65" s="21">
        <v>0</v>
      </c>
      <c r="BD65" s="21">
        <v>-11519</v>
      </c>
      <c r="BE65" s="21">
        <v>5000</v>
      </c>
      <c r="BF65" s="21">
        <v>12599</v>
      </c>
      <c r="BG65" s="14">
        <v>5000</v>
      </c>
      <c r="BH65" s="14">
        <v>0</v>
      </c>
      <c r="BI65" s="21">
        <v>0</v>
      </c>
      <c r="BJ65" s="21">
        <v>0</v>
      </c>
      <c r="BK65" s="21">
        <v>6080</v>
      </c>
    </row>
    <row r="66" spans="1:63">
      <c r="A66" s="14">
        <v>3510</v>
      </c>
      <c r="B66" s="14" t="s">
        <v>90</v>
      </c>
      <c r="C66" s="21">
        <v>187467.48</v>
      </c>
      <c r="D66" s="21">
        <v>0</v>
      </c>
      <c r="E66" s="21">
        <v>-0.3</v>
      </c>
      <c r="F66" s="21">
        <f t="shared" si="0"/>
        <v>187467.18000000002</v>
      </c>
      <c r="G66" s="21">
        <v>1597593</v>
      </c>
      <c r="H66" s="21">
        <v>0</v>
      </c>
      <c r="I66" s="21">
        <v>60481</v>
      </c>
      <c r="J66" s="21">
        <v>0</v>
      </c>
      <c r="K66" s="21">
        <v>55900</v>
      </c>
      <c r="L66" s="21">
        <v>19000</v>
      </c>
      <c r="M66" s="21">
        <v>3951</v>
      </c>
      <c r="N66" s="21">
        <v>40110</v>
      </c>
      <c r="O66" s="21">
        <v>68698</v>
      </c>
      <c r="P66" s="21">
        <v>263</v>
      </c>
      <c r="Q66" s="21">
        <v>6004</v>
      </c>
      <c r="R66" s="21">
        <v>51005</v>
      </c>
      <c r="S66" s="21">
        <v>4646</v>
      </c>
      <c r="T66" s="21">
        <v>0</v>
      </c>
      <c r="U66" s="21">
        <v>0</v>
      </c>
      <c r="V66" s="21">
        <v>0</v>
      </c>
      <c r="W66" s="21">
        <v>46752</v>
      </c>
      <c r="X66" s="21">
        <v>965075</v>
      </c>
      <c r="Y66" s="21">
        <v>27418</v>
      </c>
      <c r="Z66" s="21">
        <v>307896</v>
      </c>
      <c r="AA66" s="21">
        <v>31584</v>
      </c>
      <c r="AB66" s="21">
        <v>77777</v>
      </c>
      <c r="AC66" s="21">
        <v>0</v>
      </c>
      <c r="AD66" s="21">
        <v>1698</v>
      </c>
      <c r="AE66" s="21">
        <v>14082</v>
      </c>
      <c r="AF66" s="21">
        <v>10176</v>
      </c>
      <c r="AG66" s="21">
        <v>26140</v>
      </c>
      <c r="AH66" s="21">
        <v>-429</v>
      </c>
      <c r="AI66" s="21">
        <v>28652</v>
      </c>
      <c r="AJ66" s="21">
        <v>2824</v>
      </c>
      <c r="AK66" s="21">
        <v>25501</v>
      </c>
      <c r="AL66" s="21">
        <v>2923</v>
      </c>
      <c r="AM66" s="21">
        <v>27652</v>
      </c>
      <c r="AN66" s="21">
        <v>0</v>
      </c>
      <c r="AO66" s="21">
        <v>8035</v>
      </c>
      <c r="AP66" s="21">
        <v>82230</v>
      </c>
      <c r="AQ66" s="21">
        <v>16123</v>
      </c>
      <c r="AR66" s="21">
        <v>0</v>
      </c>
      <c r="AS66" s="21">
        <v>15618</v>
      </c>
      <c r="AT66" s="21">
        <v>13950</v>
      </c>
      <c r="AU66" s="21">
        <v>1406</v>
      </c>
      <c r="AV66" s="21">
        <v>125187</v>
      </c>
      <c r="AW66" s="21">
        <v>14661</v>
      </c>
      <c r="AX66" s="21">
        <v>76494</v>
      </c>
      <c r="AY66" s="21">
        <v>39126</v>
      </c>
      <c r="AZ66" s="21">
        <v>0</v>
      </c>
      <c r="BA66" s="21">
        <v>80149</v>
      </c>
      <c r="BB66" s="21">
        <v>0</v>
      </c>
      <c r="BC66" s="21">
        <v>0</v>
      </c>
      <c r="BD66" s="21">
        <v>0</v>
      </c>
      <c r="BE66" s="21">
        <v>8000</v>
      </c>
      <c r="BF66" s="21">
        <v>80149</v>
      </c>
      <c r="BG66" s="14">
        <v>5000</v>
      </c>
      <c r="BH66" s="14">
        <v>0</v>
      </c>
      <c r="BI66" s="21">
        <v>58400</v>
      </c>
      <c r="BJ66" s="21">
        <v>0</v>
      </c>
      <c r="BK66" s="21">
        <v>29749</v>
      </c>
    </row>
    <row r="67" spans="1:63">
      <c r="A67" s="14">
        <v>3502</v>
      </c>
      <c r="B67" s="14" t="s">
        <v>91</v>
      </c>
      <c r="C67" s="21">
        <v>98540.5</v>
      </c>
      <c r="D67" s="21">
        <v>0</v>
      </c>
      <c r="E67" s="21">
        <v>0.73</v>
      </c>
      <c r="F67" s="21">
        <f t="shared" si="0"/>
        <v>98541.23</v>
      </c>
      <c r="G67" s="21">
        <v>1428766</v>
      </c>
      <c r="H67" s="21">
        <v>0</v>
      </c>
      <c r="I67" s="21">
        <v>32765</v>
      </c>
      <c r="J67" s="21">
        <v>0</v>
      </c>
      <c r="K67" s="21">
        <v>81100</v>
      </c>
      <c r="L67" s="21">
        <v>1250</v>
      </c>
      <c r="M67" s="21">
        <v>6971</v>
      </c>
      <c r="N67" s="21">
        <v>50107</v>
      </c>
      <c r="O67" s="21">
        <v>44077</v>
      </c>
      <c r="P67" s="21">
        <v>26490</v>
      </c>
      <c r="Q67" s="21">
        <v>0</v>
      </c>
      <c r="R67" s="21">
        <v>35630</v>
      </c>
      <c r="S67" s="21">
        <v>6243</v>
      </c>
      <c r="T67" s="21">
        <v>0</v>
      </c>
      <c r="U67" s="21">
        <v>0</v>
      </c>
      <c r="V67" s="21">
        <v>0</v>
      </c>
      <c r="W67" s="21">
        <v>35184</v>
      </c>
      <c r="X67" s="21">
        <v>693753</v>
      </c>
      <c r="Y67" s="21">
        <v>0</v>
      </c>
      <c r="Z67" s="21">
        <v>325827</v>
      </c>
      <c r="AA67" s="21">
        <v>45682</v>
      </c>
      <c r="AB67" s="21">
        <v>64657</v>
      </c>
      <c r="AC67" s="21">
        <v>0</v>
      </c>
      <c r="AD67" s="21">
        <v>32363</v>
      </c>
      <c r="AE67" s="21">
        <v>9602</v>
      </c>
      <c r="AF67" s="21">
        <v>5853</v>
      </c>
      <c r="AG67" s="21">
        <v>15406</v>
      </c>
      <c r="AH67" s="21">
        <v>1457</v>
      </c>
      <c r="AI67" s="21">
        <v>32291</v>
      </c>
      <c r="AJ67" s="21">
        <v>2898</v>
      </c>
      <c r="AK67" s="21">
        <v>2496</v>
      </c>
      <c r="AL67" s="21">
        <v>1647</v>
      </c>
      <c r="AM67" s="21">
        <v>21226</v>
      </c>
      <c r="AN67" s="21">
        <v>0</v>
      </c>
      <c r="AO67" s="21">
        <v>11860</v>
      </c>
      <c r="AP67" s="21">
        <v>82050</v>
      </c>
      <c r="AQ67" s="21">
        <v>23527</v>
      </c>
      <c r="AR67" s="21">
        <v>0</v>
      </c>
      <c r="AS67" s="21">
        <v>24863</v>
      </c>
      <c r="AT67" s="21">
        <v>9433</v>
      </c>
      <c r="AU67" s="21">
        <v>20299</v>
      </c>
      <c r="AV67" s="21">
        <v>84000</v>
      </c>
      <c r="AW67" s="21">
        <v>49706</v>
      </c>
      <c r="AX67" s="21">
        <v>66897</v>
      </c>
      <c r="AY67" s="21">
        <v>37533</v>
      </c>
      <c r="AZ67" s="21">
        <v>0</v>
      </c>
      <c r="BA67" s="21">
        <v>0</v>
      </c>
      <c r="BB67" s="21">
        <v>1</v>
      </c>
      <c r="BC67" s="21">
        <v>0</v>
      </c>
      <c r="BD67" s="21">
        <v>0</v>
      </c>
      <c r="BE67" s="21">
        <v>0</v>
      </c>
      <c r="BF67" s="21">
        <v>0</v>
      </c>
      <c r="BG67" s="14">
        <v>5000</v>
      </c>
      <c r="BH67" s="14">
        <v>0</v>
      </c>
      <c r="BI67" s="21">
        <v>0</v>
      </c>
      <c r="BJ67" s="21">
        <v>0</v>
      </c>
      <c r="BK67" s="21">
        <v>0</v>
      </c>
    </row>
    <row r="68" spans="1:63">
      <c r="A68" s="14">
        <v>3315</v>
      </c>
      <c r="B68" s="14" t="s">
        <v>92</v>
      </c>
      <c r="C68" s="21">
        <v>40645.08</v>
      </c>
      <c r="D68" s="21">
        <v>0</v>
      </c>
      <c r="E68" s="21">
        <v>0</v>
      </c>
      <c r="F68" s="21">
        <f t="shared" si="0"/>
        <v>40645.08</v>
      </c>
      <c r="G68" s="21">
        <v>822574</v>
      </c>
      <c r="H68" s="21">
        <v>0</v>
      </c>
      <c r="I68" s="21">
        <v>44865</v>
      </c>
      <c r="J68" s="21">
        <v>0</v>
      </c>
      <c r="K68" s="21">
        <v>19800</v>
      </c>
      <c r="L68" s="21">
        <v>1480</v>
      </c>
      <c r="M68" s="21">
        <v>6154</v>
      </c>
      <c r="N68" s="21">
        <v>40364</v>
      </c>
      <c r="O68" s="21">
        <v>45731</v>
      </c>
      <c r="P68" s="21">
        <v>196</v>
      </c>
      <c r="Q68" s="21">
        <v>0</v>
      </c>
      <c r="R68" s="21">
        <v>54149</v>
      </c>
      <c r="S68" s="21">
        <v>14879</v>
      </c>
      <c r="T68" s="21">
        <v>0</v>
      </c>
      <c r="U68" s="21">
        <v>0</v>
      </c>
      <c r="V68" s="21">
        <v>0</v>
      </c>
      <c r="W68" s="21">
        <v>27484</v>
      </c>
      <c r="X68" s="21">
        <v>432295</v>
      </c>
      <c r="Y68" s="21">
        <v>-566</v>
      </c>
      <c r="Z68" s="21">
        <v>185434</v>
      </c>
      <c r="AA68" s="21">
        <v>22811</v>
      </c>
      <c r="AB68" s="21">
        <v>34366</v>
      </c>
      <c r="AC68" s="21">
        <v>0</v>
      </c>
      <c r="AD68" s="21">
        <v>28511</v>
      </c>
      <c r="AE68" s="21">
        <v>7849</v>
      </c>
      <c r="AF68" s="21">
        <v>5348</v>
      </c>
      <c r="AG68" s="21">
        <v>8194</v>
      </c>
      <c r="AH68" s="21">
        <v>490</v>
      </c>
      <c r="AI68" s="21">
        <v>13784</v>
      </c>
      <c r="AJ68" s="21">
        <v>0</v>
      </c>
      <c r="AK68" s="21">
        <v>5782</v>
      </c>
      <c r="AL68" s="21">
        <v>-48</v>
      </c>
      <c r="AM68" s="21">
        <v>10887</v>
      </c>
      <c r="AN68" s="21">
        <v>0</v>
      </c>
      <c r="AO68" s="21">
        <v>6181</v>
      </c>
      <c r="AP68" s="21">
        <v>69388</v>
      </c>
      <c r="AQ68" s="21">
        <v>18193</v>
      </c>
      <c r="AR68" s="21">
        <v>0</v>
      </c>
      <c r="AS68" s="21">
        <v>10295</v>
      </c>
      <c r="AT68" s="21">
        <v>1637</v>
      </c>
      <c r="AU68" s="21">
        <v>3207</v>
      </c>
      <c r="AV68" s="21">
        <v>68145</v>
      </c>
      <c r="AW68" s="21">
        <v>21482</v>
      </c>
      <c r="AX68" s="21">
        <v>29098</v>
      </c>
      <c r="AY68" s="21">
        <v>26112</v>
      </c>
      <c r="AZ68" s="21">
        <v>0</v>
      </c>
      <c r="BA68" s="21">
        <v>0</v>
      </c>
      <c r="BB68" s="21">
        <v>-1</v>
      </c>
      <c r="BC68" s="21">
        <v>0</v>
      </c>
      <c r="BD68" s="21">
        <v>0</v>
      </c>
      <c r="BE68" s="21">
        <v>0</v>
      </c>
      <c r="BF68" s="21">
        <v>0</v>
      </c>
      <c r="BG68" s="14">
        <v>5000</v>
      </c>
      <c r="BH68" s="14">
        <v>0</v>
      </c>
      <c r="BI68" s="21">
        <v>0</v>
      </c>
      <c r="BJ68" s="21">
        <v>0</v>
      </c>
      <c r="BK68" s="21">
        <v>0</v>
      </c>
    </row>
    <row r="69" spans="1:63">
      <c r="A69" s="14">
        <v>3504</v>
      </c>
      <c r="B69" s="14" t="s">
        <v>93</v>
      </c>
      <c r="C69" s="21">
        <v>127152.15</v>
      </c>
      <c r="D69" s="21">
        <v>0</v>
      </c>
      <c r="E69" s="21">
        <v>0</v>
      </c>
      <c r="F69" s="21">
        <f t="shared" si="0"/>
        <v>127152.15</v>
      </c>
      <c r="G69" s="21">
        <v>1768691</v>
      </c>
      <c r="H69" s="21">
        <v>0</v>
      </c>
      <c r="I69" s="21">
        <v>117132</v>
      </c>
      <c r="J69" s="21">
        <v>0</v>
      </c>
      <c r="K69" s="21">
        <v>87149</v>
      </c>
      <c r="L69" s="21">
        <v>14394</v>
      </c>
      <c r="M69" s="21">
        <v>16627</v>
      </c>
      <c r="N69" s="21">
        <v>151837</v>
      </c>
      <c r="O69" s="21">
        <v>50941</v>
      </c>
      <c r="P69" s="21">
        <v>1500</v>
      </c>
      <c r="Q69" s="21">
        <v>5875</v>
      </c>
      <c r="R69" s="21">
        <v>49017</v>
      </c>
      <c r="S69" s="21">
        <v>1125</v>
      </c>
      <c r="T69" s="21">
        <v>0</v>
      </c>
      <c r="U69" s="21">
        <v>0</v>
      </c>
      <c r="V69" s="21">
        <v>0</v>
      </c>
      <c r="W69" s="21">
        <v>52465</v>
      </c>
      <c r="X69" s="21">
        <v>1052913</v>
      </c>
      <c r="Y69" s="21">
        <v>-1</v>
      </c>
      <c r="Z69" s="21">
        <v>378351</v>
      </c>
      <c r="AA69" s="21">
        <v>31645</v>
      </c>
      <c r="AB69" s="21">
        <v>124566</v>
      </c>
      <c r="AC69" s="21">
        <v>9357</v>
      </c>
      <c r="AD69" s="21">
        <v>57610</v>
      </c>
      <c r="AE69" s="21">
        <v>19899</v>
      </c>
      <c r="AF69" s="21">
        <v>25517</v>
      </c>
      <c r="AG69" s="21">
        <v>9998</v>
      </c>
      <c r="AH69" s="21">
        <v>2306</v>
      </c>
      <c r="AI69" s="21">
        <v>24486</v>
      </c>
      <c r="AJ69" s="21">
        <v>34426</v>
      </c>
      <c r="AK69" s="21">
        <v>31695</v>
      </c>
      <c r="AL69" s="21">
        <v>4612</v>
      </c>
      <c r="AM69" s="21">
        <v>11002</v>
      </c>
      <c r="AN69" s="21">
        <v>0</v>
      </c>
      <c r="AO69" s="21">
        <v>15697</v>
      </c>
      <c r="AP69" s="21">
        <v>137330</v>
      </c>
      <c r="AQ69" s="21">
        <v>46628</v>
      </c>
      <c r="AR69" s="21">
        <v>0</v>
      </c>
      <c r="AS69" s="21">
        <v>9416</v>
      </c>
      <c r="AT69" s="21">
        <v>12236</v>
      </c>
      <c r="AU69" s="21">
        <v>25389</v>
      </c>
      <c r="AV69" s="21">
        <v>114074</v>
      </c>
      <c r="AW69" s="21">
        <v>1460</v>
      </c>
      <c r="AX69" s="21">
        <v>67886</v>
      </c>
      <c r="AY69" s="21">
        <v>31845</v>
      </c>
      <c r="AZ69" s="21">
        <v>0</v>
      </c>
      <c r="BA69" s="21">
        <v>16589</v>
      </c>
      <c r="BB69" s="21">
        <v>0</v>
      </c>
      <c r="BC69" s="21">
        <v>0</v>
      </c>
      <c r="BD69" s="21">
        <v>0</v>
      </c>
      <c r="BE69" s="21">
        <v>0</v>
      </c>
      <c r="BF69" s="21">
        <v>16589</v>
      </c>
      <c r="BG69" s="14">
        <v>5000</v>
      </c>
      <c r="BH69" s="14">
        <v>0</v>
      </c>
      <c r="BI69" s="21">
        <v>0</v>
      </c>
      <c r="BJ69" s="21">
        <v>0</v>
      </c>
      <c r="BK69" s="21">
        <v>16589</v>
      </c>
    </row>
    <row r="70" spans="1:63">
      <c r="A70" s="14">
        <v>3307</v>
      </c>
      <c r="B70" s="14" t="s">
        <v>94</v>
      </c>
      <c r="C70" s="21">
        <v>137438.44</v>
      </c>
      <c r="D70" s="21">
        <v>0</v>
      </c>
      <c r="E70" s="21">
        <v>0</v>
      </c>
      <c r="F70" s="21">
        <f t="shared" ref="F70:F104" si="1">SUM(C70:E70)</f>
        <v>137438.44</v>
      </c>
      <c r="G70" s="21">
        <v>948445</v>
      </c>
      <c r="H70" s="21">
        <v>0</v>
      </c>
      <c r="I70" s="21">
        <v>18673</v>
      </c>
      <c r="J70" s="21">
        <v>0</v>
      </c>
      <c r="K70" s="21">
        <v>43500</v>
      </c>
      <c r="L70" s="21">
        <v>9445</v>
      </c>
      <c r="M70" s="21">
        <v>0</v>
      </c>
      <c r="N70" s="21">
        <v>83975</v>
      </c>
      <c r="O70" s="21">
        <v>34603</v>
      </c>
      <c r="P70" s="21">
        <v>15424</v>
      </c>
      <c r="Q70" s="21">
        <v>15187</v>
      </c>
      <c r="R70" s="21">
        <v>48530</v>
      </c>
      <c r="S70" s="21">
        <v>13970</v>
      </c>
      <c r="T70" s="21">
        <v>0</v>
      </c>
      <c r="U70" s="21">
        <v>0</v>
      </c>
      <c r="V70" s="21">
        <v>0</v>
      </c>
      <c r="W70" s="21">
        <v>27722</v>
      </c>
      <c r="X70" s="21">
        <v>575952</v>
      </c>
      <c r="Y70" s="21">
        <v>0</v>
      </c>
      <c r="Z70" s="21">
        <v>195121</v>
      </c>
      <c r="AA70" s="21">
        <v>60653</v>
      </c>
      <c r="AB70" s="21">
        <v>31316</v>
      </c>
      <c r="AC70" s="21">
        <v>23</v>
      </c>
      <c r="AD70" s="21">
        <v>18600</v>
      </c>
      <c r="AE70" s="21">
        <v>2232</v>
      </c>
      <c r="AF70" s="21">
        <v>2777</v>
      </c>
      <c r="AG70" s="21">
        <v>9155</v>
      </c>
      <c r="AH70" s="21">
        <v>831</v>
      </c>
      <c r="AI70" s="21">
        <v>42424</v>
      </c>
      <c r="AJ70" s="21">
        <v>2177</v>
      </c>
      <c r="AK70" s="21">
        <v>5461</v>
      </c>
      <c r="AL70" s="21">
        <v>2717</v>
      </c>
      <c r="AM70" s="21">
        <v>17520</v>
      </c>
      <c r="AN70" s="21">
        <v>0</v>
      </c>
      <c r="AO70" s="21">
        <v>6831</v>
      </c>
      <c r="AP70" s="21">
        <v>63589</v>
      </c>
      <c r="AQ70" s="21">
        <v>14242</v>
      </c>
      <c r="AR70" s="21">
        <v>0</v>
      </c>
      <c r="AS70" s="21">
        <v>7706</v>
      </c>
      <c r="AT70" s="21">
        <v>7082</v>
      </c>
      <c r="AU70" s="21">
        <v>691</v>
      </c>
      <c r="AV70" s="21">
        <v>61594</v>
      </c>
      <c r="AW70" s="21">
        <v>63478</v>
      </c>
      <c r="AX70" s="21">
        <v>35137</v>
      </c>
      <c r="AY70" s="21">
        <v>36414</v>
      </c>
      <c r="AZ70" s="21">
        <v>0</v>
      </c>
      <c r="BA70" s="21">
        <v>8729</v>
      </c>
      <c r="BB70" s="21">
        <v>1</v>
      </c>
      <c r="BC70" s="21">
        <v>0</v>
      </c>
      <c r="BD70" s="21">
        <v>0</v>
      </c>
      <c r="BE70" s="21">
        <v>0</v>
      </c>
      <c r="BF70" s="21">
        <v>8729</v>
      </c>
      <c r="BG70" s="14">
        <v>5000</v>
      </c>
      <c r="BH70" s="14">
        <v>0</v>
      </c>
      <c r="BI70" s="21">
        <v>0</v>
      </c>
      <c r="BJ70" s="21">
        <v>0</v>
      </c>
      <c r="BK70" s="21">
        <v>8730</v>
      </c>
    </row>
    <row r="71" spans="1:63">
      <c r="A71" s="14">
        <v>3309</v>
      </c>
      <c r="B71" s="10" t="s">
        <v>95</v>
      </c>
      <c r="C71" s="21">
        <v>90049.59</v>
      </c>
      <c r="D71" s="21">
        <v>0</v>
      </c>
      <c r="E71" s="21">
        <v>0</v>
      </c>
      <c r="F71" s="21">
        <f t="shared" si="1"/>
        <v>90049.59</v>
      </c>
      <c r="G71" s="21">
        <v>976149</v>
      </c>
      <c r="H71" s="21">
        <v>0</v>
      </c>
      <c r="I71" s="21">
        <v>112277</v>
      </c>
      <c r="J71" s="21">
        <v>0</v>
      </c>
      <c r="K71" s="21">
        <v>55174</v>
      </c>
      <c r="L71" s="21">
        <v>5985</v>
      </c>
      <c r="M71" s="21">
        <v>740</v>
      </c>
      <c r="N71" s="21">
        <v>35616</v>
      </c>
      <c r="O71" s="21">
        <v>36206</v>
      </c>
      <c r="P71" s="21">
        <v>7295</v>
      </c>
      <c r="Q71" s="21">
        <v>623</v>
      </c>
      <c r="R71" s="21">
        <v>22526</v>
      </c>
      <c r="S71" s="21">
        <v>8669</v>
      </c>
      <c r="T71" s="21">
        <v>0</v>
      </c>
      <c r="U71" s="21">
        <v>0</v>
      </c>
      <c r="V71" s="21">
        <v>0</v>
      </c>
      <c r="W71" s="21">
        <v>26832</v>
      </c>
      <c r="X71" s="21">
        <v>605129</v>
      </c>
      <c r="Y71" s="21">
        <v>2244</v>
      </c>
      <c r="Z71" s="21">
        <v>340303</v>
      </c>
      <c r="AA71" s="21">
        <v>0</v>
      </c>
      <c r="AB71" s="21">
        <v>48237</v>
      </c>
      <c r="AC71" s="21">
        <v>37848</v>
      </c>
      <c r="AD71" s="21">
        <v>3376</v>
      </c>
      <c r="AE71" s="21">
        <v>11493</v>
      </c>
      <c r="AF71" s="21">
        <v>6872</v>
      </c>
      <c r="AG71" s="21">
        <v>7842</v>
      </c>
      <c r="AH71" s="21">
        <v>4262</v>
      </c>
      <c r="AI71" s="21">
        <v>22203</v>
      </c>
      <c r="AJ71" s="21">
        <v>6901</v>
      </c>
      <c r="AK71" s="21">
        <v>31187</v>
      </c>
      <c r="AL71" s="21">
        <v>4544</v>
      </c>
      <c r="AM71" s="21">
        <v>7342</v>
      </c>
      <c r="AN71" s="21">
        <v>0</v>
      </c>
      <c r="AO71" s="21">
        <v>4344</v>
      </c>
      <c r="AP71" s="21">
        <v>52974</v>
      </c>
      <c r="AQ71" s="21">
        <v>12834</v>
      </c>
      <c r="AR71" s="21">
        <v>0</v>
      </c>
      <c r="AS71" s="21">
        <v>10409</v>
      </c>
      <c r="AT71" s="21">
        <v>5331</v>
      </c>
      <c r="AU71" s="21">
        <v>5144</v>
      </c>
      <c r="AV71" s="21">
        <v>36065</v>
      </c>
      <c r="AW71" s="21">
        <v>1902</v>
      </c>
      <c r="AX71" s="21">
        <v>28505</v>
      </c>
      <c r="AY71" s="21">
        <v>27168</v>
      </c>
      <c r="AZ71" s="21">
        <v>0</v>
      </c>
      <c r="BA71" s="21">
        <v>28934</v>
      </c>
      <c r="BB71" s="21">
        <v>0</v>
      </c>
      <c r="BC71" s="21">
        <v>0</v>
      </c>
      <c r="BD71" s="21">
        <v>0</v>
      </c>
      <c r="BE71" s="21">
        <v>17000</v>
      </c>
      <c r="BF71" s="21">
        <v>28934</v>
      </c>
      <c r="BG71" s="14">
        <v>5000</v>
      </c>
      <c r="BH71" s="14">
        <v>0</v>
      </c>
      <c r="BI71" s="21">
        <v>40973</v>
      </c>
      <c r="BJ71" s="21">
        <v>0</v>
      </c>
      <c r="BK71" s="21">
        <v>4962</v>
      </c>
    </row>
    <row r="72" spans="1:63">
      <c r="A72" s="14">
        <v>3508</v>
      </c>
      <c r="B72" s="14" t="s">
        <v>96</v>
      </c>
      <c r="C72" s="21">
        <v>0</v>
      </c>
      <c r="D72" s="21">
        <v>0</v>
      </c>
      <c r="E72" s="21">
        <v>-0.39</v>
      </c>
      <c r="F72" s="21">
        <f t="shared" si="1"/>
        <v>-0.39</v>
      </c>
      <c r="G72" s="21">
        <v>-5340</v>
      </c>
      <c r="H72" s="21">
        <v>0</v>
      </c>
      <c r="I72" s="21">
        <v>0</v>
      </c>
      <c r="J72" s="21">
        <v>0</v>
      </c>
      <c r="K72" s="21">
        <v>0</v>
      </c>
      <c r="L72" s="21">
        <v>0</v>
      </c>
      <c r="M72" s="21">
        <v>248</v>
      </c>
      <c r="N72" s="21">
        <v>5340</v>
      </c>
      <c r="O72" s="21">
        <v>0</v>
      </c>
      <c r="P72" s="21">
        <v>0</v>
      </c>
      <c r="Q72" s="21">
        <v>0</v>
      </c>
      <c r="R72" s="21">
        <v>0</v>
      </c>
      <c r="S72" s="21">
        <v>0</v>
      </c>
      <c r="T72" s="21">
        <v>0</v>
      </c>
      <c r="U72" s="21">
        <v>0</v>
      </c>
      <c r="V72" s="21">
        <v>0</v>
      </c>
      <c r="W72" s="21">
        <v>0</v>
      </c>
      <c r="X72" s="21">
        <v>1</v>
      </c>
      <c r="Y72" s="21">
        <v>-1</v>
      </c>
      <c r="Z72" s="21">
        <v>-101</v>
      </c>
      <c r="AA72" s="21">
        <v>-201</v>
      </c>
      <c r="AB72" s="21">
        <v>-99</v>
      </c>
      <c r="AC72" s="21">
        <v>0</v>
      </c>
      <c r="AD72" s="21">
        <v>-648</v>
      </c>
      <c r="AE72" s="21">
        <v>-1904</v>
      </c>
      <c r="AF72" s="21">
        <v>-405</v>
      </c>
      <c r="AG72" s="21">
        <v>0</v>
      </c>
      <c r="AH72" s="21">
        <v>0</v>
      </c>
      <c r="AI72" s="21">
        <v>160</v>
      </c>
      <c r="AJ72" s="21">
        <v>0</v>
      </c>
      <c r="AK72" s="21">
        <v>18</v>
      </c>
      <c r="AL72" s="21">
        <v>0</v>
      </c>
      <c r="AM72" s="21">
        <v>-1121</v>
      </c>
      <c r="AN72" s="21">
        <v>0</v>
      </c>
      <c r="AO72" s="21">
        <v>-44</v>
      </c>
      <c r="AP72" s="21">
        <v>1337</v>
      </c>
      <c r="AQ72" s="21">
        <v>0</v>
      </c>
      <c r="AR72" s="21">
        <v>0</v>
      </c>
      <c r="AS72" s="21">
        <v>-943</v>
      </c>
      <c r="AT72" s="21">
        <v>0</v>
      </c>
      <c r="AU72" s="21">
        <v>74</v>
      </c>
      <c r="AV72" s="21">
        <v>0</v>
      </c>
      <c r="AW72" s="21">
        <v>-480</v>
      </c>
      <c r="AX72" s="21">
        <v>456</v>
      </c>
      <c r="AY72" s="21">
        <v>8</v>
      </c>
      <c r="AZ72" s="21">
        <v>0</v>
      </c>
      <c r="BA72" s="21">
        <v>0</v>
      </c>
      <c r="BB72" s="21">
        <v>-1</v>
      </c>
      <c r="BC72" s="21">
        <v>0</v>
      </c>
      <c r="BD72" s="21">
        <v>0</v>
      </c>
      <c r="BE72" s="21">
        <v>0</v>
      </c>
      <c r="BF72" s="21">
        <v>0</v>
      </c>
      <c r="BG72" s="14">
        <v>5000</v>
      </c>
      <c r="BH72" s="14">
        <v>0</v>
      </c>
      <c r="BI72" s="21">
        <v>0</v>
      </c>
      <c r="BJ72" s="21">
        <v>0</v>
      </c>
      <c r="BK72" s="21">
        <v>0</v>
      </c>
    </row>
    <row r="73" spans="1:63">
      <c r="A73" s="14">
        <v>3509</v>
      </c>
      <c r="B73" s="14" t="s">
        <v>97</v>
      </c>
      <c r="C73" s="21">
        <v>108043.11</v>
      </c>
      <c r="D73" s="21">
        <v>0</v>
      </c>
      <c r="E73" s="21">
        <v>0</v>
      </c>
      <c r="F73" s="21">
        <f t="shared" si="1"/>
        <v>108043.11</v>
      </c>
      <c r="G73" s="21">
        <v>1924495</v>
      </c>
      <c r="H73" s="21">
        <v>0</v>
      </c>
      <c r="I73" s="21">
        <v>85065</v>
      </c>
      <c r="J73" s="21">
        <v>0</v>
      </c>
      <c r="K73" s="21">
        <v>87000</v>
      </c>
      <c r="L73" s="21">
        <v>1500</v>
      </c>
      <c r="M73" s="21">
        <v>12197</v>
      </c>
      <c r="N73" s="21">
        <v>61732</v>
      </c>
      <c r="O73" s="21">
        <v>80699</v>
      </c>
      <c r="P73" s="21">
        <v>10843</v>
      </c>
      <c r="Q73" s="21">
        <v>452</v>
      </c>
      <c r="R73" s="21">
        <v>77208</v>
      </c>
      <c r="S73" s="21">
        <v>19617</v>
      </c>
      <c r="T73" s="21">
        <v>0</v>
      </c>
      <c r="U73" s="21">
        <v>0</v>
      </c>
      <c r="V73" s="21">
        <v>0</v>
      </c>
      <c r="W73" s="21">
        <v>50622</v>
      </c>
      <c r="X73" s="21">
        <v>1030649</v>
      </c>
      <c r="Y73" s="21">
        <v>6830</v>
      </c>
      <c r="Z73" s="21">
        <v>494136</v>
      </c>
      <c r="AA73" s="21">
        <v>77685</v>
      </c>
      <c r="AB73" s="21">
        <v>101769</v>
      </c>
      <c r="AC73" s="21">
        <v>0</v>
      </c>
      <c r="AD73" s="21">
        <v>53893</v>
      </c>
      <c r="AE73" s="21">
        <v>17182</v>
      </c>
      <c r="AF73" s="21">
        <v>16499</v>
      </c>
      <c r="AG73" s="21">
        <v>22171</v>
      </c>
      <c r="AH73" s="21">
        <v>3128</v>
      </c>
      <c r="AI73" s="21">
        <v>31012</v>
      </c>
      <c r="AJ73" s="21">
        <v>78</v>
      </c>
      <c r="AK73" s="21">
        <v>8500</v>
      </c>
      <c r="AL73" s="21">
        <v>5291</v>
      </c>
      <c r="AM73" s="21">
        <v>37088</v>
      </c>
      <c r="AN73" s="21">
        <v>0</v>
      </c>
      <c r="AO73" s="21">
        <v>13478</v>
      </c>
      <c r="AP73" s="21">
        <v>132453</v>
      </c>
      <c r="AQ73" s="21">
        <v>52686</v>
      </c>
      <c r="AR73" s="21">
        <v>0</v>
      </c>
      <c r="AS73" s="21">
        <v>12932</v>
      </c>
      <c r="AT73" s="21">
        <v>15598</v>
      </c>
      <c r="AU73" s="21">
        <v>21206</v>
      </c>
      <c r="AV73" s="21">
        <v>129494</v>
      </c>
      <c r="AW73" s="21">
        <v>51450</v>
      </c>
      <c r="AX73" s="21">
        <v>54996</v>
      </c>
      <c r="AY73" s="21">
        <v>24586</v>
      </c>
      <c r="AZ73" s="21">
        <v>0</v>
      </c>
      <c r="BA73" s="21">
        <v>0</v>
      </c>
      <c r="BB73" s="21">
        <v>1</v>
      </c>
      <c r="BC73" s="21">
        <v>0</v>
      </c>
      <c r="BD73" s="21">
        <v>0</v>
      </c>
      <c r="BE73" s="21">
        <v>0</v>
      </c>
      <c r="BF73" s="21">
        <v>0</v>
      </c>
      <c r="BG73" s="14">
        <v>5000</v>
      </c>
      <c r="BH73" s="14">
        <v>0</v>
      </c>
      <c r="BI73" s="21">
        <v>0</v>
      </c>
      <c r="BJ73" s="21">
        <v>0</v>
      </c>
      <c r="BK73" s="21">
        <v>0</v>
      </c>
    </row>
    <row r="74" spans="1:63">
      <c r="A74" s="14">
        <v>3311</v>
      </c>
      <c r="B74" s="14" t="s">
        <v>99</v>
      </c>
      <c r="C74" s="21">
        <v>104996.87</v>
      </c>
      <c r="D74" s="21">
        <v>0</v>
      </c>
      <c r="E74" s="21">
        <v>0</v>
      </c>
      <c r="F74" s="21">
        <f t="shared" si="1"/>
        <v>104996.87</v>
      </c>
      <c r="G74" s="21">
        <v>1768635</v>
      </c>
      <c r="H74" s="21">
        <v>0</v>
      </c>
      <c r="I74" s="21">
        <v>44064</v>
      </c>
      <c r="J74" s="21">
        <v>0</v>
      </c>
      <c r="K74" s="21">
        <v>40900</v>
      </c>
      <c r="L74" s="21">
        <v>2506</v>
      </c>
      <c r="M74" s="21">
        <v>10025</v>
      </c>
      <c r="N74" s="21">
        <v>30506</v>
      </c>
      <c r="O74" s="21">
        <v>67669</v>
      </c>
      <c r="P74" s="21">
        <v>0</v>
      </c>
      <c r="Q74" s="21">
        <v>0</v>
      </c>
      <c r="R74" s="21">
        <v>79132</v>
      </c>
      <c r="S74" s="21">
        <v>16706</v>
      </c>
      <c r="T74" s="21">
        <v>0</v>
      </c>
      <c r="U74" s="21">
        <v>0</v>
      </c>
      <c r="V74" s="21">
        <v>0</v>
      </c>
      <c r="W74" s="21">
        <v>48072</v>
      </c>
      <c r="X74" s="21">
        <v>915137</v>
      </c>
      <c r="Y74" s="21">
        <v>0</v>
      </c>
      <c r="Z74" s="21">
        <v>434859</v>
      </c>
      <c r="AA74" s="21">
        <v>58239</v>
      </c>
      <c r="AB74" s="21">
        <v>68911</v>
      </c>
      <c r="AC74" s="21">
        <v>0</v>
      </c>
      <c r="AD74" s="21">
        <v>71198</v>
      </c>
      <c r="AE74" s="21">
        <v>36440</v>
      </c>
      <c r="AF74" s="21">
        <v>5351</v>
      </c>
      <c r="AG74" s="21">
        <v>1394</v>
      </c>
      <c r="AH74" s="21">
        <v>1533</v>
      </c>
      <c r="AI74" s="21">
        <v>34638</v>
      </c>
      <c r="AJ74" s="21">
        <v>4860</v>
      </c>
      <c r="AK74" s="21">
        <v>23498</v>
      </c>
      <c r="AL74" s="21">
        <v>5907</v>
      </c>
      <c r="AM74" s="21">
        <v>23369</v>
      </c>
      <c r="AN74" s="21">
        <v>0</v>
      </c>
      <c r="AO74" s="21">
        <v>9741</v>
      </c>
      <c r="AP74" s="21">
        <v>94296</v>
      </c>
      <c r="AQ74" s="21">
        <v>19873</v>
      </c>
      <c r="AR74" s="21">
        <v>0</v>
      </c>
      <c r="AS74" s="21">
        <v>13246</v>
      </c>
      <c r="AT74" s="21">
        <v>8220</v>
      </c>
      <c r="AU74" s="21">
        <v>6270</v>
      </c>
      <c r="AV74" s="21">
        <v>114419</v>
      </c>
      <c r="AW74" s="21">
        <v>45199</v>
      </c>
      <c r="AX74" s="21">
        <v>58905</v>
      </c>
      <c r="AY74" s="21">
        <v>39769</v>
      </c>
      <c r="AZ74" s="21">
        <v>0</v>
      </c>
      <c r="BA74" s="21">
        <v>20242</v>
      </c>
      <c r="BB74" s="21">
        <v>-1</v>
      </c>
      <c r="BC74" s="21">
        <v>0</v>
      </c>
      <c r="BD74" s="21">
        <v>0</v>
      </c>
      <c r="BE74" s="21">
        <v>8000</v>
      </c>
      <c r="BF74" s="21">
        <v>20242</v>
      </c>
      <c r="BG74" s="14">
        <v>5000</v>
      </c>
      <c r="BH74" s="14">
        <v>0</v>
      </c>
      <c r="BI74" s="21">
        <v>0</v>
      </c>
      <c r="BJ74" s="21">
        <v>7830</v>
      </c>
      <c r="BK74" s="21">
        <v>20412</v>
      </c>
    </row>
    <row r="75" spans="1:63">
      <c r="A75" s="14">
        <v>3521</v>
      </c>
      <c r="B75" s="14" t="s">
        <v>336</v>
      </c>
      <c r="C75" s="21">
        <v>146050.06</v>
      </c>
      <c r="D75" s="21">
        <v>0</v>
      </c>
      <c r="E75" s="21">
        <v>0</v>
      </c>
      <c r="F75" s="21">
        <f t="shared" si="1"/>
        <v>146050.06</v>
      </c>
      <c r="G75" s="21">
        <v>2704940</v>
      </c>
      <c r="H75" s="21">
        <v>0</v>
      </c>
      <c r="I75" s="21">
        <v>86085</v>
      </c>
      <c r="J75" s="21">
        <v>0</v>
      </c>
      <c r="K75" s="21">
        <v>155901</v>
      </c>
      <c r="L75" s="21">
        <v>500</v>
      </c>
      <c r="M75" s="21">
        <v>7560</v>
      </c>
      <c r="N75" s="21">
        <v>4518</v>
      </c>
      <c r="O75" s="21">
        <v>73721</v>
      </c>
      <c r="P75" s="21">
        <v>9000</v>
      </c>
      <c r="Q75" s="21">
        <v>0</v>
      </c>
      <c r="R75" s="21">
        <v>94700</v>
      </c>
      <c r="S75" s="21">
        <v>14062</v>
      </c>
      <c r="T75" s="21">
        <v>0</v>
      </c>
      <c r="U75" s="21">
        <v>0</v>
      </c>
      <c r="V75" s="21">
        <v>0</v>
      </c>
      <c r="W75" s="21">
        <v>64407</v>
      </c>
      <c r="X75" s="21">
        <v>1391786</v>
      </c>
      <c r="Y75" s="21">
        <v>0</v>
      </c>
      <c r="Z75" s="21">
        <v>534369</v>
      </c>
      <c r="AA75" s="21">
        <v>64736</v>
      </c>
      <c r="AB75" s="21">
        <v>145105</v>
      </c>
      <c r="AC75" s="21">
        <v>0</v>
      </c>
      <c r="AD75" s="21">
        <v>63738</v>
      </c>
      <c r="AE75" s="21">
        <v>36415</v>
      </c>
      <c r="AF75" s="21">
        <v>22776</v>
      </c>
      <c r="AG75" s="21">
        <v>18712</v>
      </c>
      <c r="AH75" s="21">
        <v>6594</v>
      </c>
      <c r="AI75" s="21">
        <v>31394</v>
      </c>
      <c r="AJ75" s="21">
        <v>9626</v>
      </c>
      <c r="AK75" s="21">
        <v>53548</v>
      </c>
      <c r="AL75" s="21">
        <v>7030</v>
      </c>
      <c r="AM75" s="21">
        <v>44260</v>
      </c>
      <c r="AN75" s="21">
        <v>0</v>
      </c>
      <c r="AO75" s="21">
        <v>22924</v>
      </c>
      <c r="AP75" s="21">
        <v>193496</v>
      </c>
      <c r="AQ75" s="21">
        <v>54918</v>
      </c>
      <c r="AR75" s="21">
        <v>0</v>
      </c>
      <c r="AS75" s="21">
        <v>63250</v>
      </c>
      <c r="AT75" s="21">
        <v>7501</v>
      </c>
      <c r="AU75" s="21">
        <v>8861</v>
      </c>
      <c r="AV75" s="21">
        <v>149050</v>
      </c>
      <c r="AW75" s="21">
        <v>73691</v>
      </c>
      <c r="AX75" s="21">
        <v>96034</v>
      </c>
      <c r="AY75" s="21">
        <v>73990</v>
      </c>
      <c r="AZ75" s="21">
        <v>0</v>
      </c>
      <c r="BA75" s="21">
        <v>38065</v>
      </c>
      <c r="BB75" s="21">
        <v>0</v>
      </c>
      <c r="BC75" s="21">
        <v>0</v>
      </c>
      <c r="BD75" s="21">
        <v>0</v>
      </c>
      <c r="BE75" s="21">
        <v>0</v>
      </c>
      <c r="BF75" s="21">
        <v>38065</v>
      </c>
      <c r="BG75" s="14">
        <v>5000</v>
      </c>
      <c r="BH75" s="14">
        <v>0</v>
      </c>
      <c r="BI75" s="21">
        <v>30685</v>
      </c>
      <c r="BJ75" s="21">
        <v>0</v>
      </c>
      <c r="BK75" s="21">
        <v>7381</v>
      </c>
    </row>
    <row r="76" spans="1:63">
      <c r="A76" s="14">
        <v>3312</v>
      </c>
      <c r="B76" s="10" t="s">
        <v>98</v>
      </c>
      <c r="C76" s="21">
        <v>48298.7</v>
      </c>
      <c r="D76" s="21">
        <v>0</v>
      </c>
      <c r="E76" s="21">
        <v>-7808</v>
      </c>
      <c r="F76" s="21">
        <f t="shared" si="1"/>
        <v>40490.699999999997</v>
      </c>
      <c r="G76" s="21">
        <v>882641</v>
      </c>
      <c r="H76" s="21">
        <v>0</v>
      </c>
      <c r="I76" s="21">
        <v>79142</v>
      </c>
      <c r="J76" s="21">
        <v>0</v>
      </c>
      <c r="K76" s="21">
        <v>39200</v>
      </c>
      <c r="L76" s="21">
        <v>37826</v>
      </c>
      <c r="M76" s="21">
        <v>14484</v>
      </c>
      <c r="N76" s="21">
        <v>47290</v>
      </c>
      <c r="O76" s="21">
        <v>29761</v>
      </c>
      <c r="P76" s="21">
        <v>6327</v>
      </c>
      <c r="Q76" s="21">
        <v>0</v>
      </c>
      <c r="R76" s="21">
        <v>40184</v>
      </c>
      <c r="S76" s="21">
        <v>114</v>
      </c>
      <c r="T76" s="21">
        <v>0</v>
      </c>
      <c r="U76" s="21">
        <v>0</v>
      </c>
      <c r="V76" s="21">
        <v>0</v>
      </c>
      <c r="W76" s="21">
        <v>27294</v>
      </c>
      <c r="X76" s="21">
        <v>564789</v>
      </c>
      <c r="Y76" s="21">
        <v>1624</v>
      </c>
      <c r="Z76" s="21">
        <v>217111</v>
      </c>
      <c r="AA76" s="21">
        <v>28744</v>
      </c>
      <c r="AB76" s="21">
        <v>33339</v>
      </c>
      <c r="AC76" s="21">
        <v>0</v>
      </c>
      <c r="AD76" s="21">
        <v>2718</v>
      </c>
      <c r="AE76" s="21">
        <v>5968</v>
      </c>
      <c r="AF76" s="21">
        <v>5380</v>
      </c>
      <c r="AG76" s="21">
        <v>10314</v>
      </c>
      <c r="AH76" s="21">
        <v>2020</v>
      </c>
      <c r="AI76" s="21">
        <v>6531</v>
      </c>
      <c r="AJ76" s="21">
        <v>2975</v>
      </c>
      <c r="AK76" s="21">
        <v>16539</v>
      </c>
      <c r="AL76" s="21">
        <v>910</v>
      </c>
      <c r="AM76" s="21">
        <v>9595</v>
      </c>
      <c r="AN76" s="21">
        <v>0</v>
      </c>
      <c r="AO76" s="21">
        <v>8063</v>
      </c>
      <c r="AP76" s="21">
        <v>68734</v>
      </c>
      <c r="AQ76" s="21">
        <v>13064</v>
      </c>
      <c r="AR76" s="21">
        <v>0</v>
      </c>
      <c r="AS76" s="21">
        <v>5272</v>
      </c>
      <c r="AT76" s="21">
        <v>11468</v>
      </c>
      <c r="AU76" s="21">
        <v>9815</v>
      </c>
      <c r="AV76" s="21">
        <v>60972</v>
      </c>
      <c r="AW76" s="21">
        <v>1053</v>
      </c>
      <c r="AX76" s="21">
        <v>36347</v>
      </c>
      <c r="AY76" s="21">
        <v>32724</v>
      </c>
      <c r="AZ76" s="21">
        <v>0</v>
      </c>
      <c r="BA76" s="21">
        <v>14434</v>
      </c>
      <c r="BB76" s="21">
        <v>0</v>
      </c>
      <c r="BC76" s="21">
        <v>0</v>
      </c>
      <c r="BD76" s="21">
        <v>0</v>
      </c>
      <c r="BE76" s="21">
        <v>13126</v>
      </c>
      <c r="BF76" s="21">
        <v>14434</v>
      </c>
      <c r="BG76" s="14">
        <v>5000</v>
      </c>
      <c r="BH76" s="14">
        <v>0</v>
      </c>
      <c r="BI76" s="21">
        <v>0</v>
      </c>
      <c r="BJ76" s="21">
        <v>0</v>
      </c>
      <c r="BK76" s="21">
        <v>19752</v>
      </c>
    </row>
    <row r="77" spans="1:63">
      <c r="A77" s="14">
        <v>3313</v>
      </c>
      <c r="B77" s="14" t="s">
        <v>100</v>
      </c>
      <c r="C77" s="21">
        <v>187943.1</v>
      </c>
      <c r="D77" s="21">
        <v>0</v>
      </c>
      <c r="E77" s="21">
        <v>0</v>
      </c>
      <c r="F77" s="21">
        <f t="shared" si="1"/>
        <v>187943.1</v>
      </c>
      <c r="G77" s="21">
        <v>1022336</v>
      </c>
      <c r="H77" s="21">
        <v>0</v>
      </c>
      <c r="I77" s="21">
        <v>57087</v>
      </c>
      <c r="J77" s="21">
        <v>0</v>
      </c>
      <c r="K77" s="21">
        <v>73557</v>
      </c>
      <c r="L77" s="21">
        <v>0</v>
      </c>
      <c r="M77" s="21">
        <v>1164</v>
      </c>
      <c r="N77" s="21">
        <v>6030</v>
      </c>
      <c r="O77" s="21">
        <v>24488</v>
      </c>
      <c r="P77" s="21">
        <v>5778</v>
      </c>
      <c r="Q77" s="21">
        <v>0</v>
      </c>
      <c r="R77" s="21">
        <v>22172</v>
      </c>
      <c r="S77" s="21">
        <v>14534</v>
      </c>
      <c r="T77" s="21">
        <v>0</v>
      </c>
      <c r="U77" s="21">
        <v>0</v>
      </c>
      <c r="V77" s="21">
        <v>0</v>
      </c>
      <c r="W77" s="21">
        <v>25037</v>
      </c>
      <c r="X77" s="21">
        <v>563435</v>
      </c>
      <c r="Y77" s="21">
        <v>11455</v>
      </c>
      <c r="Z77" s="21">
        <v>222383</v>
      </c>
      <c r="AA77" s="21">
        <v>25092</v>
      </c>
      <c r="AB77" s="21">
        <v>27809</v>
      </c>
      <c r="AC77" s="21">
        <v>1</v>
      </c>
      <c r="AD77" s="21">
        <v>22287</v>
      </c>
      <c r="AE77" s="21">
        <v>15770</v>
      </c>
      <c r="AF77" s="21">
        <v>5089</v>
      </c>
      <c r="AG77" s="21">
        <v>8885</v>
      </c>
      <c r="AH77" s="21">
        <v>3821</v>
      </c>
      <c r="AI77" s="21">
        <v>17398</v>
      </c>
      <c r="AJ77" s="21">
        <v>128</v>
      </c>
      <c r="AK77" s="21">
        <v>14008</v>
      </c>
      <c r="AL77" s="21">
        <v>2235</v>
      </c>
      <c r="AM77" s="21">
        <v>11613</v>
      </c>
      <c r="AN77" s="21">
        <v>0</v>
      </c>
      <c r="AO77" s="21">
        <v>4373</v>
      </c>
      <c r="AP77" s="21">
        <v>94057</v>
      </c>
      <c r="AQ77" s="21">
        <v>15304</v>
      </c>
      <c r="AR77" s="21">
        <v>0</v>
      </c>
      <c r="AS77" s="21">
        <v>5722</v>
      </c>
      <c r="AT77" s="21">
        <v>3301</v>
      </c>
      <c r="AU77" s="21">
        <v>9302</v>
      </c>
      <c r="AV77" s="21">
        <v>53556</v>
      </c>
      <c r="AW77" s="21">
        <v>21394</v>
      </c>
      <c r="AX77" s="21">
        <v>35128</v>
      </c>
      <c r="AY77" s="21">
        <v>27116</v>
      </c>
      <c r="AZ77" s="21">
        <v>0</v>
      </c>
      <c r="BA77" s="21">
        <v>0</v>
      </c>
      <c r="BB77" s="21">
        <v>-1</v>
      </c>
      <c r="BC77" s="21">
        <v>0</v>
      </c>
      <c r="BD77" s="21">
        <v>0</v>
      </c>
      <c r="BE77" s="21">
        <v>0</v>
      </c>
      <c r="BF77" s="21">
        <v>0</v>
      </c>
      <c r="BG77" s="14">
        <v>5000</v>
      </c>
      <c r="BH77" s="14">
        <v>0</v>
      </c>
      <c r="BI77" s="21">
        <v>0</v>
      </c>
      <c r="BJ77" s="21">
        <v>0</v>
      </c>
      <c r="BK77" s="21">
        <v>0</v>
      </c>
    </row>
    <row r="78" spans="1:63">
      <c r="A78" s="14">
        <v>3314</v>
      </c>
      <c r="B78" s="14" t="s">
        <v>101</v>
      </c>
      <c r="C78" s="21">
        <v>40212.879999999997</v>
      </c>
      <c r="D78" s="21">
        <v>0</v>
      </c>
      <c r="E78" s="21">
        <v>0</v>
      </c>
      <c r="F78" s="21">
        <f t="shared" si="1"/>
        <v>40212.879999999997</v>
      </c>
      <c r="G78" s="21">
        <v>868805</v>
      </c>
      <c r="H78" s="21">
        <v>0</v>
      </c>
      <c r="I78" s="21">
        <v>58215</v>
      </c>
      <c r="J78" s="21">
        <v>0</v>
      </c>
      <c r="K78" s="21">
        <v>16900</v>
      </c>
      <c r="L78" s="21">
        <v>1700</v>
      </c>
      <c r="M78" s="21">
        <v>46143</v>
      </c>
      <c r="N78" s="21">
        <v>32844</v>
      </c>
      <c r="O78" s="21">
        <v>35400</v>
      </c>
      <c r="P78" s="21">
        <v>0</v>
      </c>
      <c r="Q78" s="21">
        <v>4765</v>
      </c>
      <c r="R78" s="21">
        <v>35730</v>
      </c>
      <c r="S78" s="21">
        <v>8626</v>
      </c>
      <c r="T78" s="21">
        <v>0</v>
      </c>
      <c r="U78" s="21">
        <v>0</v>
      </c>
      <c r="V78" s="21">
        <v>0</v>
      </c>
      <c r="W78" s="21">
        <v>28380</v>
      </c>
      <c r="X78" s="21">
        <v>504062</v>
      </c>
      <c r="Y78" s="21">
        <v>3008</v>
      </c>
      <c r="Z78" s="21">
        <v>146699</v>
      </c>
      <c r="AA78" s="21">
        <v>33054</v>
      </c>
      <c r="AB78" s="21">
        <v>43877</v>
      </c>
      <c r="AC78" s="21">
        <v>4217</v>
      </c>
      <c r="AD78" s="21">
        <v>17030</v>
      </c>
      <c r="AE78" s="21">
        <v>6255</v>
      </c>
      <c r="AF78" s="21">
        <v>7567</v>
      </c>
      <c r="AG78" s="21">
        <v>6519</v>
      </c>
      <c r="AH78" s="21">
        <v>247</v>
      </c>
      <c r="AI78" s="21">
        <v>25087</v>
      </c>
      <c r="AJ78" s="21">
        <v>8522</v>
      </c>
      <c r="AK78" s="21">
        <v>538</v>
      </c>
      <c r="AL78" s="21">
        <v>3125</v>
      </c>
      <c r="AM78" s="21">
        <v>12801</v>
      </c>
      <c r="AN78" s="21">
        <v>0</v>
      </c>
      <c r="AO78" s="21">
        <v>10114</v>
      </c>
      <c r="AP78" s="21">
        <v>92662</v>
      </c>
      <c r="AQ78" s="21">
        <v>21461</v>
      </c>
      <c r="AR78" s="21">
        <v>0</v>
      </c>
      <c r="AS78" s="21">
        <v>10120</v>
      </c>
      <c r="AT78" s="21">
        <v>5213</v>
      </c>
      <c r="AU78" s="21">
        <v>8958</v>
      </c>
      <c r="AV78" s="21">
        <v>57708</v>
      </c>
      <c r="AW78" s="21">
        <v>24548</v>
      </c>
      <c r="AX78" s="21">
        <v>20769</v>
      </c>
      <c r="AY78" s="21">
        <v>33271</v>
      </c>
      <c r="AZ78" s="21">
        <v>0</v>
      </c>
      <c r="BA78" s="21">
        <v>8990</v>
      </c>
      <c r="BB78" s="21">
        <v>0</v>
      </c>
      <c r="BC78" s="21">
        <v>0</v>
      </c>
      <c r="BD78" s="21">
        <v>0</v>
      </c>
      <c r="BE78" s="21">
        <v>0</v>
      </c>
      <c r="BF78" s="21">
        <v>8990</v>
      </c>
      <c r="BG78" s="14">
        <v>5000</v>
      </c>
      <c r="BH78" s="14">
        <v>0</v>
      </c>
      <c r="BI78" s="21">
        <v>0</v>
      </c>
      <c r="BJ78" s="21">
        <v>0</v>
      </c>
      <c r="BK78" s="21">
        <v>8990</v>
      </c>
    </row>
    <row r="79" spans="1:63">
      <c r="A79" s="14">
        <v>3507</v>
      </c>
      <c r="B79" s="14" t="s">
        <v>102</v>
      </c>
      <c r="C79" s="21">
        <v>77119.009999999995</v>
      </c>
      <c r="D79" s="21">
        <v>0</v>
      </c>
      <c r="E79" s="21">
        <v>1.79</v>
      </c>
      <c r="F79" s="21">
        <f t="shared" si="1"/>
        <v>77120.799999999988</v>
      </c>
      <c r="G79" s="21">
        <v>985696</v>
      </c>
      <c r="H79" s="21">
        <v>0</v>
      </c>
      <c r="I79" s="21">
        <v>0</v>
      </c>
      <c r="J79" s="21">
        <v>0</v>
      </c>
      <c r="K79" s="21">
        <v>41900</v>
      </c>
      <c r="L79" s="21">
        <v>2600</v>
      </c>
      <c r="M79" s="21">
        <v>5555</v>
      </c>
      <c r="N79" s="21">
        <v>17227</v>
      </c>
      <c r="O79" s="21">
        <v>30375</v>
      </c>
      <c r="P79" s="21">
        <v>0</v>
      </c>
      <c r="Q79" s="21">
        <v>0</v>
      </c>
      <c r="R79" s="21">
        <v>29413</v>
      </c>
      <c r="S79" s="21">
        <v>7053</v>
      </c>
      <c r="T79" s="21">
        <v>0</v>
      </c>
      <c r="U79" s="21">
        <v>0</v>
      </c>
      <c r="V79" s="21">
        <v>0</v>
      </c>
      <c r="W79" s="21">
        <v>33790</v>
      </c>
      <c r="X79" s="21">
        <v>497387</v>
      </c>
      <c r="Y79" s="21">
        <v>0</v>
      </c>
      <c r="Z79" s="21">
        <v>122769</v>
      </c>
      <c r="AA79" s="21">
        <v>52825</v>
      </c>
      <c r="AB79" s="21">
        <v>38024</v>
      </c>
      <c r="AC79" s="21">
        <v>0</v>
      </c>
      <c r="AD79" s="21">
        <v>27608</v>
      </c>
      <c r="AE79" s="21">
        <v>11585</v>
      </c>
      <c r="AF79" s="21">
        <v>12238</v>
      </c>
      <c r="AG79" s="21">
        <v>8204</v>
      </c>
      <c r="AH79" s="21">
        <v>1965</v>
      </c>
      <c r="AI79" s="21">
        <v>16748</v>
      </c>
      <c r="AJ79" s="21">
        <v>800</v>
      </c>
      <c r="AK79" s="21">
        <v>182</v>
      </c>
      <c r="AL79" s="21">
        <v>2949</v>
      </c>
      <c r="AM79" s="21">
        <v>10065</v>
      </c>
      <c r="AN79" s="21">
        <v>0</v>
      </c>
      <c r="AO79" s="21">
        <v>6072</v>
      </c>
      <c r="AP79" s="21">
        <v>75596</v>
      </c>
      <c r="AQ79" s="21">
        <v>23436</v>
      </c>
      <c r="AR79" s="21">
        <v>0</v>
      </c>
      <c r="AS79" s="21">
        <v>7712</v>
      </c>
      <c r="AT79" s="21">
        <v>5711</v>
      </c>
      <c r="AU79" s="21">
        <v>12779</v>
      </c>
      <c r="AV79" s="21">
        <v>61488</v>
      </c>
      <c r="AW79" s="21">
        <v>37271</v>
      </c>
      <c r="AX79" s="21">
        <v>56522</v>
      </c>
      <c r="AY79" s="21">
        <v>34016</v>
      </c>
      <c r="AZ79" s="21">
        <v>0</v>
      </c>
      <c r="BA79" s="21">
        <v>13114</v>
      </c>
      <c r="BB79" s="21">
        <v>1</v>
      </c>
      <c r="BC79" s="21">
        <v>0</v>
      </c>
      <c r="BD79" s="21">
        <v>0</v>
      </c>
      <c r="BE79" s="21">
        <v>7458</v>
      </c>
      <c r="BF79" s="21">
        <v>13114</v>
      </c>
      <c r="BG79" s="14">
        <v>5000</v>
      </c>
      <c r="BH79" s="14">
        <v>0</v>
      </c>
      <c r="BI79" s="21">
        <v>0</v>
      </c>
      <c r="BJ79" s="21">
        <v>0</v>
      </c>
      <c r="BK79" s="21">
        <v>20573</v>
      </c>
    </row>
    <row r="80" spans="1:63">
      <c r="A80" s="14">
        <v>3506</v>
      </c>
      <c r="B80" s="14" t="s">
        <v>103</v>
      </c>
      <c r="C80" s="21">
        <v>110514.39</v>
      </c>
      <c r="D80" s="21">
        <v>0</v>
      </c>
      <c r="E80" s="21">
        <v>0</v>
      </c>
      <c r="F80" s="21">
        <f t="shared" si="1"/>
        <v>110514.39</v>
      </c>
      <c r="G80" s="21">
        <v>1306150</v>
      </c>
      <c r="H80" s="21">
        <v>0</v>
      </c>
      <c r="I80" s="21">
        <v>74432</v>
      </c>
      <c r="J80" s="21">
        <v>0</v>
      </c>
      <c r="K80" s="21">
        <v>72506</v>
      </c>
      <c r="L80" s="21">
        <v>4450</v>
      </c>
      <c r="M80" s="21">
        <v>11492</v>
      </c>
      <c r="N80" s="21">
        <v>14846</v>
      </c>
      <c r="O80" s="21">
        <v>31336</v>
      </c>
      <c r="P80" s="21">
        <v>8736</v>
      </c>
      <c r="Q80" s="21">
        <v>0</v>
      </c>
      <c r="R80" s="21">
        <v>30699</v>
      </c>
      <c r="S80" s="21">
        <v>2997</v>
      </c>
      <c r="T80" s="21">
        <v>0</v>
      </c>
      <c r="U80" s="21">
        <v>0</v>
      </c>
      <c r="V80" s="21">
        <v>0</v>
      </c>
      <c r="W80" s="21">
        <v>38989</v>
      </c>
      <c r="X80" s="21">
        <v>669812</v>
      </c>
      <c r="Y80" s="21">
        <v>8257</v>
      </c>
      <c r="Z80" s="21">
        <v>311566</v>
      </c>
      <c r="AA80" s="21">
        <v>47413</v>
      </c>
      <c r="AB80" s="21">
        <v>63589</v>
      </c>
      <c r="AC80" s="21">
        <v>0</v>
      </c>
      <c r="AD80" s="21">
        <v>0</v>
      </c>
      <c r="AE80" s="21">
        <v>8336</v>
      </c>
      <c r="AF80" s="21">
        <v>13471</v>
      </c>
      <c r="AG80" s="21">
        <v>10024</v>
      </c>
      <c r="AH80" s="21">
        <v>381</v>
      </c>
      <c r="AI80" s="21">
        <v>31814</v>
      </c>
      <c r="AJ80" s="21">
        <v>4915</v>
      </c>
      <c r="AK80" s="21">
        <v>2853</v>
      </c>
      <c r="AL80" s="21">
        <v>3313</v>
      </c>
      <c r="AM80" s="21">
        <v>20468</v>
      </c>
      <c r="AN80" s="21">
        <v>0</v>
      </c>
      <c r="AO80" s="21">
        <v>9573</v>
      </c>
      <c r="AP80" s="21">
        <v>62962</v>
      </c>
      <c r="AQ80" s="21">
        <v>28733</v>
      </c>
      <c r="AR80" s="21">
        <v>0</v>
      </c>
      <c r="AS80" s="21">
        <v>10370</v>
      </c>
      <c r="AT80" s="21">
        <v>9807</v>
      </c>
      <c r="AU80" s="21">
        <v>1640</v>
      </c>
      <c r="AV80" s="21">
        <v>74694</v>
      </c>
      <c r="AW80" s="21">
        <v>49011</v>
      </c>
      <c r="AX80" s="21">
        <v>74972</v>
      </c>
      <c r="AY80" s="21">
        <v>41540</v>
      </c>
      <c r="AZ80" s="21">
        <v>0</v>
      </c>
      <c r="BA80" s="21">
        <v>0</v>
      </c>
      <c r="BB80" s="21">
        <v>-1</v>
      </c>
      <c r="BC80" s="21">
        <v>0</v>
      </c>
      <c r="BD80" s="21">
        <v>0</v>
      </c>
      <c r="BE80" s="21">
        <v>0</v>
      </c>
      <c r="BF80" s="21">
        <v>0</v>
      </c>
      <c r="BG80" s="14">
        <v>5000</v>
      </c>
      <c r="BH80" s="14">
        <v>0</v>
      </c>
      <c r="BI80" s="21">
        <v>0</v>
      </c>
      <c r="BJ80" s="21">
        <v>0</v>
      </c>
      <c r="BK80" s="21">
        <v>0</v>
      </c>
    </row>
    <row r="81" spans="1:63">
      <c r="A81" s="14">
        <v>2052</v>
      </c>
      <c r="B81" s="14" t="s">
        <v>104</v>
      </c>
      <c r="C81" s="21">
        <v>156036.15</v>
      </c>
      <c r="D81" s="21">
        <v>0</v>
      </c>
      <c r="E81" s="21">
        <v>3250.04</v>
      </c>
      <c r="F81" s="21">
        <f t="shared" si="1"/>
        <v>159286.19</v>
      </c>
      <c r="G81" s="21">
        <v>2169727</v>
      </c>
      <c r="H81" s="21">
        <v>0</v>
      </c>
      <c r="I81" s="21">
        <v>204279</v>
      </c>
      <c r="J81" s="21">
        <v>0</v>
      </c>
      <c r="K81" s="21">
        <v>198400</v>
      </c>
      <c r="L81" s="21">
        <v>1000</v>
      </c>
      <c r="M81" s="21">
        <v>5457</v>
      </c>
      <c r="N81" s="21">
        <v>8859</v>
      </c>
      <c r="O81" s="21">
        <v>50346</v>
      </c>
      <c r="P81" s="21">
        <v>17750</v>
      </c>
      <c r="Q81" s="21">
        <v>0</v>
      </c>
      <c r="R81" s="21">
        <v>15022</v>
      </c>
      <c r="S81" s="21">
        <v>6603</v>
      </c>
      <c r="T81" s="21">
        <v>0</v>
      </c>
      <c r="U81" s="21">
        <v>0</v>
      </c>
      <c r="V81" s="21">
        <v>0</v>
      </c>
      <c r="W81" s="21">
        <v>48309</v>
      </c>
      <c r="X81" s="21">
        <v>1238676</v>
      </c>
      <c r="Y81" s="21">
        <v>0</v>
      </c>
      <c r="Z81" s="21">
        <v>425326</v>
      </c>
      <c r="AA81" s="21">
        <v>48760</v>
      </c>
      <c r="AB81" s="21">
        <v>70519</v>
      </c>
      <c r="AC81" s="21">
        <v>49016</v>
      </c>
      <c r="AD81" s="21">
        <v>32331</v>
      </c>
      <c r="AE81" s="21">
        <v>13407</v>
      </c>
      <c r="AF81" s="21">
        <v>11580</v>
      </c>
      <c r="AG81" s="21">
        <v>24934</v>
      </c>
      <c r="AH81" s="21">
        <v>1907</v>
      </c>
      <c r="AI81" s="21">
        <v>25570</v>
      </c>
      <c r="AJ81" s="21">
        <v>5863</v>
      </c>
      <c r="AK81" s="21">
        <v>32194</v>
      </c>
      <c r="AL81" s="21">
        <v>3092</v>
      </c>
      <c r="AM81" s="21">
        <v>28716</v>
      </c>
      <c r="AN81" s="21">
        <v>23618</v>
      </c>
      <c r="AO81" s="21">
        <v>8822</v>
      </c>
      <c r="AP81" s="21">
        <v>99380</v>
      </c>
      <c r="AQ81" s="21">
        <v>41296</v>
      </c>
      <c r="AR81" s="21">
        <v>0</v>
      </c>
      <c r="AS81" s="21">
        <v>13100</v>
      </c>
      <c r="AT81" s="21">
        <v>11110</v>
      </c>
      <c r="AU81" s="21">
        <v>7797</v>
      </c>
      <c r="AV81" s="21">
        <v>81196</v>
      </c>
      <c r="AW81" s="21">
        <v>124043</v>
      </c>
      <c r="AX81" s="21">
        <v>210576</v>
      </c>
      <c r="AY81" s="21">
        <v>52695</v>
      </c>
      <c r="AZ81" s="21">
        <v>0</v>
      </c>
      <c r="BA81" s="21">
        <v>84566</v>
      </c>
      <c r="BB81" s="21">
        <v>1</v>
      </c>
      <c r="BC81" s="21">
        <v>0</v>
      </c>
      <c r="BD81" s="21">
        <v>9012</v>
      </c>
      <c r="BE81" s="21">
        <v>0</v>
      </c>
      <c r="BF81" s="21">
        <v>84566</v>
      </c>
      <c r="BG81" s="14">
        <v>5000</v>
      </c>
      <c r="BH81" s="14">
        <v>0</v>
      </c>
      <c r="BI81" s="21">
        <v>96686</v>
      </c>
      <c r="BJ81" s="21">
        <v>0</v>
      </c>
      <c r="BK81" s="21">
        <v>0</v>
      </c>
    </row>
    <row r="82" spans="1:63">
      <c r="A82" s="14">
        <v>2070</v>
      </c>
      <c r="B82" s="10" t="s">
        <v>105</v>
      </c>
      <c r="C82" s="21">
        <v>98495.54</v>
      </c>
      <c r="D82" s="21">
        <v>0</v>
      </c>
      <c r="E82" s="21">
        <v>10230.219999999999</v>
      </c>
      <c r="F82" s="21">
        <f t="shared" si="1"/>
        <v>108725.75999999999</v>
      </c>
      <c r="G82" s="21">
        <v>1140262</v>
      </c>
      <c r="H82" s="21">
        <v>0</v>
      </c>
      <c r="I82" s="21">
        <v>79088</v>
      </c>
      <c r="J82" s="21">
        <v>0</v>
      </c>
      <c r="K82" s="21">
        <v>107163</v>
      </c>
      <c r="L82" s="21">
        <v>9590</v>
      </c>
      <c r="M82" s="21">
        <v>5832</v>
      </c>
      <c r="N82" s="21">
        <v>5009</v>
      </c>
      <c r="O82" s="21">
        <v>26125</v>
      </c>
      <c r="P82" s="21">
        <v>3078</v>
      </c>
      <c r="Q82" s="21">
        <v>4590</v>
      </c>
      <c r="R82" s="21">
        <v>14628</v>
      </c>
      <c r="S82" s="21">
        <v>3556</v>
      </c>
      <c r="T82" s="21">
        <v>0</v>
      </c>
      <c r="U82" s="21">
        <v>0</v>
      </c>
      <c r="V82" s="21">
        <v>0</v>
      </c>
      <c r="W82" s="21">
        <v>22838</v>
      </c>
      <c r="X82" s="21">
        <v>601966</v>
      </c>
      <c r="Y82" s="21">
        <v>6095</v>
      </c>
      <c r="Z82" s="21">
        <v>312341</v>
      </c>
      <c r="AA82" s="21">
        <v>46918</v>
      </c>
      <c r="AB82" s="21">
        <v>56164</v>
      </c>
      <c r="AC82" s="21">
        <v>-1</v>
      </c>
      <c r="AD82" s="21">
        <v>27427</v>
      </c>
      <c r="AE82" s="21">
        <v>6537</v>
      </c>
      <c r="AF82" s="21">
        <v>6744</v>
      </c>
      <c r="AG82" s="21">
        <v>5240</v>
      </c>
      <c r="AH82" s="21">
        <v>7611</v>
      </c>
      <c r="AI82" s="21">
        <v>13248</v>
      </c>
      <c r="AJ82" s="21">
        <v>2592</v>
      </c>
      <c r="AK82" s="21">
        <v>1542</v>
      </c>
      <c r="AL82" s="21">
        <v>2737</v>
      </c>
      <c r="AM82" s="21">
        <v>13973</v>
      </c>
      <c r="AN82" s="21">
        <v>12773</v>
      </c>
      <c r="AO82" s="21">
        <v>6088</v>
      </c>
      <c r="AP82" s="21">
        <v>48626</v>
      </c>
      <c r="AQ82" s="21">
        <v>21755</v>
      </c>
      <c r="AR82" s="21">
        <v>0</v>
      </c>
      <c r="AS82" s="21">
        <v>14769</v>
      </c>
      <c r="AT82" s="21">
        <v>5006</v>
      </c>
      <c r="AU82" s="21">
        <v>7269</v>
      </c>
      <c r="AV82" s="21">
        <v>63410</v>
      </c>
      <c r="AW82" s="21">
        <v>6155</v>
      </c>
      <c r="AX82" s="21">
        <v>58092</v>
      </c>
      <c r="AY82" s="21">
        <v>13767</v>
      </c>
      <c r="AZ82" s="21">
        <v>0</v>
      </c>
      <c r="BA82" s="21">
        <v>58672</v>
      </c>
      <c r="BB82" s="21">
        <v>0</v>
      </c>
      <c r="BC82" s="21">
        <v>0</v>
      </c>
      <c r="BD82" s="21">
        <v>6576</v>
      </c>
      <c r="BE82" s="21">
        <v>0</v>
      </c>
      <c r="BF82" s="21">
        <v>58672</v>
      </c>
      <c r="BG82" s="14">
        <v>5000</v>
      </c>
      <c r="BH82" s="14">
        <v>0</v>
      </c>
      <c r="BI82" s="21">
        <v>65820</v>
      </c>
      <c r="BJ82" s="21">
        <v>6735</v>
      </c>
      <c r="BK82" s="21">
        <v>2924</v>
      </c>
    </row>
    <row r="83" spans="1:63">
      <c r="A83" s="14">
        <v>3316</v>
      </c>
      <c r="B83" s="14" t="s">
        <v>106</v>
      </c>
      <c r="C83" s="21">
        <v>35851.550000000003</v>
      </c>
      <c r="D83" s="21">
        <v>0</v>
      </c>
      <c r="E83" s="21">
        <v>0</v>
      </c>
      <c r="F83" s="21">
        <f t="shared" si="1"/>
        <v>35851.550000000003</v>
      </c>
      <c r="G83" s="21">
        <v>848124</v>
      </c>
      <c r="H83" s="21">
        <v>0</v>
      </c>
      <c r="I83" s="21">
        <v>596</v>
      </c>
      <c r="J83" s="21">
        <v>0</v>
      </c>
      <c r="K83" s="21">
        <v>26291</v>
      </c>
      <c r="L83" s="21">
        <v>1940</v>
      </c>
      <c r="M83" s="21">
        <v>1365</v>
      </c>
      <c r="N83" s="21">
        <v>13174</v>
      </c>
      <c r="O83" s="21">
        <v>39323</v>
      </c>
      <c r="P83" s="21">
        <v>0</v>
      </c>
      <c r="Q83" s="21">
        <v>505</v>
      </c>
      <c r="R83" s="21">
        <v>28486</v>
      </c>
      <c r="S83" s="21">
        <v>8242</v>
      </c>
      <c r="T83" s="21">
        <v>0</v>
      </c>
      <c r="U83" s="21">
        <v>0</v>
      </c>
      <c r="V83" s="21">
        <v>0</v>
      </c>
      <c r="W83" s="21">
        <v>26169</v>
      </c>
      <c r="X83" s="21">
        <v>439352</v>
      </c>
      <c r="Y83" s="21">
        <v>2253</v>
      </c>
      <c r="Z83" s="21">
        <v>119351</v>
      </c>
      <c r="AA83" s="21">
        <v>24984</v>
      </c>
      <c r="AB83" s="21">
        <v>39872</v>
      </c>
      <c r="AC83" s="21">
        <v>0</v>
      </c>
      <c r="AD83" s="21">
        <v>32215</v>
      </c>
      <c r="AE83" s="21">
        <v>5062</v>
      </c>
      <c r="AF83" s="21">
        <v>14461</v>
      </c>
      <c r="AG83" s="21">
        <v>8795</v>
      </c>
      <c r="AH83" s="21">
        <v>882</v>
      </c>
      <c r="AI83" s="21">
        <v>5788</v>
      </c>
      <c r="AJ83" s="21">
        <v>177</v>
      </c>
      <c r="AK83" s="21">
        <v>11614</v>
      </c>
      <c r="AL83" s="21">
        <v>1962</v>
      </c>
      <c r="AM83" s="21">
        <v>12460</v>
      </c>
      <c r="AN83" s="21">
        <v>0</v>
      </c>
      <c r="AO83" s="21">
        <v>5117</v>
      </c>
      <c r="AP83" s="21">
        <v>70717</v>
      </c>
      <c r="AQ83" s="21">
        <v>13505</v>
      </c>
      <c r="AR83" s="21">
        <v>0</v>
      </c>
      <c r="AS83" s="21">
        <v>3890</v>
      </c>
      <c r="AT83" s="21">
        <v>4292</v>
      </c>
      <c r="AU83" s="21">
        <v>3798</v>
      </c>
      <c r="AV83" s="21">
        <v>61550</v>
      </c>
      <c r="AW83" s="21">
        <v>66712</v>
      </c>
      <c r="AX83" s="21">
        <v>51347</v>
      </c>
      <c r="AY83" s="21">
        <v>9251</v>
      </c>
      <c r="AZ83" s="21">
        <v>0</v>
      </c>
      <c r="BA83" s="21">
        <v>0</v>
      </c>
      <c r="BB83" s="21">
        <v>0</v>
      </c>
      <c r="BC83" s="21">
        <v>0</v>
      </c>
      <c r="BD83" s="21">
        <v>0</v>
      </c>
      <c r="BE83" s="21">
        <v>0</v>
      </c>
      <c r="BF83" s="21">
        <v>0</v>
      </c>
      <c r="BG83" s="14">
        <v>5000</v>
      </c>
      <c r="BH83" s="14">
        <v>0</v>
      </c>
      <c r="BI83" s="21">
        <v>0</v>
      </c>
      <c r="BJ83" s="21">
        <v>0</v>
      </c>
      <c r="BK83" s="21">
        <v>0</v>
      </c>
    </row>
    <row r="84" spans="1:63">
      <c r="A84" s="14">
        <v>2055</v>
      </c>
      <c r="B84" s="14" t="s">
        <v>107</v>
      </c>
      <c r="C84" s="21">
        <v>50702.95</v>
      </c>
      <c r="D84" s="21">
        <v>0</v>
      </c>
      <c r="E84" s="21">
        <v>-1997.19</v>
      </c>
      <c r="F84" s="21">
        <f t="shared" si="1"/>
        <v>48705.759999999995</v>
      </c>
      <c r="G84" s="21">
        <v>1196161</v>
      </c>
      <c r="H84" s="21">
        <v>0</v>
      </c>
      <c r="I84" s="21">
        <v>36178</v>
      </c>
      <c r="J84" s="21">
        <v>0</v>
      </c>
      <c r="K84" s="21">
        <v>100100</v>
      </c>
      <c r="L84" s="21">
        <v>15820</v>
      </c>
      <c r="M84" s="21">
        <v>740</v>
      </c>
      <c r="N84" s="21">
        <v>12448</v>
      </c>
      <c r="O84" s="21">
        <v>21225</v>
      </c>
      <c r="P84" s="21">
        <v>6156</v>
      </c>
      <c r="Q84" s="21">
        <v>0</v>
      </c>
      <c r="R84" s="21">
        <v>7769</v>
      </c>
      <c r="S84" s="21">
        <v>1640</v>
      </c>
      <c r="T84" s="21">
        <v>0</v>
      </c>
      <c r="U84" s="21">
        <v>0</v>
      </c>
      <c r="V84" s="21">
        <v>0</v>
      </c>
      <c r="W84" s="21">
        <v>23718</v>
      </c>
      <c r="X84" s="21">
        <v>590298</v>
      </c>
      <c r="Y84" s="21">
        <v>-270</v>
      </c>
      <c r="Z84" s="21">
        <v>286229</v>
      </c>
      <c r="AA84" s="21">
        <v>29211</v>
      </c>
      <c r="AB84" s="21">
        <v>56135</v>
      </c>
      <c r="AC84" s="21">
        <v>0</v>
      </c>
      <c r="AD84" s="21">
        <v>25509</v>
      </c>
      <c r="AE84" s="21">
        <v>8005</v>
      </c>
      <c r="AF84" s="21">
        <v>2025</v>
      </c>
      <c r="AG84" s="21">
        <v>11535</v>
      </c>
      <c r="AH84" s="21">
        <v>1858</v>
      </c>
      <c r="AI84" s="21">
        <v>36663</v>
      </c>
      <c r="AJ84" s="21">
        <v>4492</v>
      </c>
      <c r="AK84" s="21">
        <v>17491</v>
      </c>
      <c r="AL84" s="21">
        <v>3680</v>
      </c>
      <c r="AM84" s="21">
        <v>20731</v>
      </c>
      <c r="AN84" s="21">
        <v>16147</v>
      </c>
      <c r="AO84" s="21">
        <v>10162</v>
      </c>
      <c r="AP84" s="21">
        <v>42642</v>
      </c>
      <c r="AQ84" s="21">
        <v>12156</v>
      </c>
      <c r="AR84" s="21">
        <v>0</v>
      </c>
      <c r="AS84" s="21">
        <v>7952</v>
      </c>
      <c r="AT84" s="21">
        <v>5414</v>
      </c>
      <c r="AU84" s="21">
        <v>2435</v>
      </c>
      <c r="AV84" s="21">
        <v>55938</v>
      </c>
      <c r="AW84" s="21">
        <v>69041</v>
      </c>
      <c r="AX84" s="21">
        <v>13950</v>
      </c>
      <c r="AY84" s="21">
        <v>44885</v>
      </c>
      <c r="AZ84" s="21">
        <v>0</v>
      </c>
      <c r="BA84" s="21">
        <v>15531</v>
      </c>
      <c r="BB84" s="21">
        <v>1</v>
      </c>
      <c r="BC84" s="21">
        <v>0</v>
      </c>
      <c r="BD84" s="21">
        <v>6408</v>
      </c>
      <c r="BE84" s="21">
        <v>0</v>
      </c>
      <c r="BF84" s="21">
        <v>15531</v>
      </c>
      <c r="BG84" s="14">
        <v>5000</v>
      </c>
      <c r="BH84" s="14">
        <v>0</v>
      </c>
      <c r="BI84" s="21">
        <v>0</v>
      </c>
      <c r="BJ84" s="21">
        <v>0</v>
      </c>
      <c r="BK84" s="21">
        <v>19939</v>
      </c>
    </row>
    <row r="85" spans="1:63">
      <c r="A85" s="14">
        <v>2057</v>
      </c>
      <c r="B85" s="14" t="s">
        <v>108</v>
      </c>
      <c r="C85" s="21">
        <v>153241.24</v>
      </c>
      <c r="D85" s="21">
        <v>37514</v>
      </c>
      <c r="E85" s="21">
        <v>11270.97</v>
      </c>
      <c r="F85" s="21">
        <f t="shared" si="1"/>
        <v>202026.21</v>
      </c>
      <c r="G85" s="21">
        <v>1850974</v>
      </c>
      <c r="H85" s="21">
        <v>0</v>
      </c>
      <c r="I85" s="21">
        <v>107513</v>
      </c>
      <c r="J85" s="21">
        <v>0</v>
      </c>
      <c r="K85" s="21">
        <v>209264</v>
      </c>
      <c r="L85" s="21">
        <v>3240</v>
      </c>
      <c r="M85" s="21">
        <v>6210</v>
      </c>
      <c r="N85" s="21">
        <v>30268</v>
      </c>
      <c r="O85" s="21">
        <v>28923</v>
      </c>
      <c r="P85" s="21">
        <v>11354</v>
      </c>
      <c r="Q85" s="21">
        <v>1275</v>
      </c>
      <c r="R85" s="21">
        <v>9611</v>
      </c>
      <c r="S85" s="21">
        <v>10965</v>
      </c>
      <c r="T85" s="21">
        <v>0</v>
      </c>
      <c r="U85" s="21">
        <v>406407</v>
      </c>
      <c r="V85" s="21">
        <v>80957</v>
      </c>
      <c r="W85" s="21">
        <v>40915</v>
      </c>
      <c r="X85" s="21">
        <v>878481</v>
      </c>
      <c r="Y85" s="21">
        <v>0</v>
      </c>
      <c r="Z85" s="21">
        <v>532079</v>
      </c>
      <c r="AA85" s="21">
        <v>58823</v>
      </c>
      <c r="AB85" s="21">
        <v>92032</v>
      </c>
      <c r="AC85" s="21">
        <v>0</v>
      </c>
      <c r="AD85" s="21">
        <v>63112</v>
      </c>
      <c r="AE85" s="21">
        <v>20386</v>
      </c>
      <c r="AF85" s="21">
        <v>6304</v>
      </c>
      <c r="AG85" s="21">
        <v>5975</v>
      </c>
      <c r="AH85" s="21">
        <v>6368</v>
      </c>
      <c r="AI85" s="21">
        <v>22670</v>
      </c>
      <c r="AJ85" s="21">
        <v>6203</v>
      </c>
      <c r="AK85" s="21">
        <v>6716</v>
      </c>
      <c r="AL85" s="21">
        <v>4751</v>
      </c>
      <c r="AM85" s="21">
        <v>29083</v>
      </c>
      <c r="AN85" s="21">
        <v>36574</v>
      </c>
      <c r="AO85" s="21">
        <v>6438</v>
      </c>
      <c r="AP85" s="21">
        <v>37426</v>
      </c>
      <c r="AQ85" s="21">
        <v>13295</v>
      </c>
      <c r="AR85" s="21">
        <v>0</v>
      </c>
      <c r="AS85" s="21">
        <v>16218</v>
      </c>
      <c r="AT85" s="21">
        <v>8934</v>
      </c>
      <c r="AU85" s="21">
        <v>5958</v>
      </c>
      <c r="AV85" s="21">
        <v>94929</v>
      </c>
      <c r="AW85" s="21">
        <v>195895</v>
      </c>
      <c r="AX85" s="21">
        <v>162268</v>
      </c>
      <c r="AY85" s="21">
        <v>25960</v>
      </c>
      <c r="AZ85" s="21">
        <v>0</v>
      </c>
      <c r="BA85" s="21">
        <v>27033</v>
      </c>
      <c r="BB85" s="21">
        <v>388777</v>
      </c>
      <c r="BC85" s="21">
        <v>102344</v>
      </c>
      <c r="BD85" s="21">
        <v>10557</v>
      </c>
      <c r="BE85" s="21">
        <v>0</v>
      </c>
      <c r="BF85" s="21">
        <v>27033</v>
      </c>
      <c r="BG85" s="14">
        <v>5000</v>
      </c>
      <c r="BH85" s="14">
        <v>0</v>
      </c>
      <c r="BI85" s="21">
        <v>3662</v>
      </c>
      <c r="BJ85" s="21">
        <v>45200</v>
      </c>
      <c r="BK85" s="21">
        <v>0</v>
      </c>
    </row>
    <row r="86" spans="1:63">
      <c r="A86" s="14">
        <v>2056</v>
      </c>
      <c r="B86" s="14" t="s">
        <v>109</v>
      </c>
      <c r="C86" s="21">
        <v>102772.43</v>
      </c>
      <c r="D86" s="21">
        <v>1668</v>
      </c>
      <c r="E86" s="21">
        <v>710.63</v>
      </c>
      <c r="F86" s="21">
        <f t="shared" si="1"/>
        <v>105151.06</v>
      </c>
      <c r="G86" s="21">
        <v>530252</v>
      </c>
      <c r="H86" s="21">
        <v>0</v>
      </c>
      <c r="I86" s="21">
        <v>34887</v>
      </c>
      <c r="J86" s="21">
        <v>0</v>
      </c>
      <c r="K86" s="21">
        <v>77916</v>
      </c>
      <c r="L86" s="21">
        <v>0</v>
      </c>
      <c r="M86" s="21">
        <v>5001</v>
      </c>
      <c r="N86" s="21">
        <v>4646</v>
      </c>
      <c r="O86" s="21">
        <v>8919</v>
      </c>
      <c r="P86" s="21">
        <v>3488</v>
      </c>
      <c r="Q86" s="21">
        <v>0</v>
      </c>
      <c r="R86" s="21">
        <v>12631</v>
      </c>
      <c r="S86" s="21">
        <v>19644</v>
      </c>
      <c r="T86" s="21">
        <v>0</v>
      </c>
      <c r="U86" s="21">
        <v>0</v>
      </c>
      <c r="V86" s="21">
        <v>764</v>
      </c>
      <c r="W86" s="21">
        <v>3607</v>
      </c>
      <c r="X86" s="21">
        <v>267363</v>
      </c>
      <c r="Y86" s="21">
        <v>3494</v>
      </c>
      <c r="Z86" s="21">
        <v>168403</v>
      </c>
      <c r="AA86" s="21">
        <v>51039</v>
      </c>
      <c r="AB86" s="21">
        <v>24742</v>
      </c>
      <c r="AC86" s="21">
        <v>0</v>
      </c>
      <c r="AD86" s="21">
        <v>5170</v>
      </c>
      <c r="AE86" s="21">
        <v>21329</v>
      </c>
      <c r="AF86" s="21">
        <v>1306</v>
      </c>
      <c r="AG86" s="21">
        <v>11806</v>
      </c>
      <c r="AH86" s="21">
        <v>3102</v>
      </c>
      <c r="AI86" s="21">
        <v>27560</v>
      </c>
      <c r="AJ86" s="21">
        <v>2800</v>
      </c>
      <c r="AK86" s="21">
        <v>2339</v>
      </c>
      <c r="AL86" s="21">
        <v>3057</v>
      </c>
      <c r="AM86" s="21">
        <v>11142</v>
      </c>
      <c r="AN86" s="21">
        <v>9360</v>
      </c>
      <c r="AO86" s="21">
        <v>1663</v>
      </c>
      <c r="AP86" s="21">
        <v>48177</v>
      </c>
      <c r="AQ86" s="21">
        <v>40386</v>
      </c>
      <c r="AR86" s="21">
        <v>0</v>
      </c>
      <c r="AS86" s="21">
        <v>8313</v>
      </c>
      <c r="AT86" s="21">
        <v>3519</v>
      </c>
      <c r="AU86" s="21">
        <v>1433</v>
      </c>
      <c r="AV86" s="21">
        <v>15602</v>
      </c>
      <c r="AW86" s="21">
        <v>16603</v>
      </c>
      <c r="AX86" s="21">
        <v>26839</v>
      </c>
      <c r="AY86" s="21">
        <v>5978</v>
      </c>
      <c r="AZ86" s="21">
        <v>0</v>
      </c>
      <c r="BA86" s="21">
        <v>25730</v>
      </c>
      <c r="BB86" s="21">
        <v>0</v>
      </c>
      <c r="BC86" s="21">
        <v>0</v>
      </c>
      <c r="BD86" s="21">
        <v>2905</v>
      </c>
      <c r="BE86" s="21">
        <v>0</v>
      </c>
      <c r="BF86" s="21">
        <v>25730</v>
      </c>
      <c r="BG86" s="14">
        <v>5000</v>
      </c>
      <c r="BH86" s="14">
        <v>0</v>
      </c>
      <c r="BI86" s="21">
        <v>10030</v>
      </c>
      <c r="BJ86" s="21">
        <v>0</v>
      </c>
      <c r="BK86" s="21">
        <v>19315</v>
      </c>
    </row>
    <row r="87" spans="1:63">
      <c r="A87" s="14">
        <v>2076</v>
      </c>
      <c r="B87" s="14" t="s">
        <v>110</v>
      </c>
      <c r="C87" s="21">
        <v>269496.84000000003</v>
      </c>
      <c r="D87" s="21">
        <v>0</v>
      </c>
      <c r="E87" s="21">
        <v>27327.74</v>
      </c>
      <c r="F87" s="21">
        <f t="shared" si="1"/>
        <v>296824.58</v>
      </c>
      <c r="G87" s="21">
        <v>2207827</v>
      </c>
      <c r="H87" s="21">
        <v>0</v>
      </c>
      <c r="I87" s="21">
        <v>36811</v>
      </c>
      <c r="J87" s="21">
        <v>0</v>
      </c>
      <c r="K87" s="21">
        <v>251480</v>
      </c>
      <c r="L87" s="21">
        <v>9370</v>
      </c>
      <c r="M87" s="21">
        <v>745</v>
      </c>
      <c r="N87" s="21">
        <v>98288</v>
      </c>
      <c r="O87" s="21">
        <v>37385</v>
      </c>
      <c r="P87" s="21">
        <v>17781</v>
      </c>
      <c r="Q87" s="21">
        <v>0</v>
      </c>
      <c r="R87" s="21">
        <v>16067</v>
      </c>
      <c r="S87" s="21">
        <v>3246</v>
      </c>
      <c r="T87" s="21">
        <v>0</v>
      </c>
      <c r="U87" s="21">
        <v>0</v>
      </c>
      <c r="V87" s="21">
        <v>0</v>
      </c>
      <c r="W87" s="21">
        <v>38830</v>
      </c>
      <c r="X87" s="21">
        <v>1125868</v>
      </c>
      <c r="Y87" s="21">
        <v>13339</v>
      </c>
      <c r="Z87" s="21">
        <v>462508</v>
      </c>
      <c r="AA87" s="21">
        <v>44521</v>
      </c>
      <c r="AB87" s="21">
        <v>145671</v>
      </c>
      <c r="AC87" s="21">
        <v>0</v>
      </c>
      <c r="AD87" s="21">
        <v>51397</v>
      </c>
      <c r="AE87" s="21">
        <v>22381</v>
      </c>
      <c r="AF87" s="21">
        <v>11579</v>
      </c>
      <c r="AG87" s="21">
        <v>18189</v>
      </c>
      <c r="AH87" s="21">
        <v>8511</v>
      </c>
      <c r="AI87" s="21">
        <v>52654</v>
      </c>
      <c r="AJ87" s="21">
        <v>5578</v>
      </c>
      <c r="AK87" s="21">
        <v>34753</v>
      </c>
      <c r="AL87" s="21">
        <v>8524</v>
      </c>
      <c r="AM87" s="21">
        <v>35081</v>
      </c>
      <c r="AN87" s="21">
        <v>25064</v>
      </c>
      <c r="AO87" s="21">
        <v>11822</v>
      </c>
      <c r="AP87" s="21">
        <v>90895</v>
      </c>
      <c r="AQ87" s="21">
        <v>33575</v>
      </c>
      <c r="AR87" s="21">
        <v>0</v>
      </c>
      <c r="AS87" s="21">
        <v>19922</v>
      </c>
      <c r="AT87" s="21">
        <v>9350</v>
      </c>
      <c r="AU87" s="21">
        <v>16468</v>
      </c>
      <c r="AV87" s="21">
        <v>105471</v>
      </c>
      <c r="AW87" s="21">
        <v>51838</v>
      </c>
      <c r="AX87" s="21">
        <v>171711</v>
      </c>
      <c r="AY87" s="21">
        <v>2571</v>
      </c>
      <c r="AZ87" s="21">
        <v>0</v>
      </c>
      <c r="BA87" s="21">
        <v>15157</v>
      </c>
      <c r="BB87" s="21">
        <v>0</v>
      </c>
      <c r="BC87" s="21">
        <v>0</v>
      </c>
      <c r="BD87" s="21">
        <v>9208</v>
      </c>
      <c r="BE87" s="21">
        <v>0</v>
      </c>
      <c r="BF87" s="21">
        <v>15157</v>
      </c>
      <c r="BG87" s="14">
        <v>5000</v>
      </c>
      <c r="BH87" s="14">
        <v>0</v>
      </c>
      <c r="BI87" s="21">
        <v>0</v>
      </c>
      <c r="BJ87" s="21">
        <v>0</v>
      </c>
      <c r="BK87" s="21">
        <v>15157</v>
      </c>
    </row>
    <row r="88" spans="1:63">
      <c r="A88" s="14">
        <v>2060</v>
      </c>
      <c r="B88" s="14" t="s">
        <v>111</v>
      </c>
      <c r="C88" s="21">
        <v>263008.78000000003</v>
      </c>
      <c r="D88" s="21">
        <v>0</v>
      </c>
      <c r="E88" s="21">
        <v>1473.88</v>
      </c>
      <c r="F88" s="21">
        <f t="shared" si="1"/>
        <v>264482.66000000003</v>
      </c>
      <c r="G88" s="21">
        <v>2338928</v>
      </c>
      <c r="H88" s="21">
        <v>0</v>
      </c>
      <c r="I88" s="21">
        <v>32128</v>
      </c>
      <c r="J88" s="21">
        <v>0</v>
      </c>
      <c r="K88" s="21">
        <v>245700</v>
      </c>
      <c r="L88" s="21">
        <v>1650</v>
      </c>
      <c r="M88" s="21">
        <v>1370</v>
      </c>
      <c r="N88" s="21">
        <v>90042</v>
      </c>
      <c r="O88" s="21">
        <v>42881</v>
      </c>
      <c r="P88" s="21">
        <v>19525</v>
      </c>
      <c r="Q88" s="21">
        <v>0</v>
      </c>
      <c r="R88" s="21">
        <v>22942</v>
      </c>
      <c r="S88" s="21">
        <v>6722</v>
      </c>
      <c r="T88" s="21">
        <v>0</v>
      </c>
      <c r="U88" s="21">
        <v>0</v>
      </c>
      <c r="V88" s="21">
        <v>0</v>
      </c>
      <c r="W88" s="21">
        <v>38458</v>
      </c>
      <c r="X88" s="21">
        <v>1082405</v>
      </c>
      <c r="Y88" s="21">
        <v>0</v>
      </c>
      <c r="Z88" s="21">
        <v>557516</v>
      </c>
      <c r="AA88" s="21">
        <v>57443</v>
      </c>
      <c r="AB88" s="21">
        <v>75258</v>
      </c>
      <c r="AC88" s="21">
        <v>0</v>
      </c>
      <c r="AD88" s="21">
        <v>58618</v>
      </c>
      <c r="AE88" s="21">
        <v>5472</v>
      </c>
      <c r="AF88" s="21">
        <v>14346</v>
      </c>
      <c r="AG88" s="21">
        <v>22169</v>
      </c>
      <c r="AH88" s="21">
        <v>2200</v>
      </c>
      <c r="AI88" s="21">
        <v>142023</v>
      </c>
      <c r="AJ88" s="21">
        <v>6345</v>
      </c>
      <c r="AK88" s="21">
        <v>39560</v>
      </c>
      <c r="AL88" s="21">
        <v>3415</v>
      </c>
      <c r="AM88" s="21">
        <v>69285</v>
      </c>
      <c r="AN88" s="21">
        <v>18557</v>
      </c>
      <c r="AO88" s="21">
        <v>13750</v>
      </c>
      <c r="AP88" s="21">
        <v>116063</v>
      </c>
      <c r="AQ88" s="21">
        <v>24090</v>
      </c>
      <c r="AR88" s="21">
        <v>0</v>
      </c>
      <c r="AS88" s="21">
        <v>18070</v>
      </c>
      <c r="AT88" s="21">
        <v>23377</v>
      </c>
      <c r="AU88" s="21">
        <v>35407</v>
      </c>
      <c r="AV88" s="21">
        <v>114426</v>
      </c>
      <c r="AW88" s="21">
        <v>55990</v>
      </c>
      <c r="AX88" s="21">
        <v>28908</v>
      </c>
      <c r="AY88" s="21">
        <v>42989</v>
      </c>
      <c r="AZ88" s="21">
        <v>0</v>
      </c>
      <c r="BA88" s="21">
        <v>152334</v>
      </c>
      <c r="BB88" s="21">
        <v>0</v>
      </c>
      <c r="BC88" s="21">
        <v>0</v>
      </c>
      <c r="BD88" s="21">
        <v>8612</v>
      </c>
      <c r="BE88" s="21">
        <v>0</v>
      </c>
      <c r="BF88" s="21">
        <v>152334</v>
      </c>
      <c r="BG88" s="14">
        <v>5000</v>
      </c>
      <c r="BH88" s="14">
        <v>0</v>
      </c>
      <c r="BI88" s="21">
        <v>134075</v>
      </c>
      <c r="BJ88" s="21">
        <v>9900</v>
      </c>
      <c r="BK88" s="21">
        <v>18445</v>
      </c>
    </row>
    <row r="89" spans="1:63">
      <c r="A89" s="14">
        <v>3518</v>
      </c>
      <c r="B89" s="14" t="s">
        <v>112</v>
      </c>
      <c r="C89" s="21">
        <v>220005.51</v>
      </c>
      <c r="D89" s="21">
        <v>0</v>
      </c>
      <c r="E89" s="21">
        <v>20054.32</v>
      </c>
      <c r="F89" s="21">
        <f t="shared" si="1"/>
        <v>240059.83000000002</v>
      </c>
      <c r="G89" s="21">
        <v>2222173</v>
      </c>
      <c r="H89" s="21">
        <v>0</v>
      </c>
      <c r="I89" s="21">
        <v>116713</v>
      </c>
      <c r="J89" s="21">
        <v>0</v>
      </c>
      <c r="K89" s="21">
        <v>306100</v>
      </c>
      <c r="L89" s="21">
        <v>3550</v>
      </c>
      <c r="M89" s="21">
        <v>5077</v>
      </c>
      <c r="N89" s="21">
        <v>22128</v>
      </c>
      <c r="O89" s="21">
        <v>25560</v>
      </c>
      <c r="P89" s="21">
        <v>12197</v>
      </c>
      <c r="Q89" s="21">
        <v>14060</v>
      </c>
      <c r="R89" s="21">
        <v>14559</v>
      </c>
      <c r="S89" s="21">
        <v>9138</v>
      </c>
      <c r="T89" s="21">
        <v>0</v>
      </c>
      <c r="U89" s="21">
        <v>0</v>
      </c>
      <c r="V89" s="21">
        <v>0</v>
      </c>
      <c r="W89" s="21">
        <v>35698</v>
      </c>
      <c r="X89" s="21">
        <v>1012701</v>
      </c>
      <c r="Y89" s="21">
        <v>16806</v>
      </c>
      <c r="Z89" s="21">
        <v>672368</v>
      </c>
      <c r="AA89" s="21">
        <v>42372</v>
      </c>
      <c r="AB89" s="21">
        <v>56764</v>
      </c>
      <c r="AC89" s="21">
        <v>0</v>
      </c>
      <c r="AD89" s="21">
        <v>76431</v>
      </c>
      <c r="AE89" s="21">
        <v>11724</v>
      </c>
      <c r="AF89" s="21">
        <v>21829</v>
      </c>
      <c r="AG89" s="21">
        <v>19698</v>
      </c>
      <c r="AH89" s="21">
        <v>1940</v>
      </c>
      <c r="AI89" s="21">
        <v>52739</v>
      </c>
      <c r="AJ89" s="21">
        <v>2028</v>
      </c>
      <c r="AK89" s="21">
        <v>69990</v>
      </c>
      <c r="AL89" s="21">
        <v>4002</v>
      </c>
      <c r="AM89" s="21">
        <v>41792</v>
      </c>
      <c r="AN89" s="21">
        <v>26028</v>
      </c>
      <c r="AO89" s="21">
        <v>10407</v>
      </c>
      <c r="AP89" s="21">
        <v>97085</v>
      </c>
      <c r="AQ89" s="21">
        <v>37160</v>
      </c>
      <c r="AR89" s="21">
        <v>0</v>
      </c>
      <c r="AS89" s="21">
        <v>18996</v>
      </c>
      <c r="AT89" s="21">
        <v>11325</v>
      </c>
      <c r="AU89" s="21">
        <v>28792</v>
      </c>
      <c r="AV89" s="21">
        <v>106424</v>
      </c>
      <c r="AW89" s="21">
        <v>166621</v>
      </c>
      <c r="AX89" s="21">
        <v>123706</v>
      </c>
      <c r="AY89" s="21">
        <v>42090</v>
      </c>
      <c r="AZ89" s="21">
        <v>0</v>
      </c>
      <c r="BA89" s="21">
        <v>47329</v>
      </c>
      <c r="BB89" s="21">
        <v>0</v>
      </c>
      <c r="BC89" s="21">
        <v>0</v>
      </c>
      <c r="BD89" s="21">
        <v>9012</v>
      </c>
      <c r="BE89" s="21">
        <v>0</v>
      </c>
      <c r="BF89" s="21">
        <v>47329</v>
      </c>
      <c r="BG89" s="14">
        <v>5000</v>
      </c>
      <c r="BH89" s="14">
        <v>0</v>
      </c>
      <c r="BI89" s="21">
        <v>0</v>
      </c>
      <c r="BJ89" s="21">
        <v>6099</v>
      </c>
      <c r="BK89" s="21">
        <v>35754</v>
      </c>
    </row>
    <row r="90" spans="1:63">
      <c r="A90" s="14">
        <v>2054</v>
      </c>
      <c r="B90" s="14" t="s">
        <v>113</v>
      </c>
      <c r="C90" s="21">
        <v>129863.06</v>
      </c>
      <c r="D90" s="21">
        <v>0</v>
      </c>
      <c r="E90" s="21">
        <v>1.28</v>
      </c>
      <c r="F90" s="21">
        <f t="shared" si="1"/>
        <v>129864.34</v>
      </c>
      <c r="G90" s="21">
        <v>994571</v>
      </c>
      <c r="H90" s="21">
        <v>0</v>
      </c>
      <c r="I90" s="21">
        <v>57435</v>
      </c>
      <c r="J90" s="21">
        <v>0</v>
      </c>
      <c r="K90" s="21">
        <v>24000</v>
      </c>
      <c r="L90" s="21">
        <v>2100</v>
      </c>
      <c r="M90" s="21">
        <v>9795</v>
      </c>
      <c r="N90" s="21">
        <v>33906</v>
      </c>
      <c r="O90" s="21">
        <v>34527</v>
      </c>
      <c r="P90" s="21">
        <v>10086</v>
      </c>
      <c r="Q90" s="21">
        <v>2530</v>
      </c>
      <c r="R90" s="21">
        <v>42322</v>
      </c>
      <c r="S90" s="21">
        <v>5403</v>
      </c>
      <c r="T90" s="21">
        <v>0</v>
      </c>
      <c r="U90" s="21">
        <v>0</v>
      </c>
      <c r="V90" s="21">
        <v>0</v>
      </c>
      <c r="W90" s="21">
        <v>34517</v>
      </c>
      <c r="X90" s="21">
        <v>521946</v>
      </c>
      <c r="Y90" s="21">
        <v>9000</v>
      </c>
      <c r="Z90" s="21">
        <v>265171</v>
      </c>
      <c r="AA90" s="21">
        <v>26838</v>
      </c>
      <c r="AB90" s="21">
        <v>38647</v>
      </c>
      <c r="AC90" s="21">
        <v>2371</v>
      </c>
      <c r="AD90" s="21">
        <v>28966</v>
      </c>
      <c r="AE90" s="21">
        <v>5792</v>
      </c>
      <c r="AF90" s="21">
        <v>6491</v>
      </c>
      <c r="AG90" s="21">
        <v>8800</v>
      </c>
      <c r="AH90" s="21">
        <v>1012</v>
      </c>
      <c r="AI90" s="21">
        <v>16004</v>
      </c>
      <c r="AJ90" s="21">
        <v>7868</v>
      </c>
      <c r="AK90" s="21">
        <v>11278</v>
      </c>
      <c r="AL90" s="21">
        <v>2459</v>
      </c>
      <c r="AM90" s="21">
        <v>11089</v>
      </c>
      <c r="AN90" s="21">
        <v>13376</v>
      </c>
      <c r="AO90" s="21">
        <v>4041</v>
      </c>
      <c r="AP90" s="21">
        <v>64968</v>
      </c>
      <c r="AQ90" s="21">
        <v>17453</v>
      </c>
      <c r="AR90" s="21">
        <v>0</v>
      </c>
      <c r="AS90" s="21">
        <v>7297</v>
      </c>
      <c r="AT90" s="21">
        <v>5302</v>
      </c>
      <c r="AU90" s="21">
        <v>11093</v>
      </c>
      <c r="AV90" s="21">
        <v>53767</v>
      </c>
      <c r="AW90" s="21">
        <v>19879</v>
      </c>
      <c r="AX90" s="21">
        <v>44915</v>
      </c>
      <c r="AY90" s="21">
        <v>26136</v>
      </c>
      <c r="AZ90" s="21">
        <v>0</v>
      </c>
      <c r="BA90" s="21">
        <v>0</v>
      </c>
      <c r="BB90" s="21">
        <v>1</v>
      </c>
      <c r="BC90" s="21">
        <v>0</v>
      </c>
      <c r="BD90" s="21">
        <v>6687</v>
      </c>
      <c r="BE90" s="21">
        <v>0</v>
      </c>
      <c r="BF90" s="21">
        <v>0</v>
      </c>
      <c r="BG90" s="14">
        <v>5000</v>
      </c>
      <c r="BH90" s="14">
        <v>0</v>
      </c>
      <c r="BI90" s="21">
        <v>0</v>
      </c>
      <c r="BJ90" s="21">
        <v>0</v>
      </c>
      <c r="BK90" s="21">
        <v>0</v>
      </c>
    </row>
    <row r="91" spans="1:63">
      <c r="A91" s="14">
        <v>5408</v>
      </c>
      <c r="B91" s="10" t="s">
        <v>114</v>
      </c>
      <c r="C91" s="21">
        <v>151503.51</v>
      </c>
      <c r="D91" s="21">
        <v>0</v>
      </c>
      <c r="E91" s="21">
        <v>-0.15</v>
      </c>
      <c r="F91" s="21">
        <f t="shared" si="1"/>
        <v>151503.36000000002</v>
      </c>
      <c r="G91" s="21">
        <v>3610414</v>
      </c>
      <c r="H91" s="21">
        <v>1282404</v>
      </c>
      <c r="I91" s="21">
        <v>128734</v>
      </c>
      <c r="J91" s="21">
        <v>0</v>
      </c>
      <c r="K91" s="21">
        <v>222000</v>
      </c>
      <c r="L91" s="21">
        <v>241297</v>
      </c>
      <c r="M91" s="21">
        <v>14472</v>
      </c>
      <c r="N91" s="21">
        <v>44068</v>
      </c>
      <c r="O91" s="21">
        <v>35508</v>
      </c>
      <c r="P91" s="21">
        <v>0</v>
      </c>
      <c r="Q91" s="21">
        <v>0</v>
      </c>
      <c r="R91" s="21">
        <v>77306</v>
      </c>
      <c r="S91" s="21">
        <v>400</v>
      </c>
      <c r="T91" s="21">
        <v>0</v>
      </c>
      <c r="U91" s="21">
        <v>0</v>
      </c>
      <c r="V91" s="21">
        <v>0</v>
      </c>
      <c r="W91" s="21">
        <v>23500</v>
      </c>
      <c r="X91" s="21">
        <v>2996968</v>
      </c>
      <c r="Y91" s="21">
        <v>18668</v>
      </c>
      <c r="Z91" s="21">
        <v>784475</v>
      </c>
      <c r="AA91" s="21">
        <v>148329</v>
      </c>
      <c r="AB91" s="21">
        <v>380859</v>
      </c>
      <c r="AC91" s="21">
        <v>0</v>
      </c>
      <c r="AD91" s="21">
        <v>8486</v>
      </c>
      <c r="AE91" s="21">
        <v>66997</v>
      </c>
      <c r="AF91" s="21">
        <v>44987</v>
      </c>
      <c r="AG91" s="21">
        <v>1090</v>
      </c>
      <c r="AH91" s="21">
        <v>11098</v>
      </c>
      <c r="AI91" s="21">
        <v>196046</v>
      </c>
      <c r="AJ91" s="21">
        <v>7819</v>
      </c>
      <c r="AK91" s="21">
        <v>85785</v>
      </c>
      <c r="AL91" s="21">
        <v>8720</v>
      </c>
      <c r="AM91" s="21">
        <v>88702</v>
      </c>
      <c r="AN91" s="21">
        <v>0</v>
      </c>
      <c r="AO91" s="21">
        <v>52698</v>
      </c>
      <c r="AP91" s="21">
        <v>222898</v>
      </c>
      <c r="AQ91" s="21">
        <v>96099</v>
      </c>
      <c r="AR91" s="21">
        <v>130901</v>
      </c>
      <c r="AS91" s="21">
        <v>118754</v>
      </c>
      <c r="AT91" s="21">
        <v>46792</v>
      </c>
      <c r="AU91" s="21">
        <v>0</v>
      </c>
      <c r="AV91" s="21">
        <v>99043</v>
      </c>
      <c r="AW91" s="21">
        <v>60775</v>
      </c>
      <c r="AX91" s="21">
        <v>70751</v>
      </c>
      <c r="AY91" s="21">
        <v>34061</v>
      </c>
      <c r="AZ91" s="21">
        <v>0</v>
      </c>
      <c r="BA91" s="21">
        <v>0</v>
      </c>
      <c r="BB91" s="21">
        <v>0</v>
      </c>
      <c r="BC91" s="21">
        <v>0</v>
      </c>
      <c r="BD91" s="21">
        <v>163724</v>
      </c>
      <c r="BE91" s="21">
        <v>0</v>
      </c>
      <c r="BF91" s="21">
        <v>0</v>
      </c>
      <c r="BG91" s="14">
        <v>5000</v>
      </c>
      <c r="BH91" s="14">
        <v>0</v>
      </c>
      <c r="BI91" s="21">
        <v>58025</v>
      </c>
      <c r="BJ91" s="21">
        <v>0</v>
      </c>
      <c r="BK91" s="21">
        <v>105698</v>
      </c>
    </row>
    <row r="92" spans="1:63">
      <c r="A92" s="14">
        <v>4003</v>
      </c>
      <c r="B92" s="14" t="s">
        <v>116</v>
      </c>
      <c r="C92" s="21">
        <v>241969.83</v>
      </c>
      <c r="D92" s="21">
        <v>0</v>
      </c>
      <c r="E92" s="21">
        <v>8029.73</v>
      </c>
      <c r="F92" s="21">
        <f t="shared" si="1"/>
        <v>249999.56</v>
      </c>
      <c r="G92" s="21">
        <v>4764278</v>
      </c>
      <c r="H92" s="21">
        <v>0</v>
      </c>
      <c r="I92" s="21">
        <v>212485</v>
      </c>
      <c r="J92" s="21">
        <v>0</v>
      </c>
      <c r="K92" s="21">
        <v>389816</v>
      </c>
      <c r="L92" s="21">
        <v>8586</v>
      </c>
      <c r="M92" s="21">
        <v>0</v>
      </c>
      <c r="N92" s="21">
        <v>44422</v>
      </c>
      <c r="O92" s="21">
        <v>0</v>
      </c>
      <c r="P92" s="21">
        <v>0</v>
      </c>
      <c r="Q92" s="21">
        <v>0</v>
      </c>
      <c r="R92" s="21">
        <v>14338</v>
      </c>
      <c r="S92" s="21">
        <v>0</v>
      </c>
      <c r="T92" s="21">
        <v>0</v>
      </c>
      <c r="U92" s="21">
        <v>0</v>
      </c>
      <c r="V92" s="21">
        <v>0</v>
      </c>
      <c r="W92" s="21">
        <v>29273</v>
      </c>
      <c r="X92" s="21">
        <v>2640036</v>
      </c>
      <c r="Y92" s="21">
        <v>0</v>
      </c>
      <c r="Z92" s="21">
        <v>773762</v>
      </c>
      <c r="AA92" s="21">
        <v>99912</v>
      </c>
      <c r="AB92" s="21">
        <v>402744</v>
      </c>
      <c r="AC92" s="21">
        <v>0</v>
      </c>
      <c r="AD92" s="21">
        <v>72578</v>
      </c>
      <c r="AE92" s="21">
        <v>91701</v>
      </c>
      <c r="AF92" s="21">
        <v>20893</v>
      </c>
      <c r="AG92" s="21">
        <v>1616</v>
      </c>
      <c r="AH92" s="21">
        <v>4583</v>
      </c>
      <c r="AI92" s="21">
        <v>94418</v>
      </c>
      <c r="AJ92" s="21">
        <v>8383</v>
      </c>
      <c r="AK92" s="21">
        <v>55304</v>
      </c>
      <c r="AL92" s="21">
        <v>5314</v>
      </c>
      <c r="AM92" s="21">
        <v>65711</v>
      </c>
      <c r="AN92" s="21">
        <v>55722</v>
      </c>
      <c r="AO92" s="21">
        <v>36429</v>
      </c>
      <c r="AP92" s="21">
        <v>155850</v>
      </c>
      <c r="AQ92" s="21">
        <v>77304</v>
      </c>
      <c r="AR92" s="21">
        <v>10708</v>
      </c>
      <c r="AS92" s="21">
        <v>61056</v>
      </c>
      <c r="AT92" s="21">
        <v>22679</v>
      </c>
      <c r="AU92" s="21">
        <v>0</v>
      </c>
      <c r="AV92" s="21">
        <v>65110</v>
      </c>
      <c r="AW92" s="21">
        <v>211865</v>
      </c>
      <c r="AX92" s="21">
        <v>64627</v>
      </c>
      <c r="AY92" s="21">
        <v>13320</v>
      </c>
      <c r="AZ92" s="21">
        <v>0</v>
      </c>
      <c r="BA92" s="21">
        <v>246000</v>
      </c>
      <c r="BB92" s="21">
        <v>0</v>
      </c>
      <c r="BC92" s="21">
        <v>0</v>
      </c>
      <c r="BD92" s="21">
        <v>17364</v>
      </c>
      <c r="BE92" s="21">
        <v>0</v>
      </c>
      <c r="BF92" s="21">
        <v>246000</v>
      </c>
      <c r="BG92" s="14">
        <v>5000</v>
      </c>
      <c r="BH92" s="14">
        <v>0</v>
      </c>
      <c r="BI92" s="21">
        <v>228573</v>
      </c>
      <c r="BJ92" s="21">
        <v>16814</v>
      </c>
      <c r="BK92" s="21">
        <v>23551</v>
      </c>
    </row>
    <row r="93" spans="1:63">
      <c r="A93" s="14">
        <v>5407</v>
      </c>
      <c r="B93" s="14" t="s">
        <v>120</v>
      </c>
      <c r="C93" s="21">
        <v>192677.07</v>
      </c>
      <c r="D93" s="21">
        <v>0</v>
      </c>
      <c r="E93" s="21">
        <v>0</v>
      </c>
      <c r="F93" s="21">
        <f t="shared" si="1"/>
        <v>192677.07</v>
      </c>
      <c r="G93" s="21">
        <v>4723505</v>
      </c>
      <c r="H93" s="21">
        <v>1175727</v>
      </c>
      <c r="I93" s="21">
        <v>199462</v>
      </c>
      <c r="J93" s="21">
        <v>0</v>
      </c>
      <c r="K93" s="21">
        <v>229706</v>
      </c>
      <c r="L93" s="21">
        <v>0</v>
      </c>
      <c r="M93" s="21">
        <v>0</v>
      </c>
      <c r="N93" s="21">
        <v>3575</v>
      </c>
      <c r="O93" s="21">
        <v>0</v>
      </c>
      <c r="P93" s="21">
        <v>0</v>
      </c>
      <c r="Q93" s="21">
        <v>0</v>
      </c>
      <c r="R93" s="21">
        <v>80440</v>
      </c>
      <c r="S93" s="21">
        <v>223858</v>
      </c>
      <c r="T93" s="21">
        <v>0</v>
      </c>
      <c r="U93" s="21">
        <v>0</v>
      </c>
      <c r="V93" s="21">
        <v>0</v>
      </c>
      <c r="W93" s="21">
        <v>8500</v>
      </c>
      <c r="X93" s="21">
        <v>3894397</v>
      </c>
      <c r="Y93" s="21">
        <v>0</v>
      </c>
      <c r="Z93" s="21">
        <v>772723</v>
      </c>
      <c r="AA93" s="21">
        <v>115597</v>
      </c>
      <c r="AB93" s="21">
        <v>388047</v>
      </c>
      <c r="AC93" s="21">
        <v>0</v>
      </c>
      <c r="AD93" s="21">
        <v>20423</v>
      </c>
      <c r="AE93" s="21">
        <v>44939</v>
      </c>
      <c r="AF93" s="21">
        <v>10367</v>
      </c>
      <c r="AG93" s="21">
        <v>1813</v>
      </c>
      <c r="AH93" s="21">
        <v>5373</v>
      </c>
      <c r="AI93" s="21">
        <v>67542</v>
      </c>
      <c r="AJ93" s="21">
        <v>13104</v>
      </c>
      <c r="AK93" s="21">
        <v>118034</v>
      </c>
      <c r="AL93" s="21">
        <v>10470</v>
      </c>
      <c r="AM93" s="21">
        <v>172415</v>
      </c>
      <c r="AN93" s="21">
        <v>0</v>
      </c>
      <c r="AO93" s="21">
        <v>29317</v>
      </c>
      <c r="AP93" s="21">
        <v>166356</v>
      </c>
      <c r="AQ93" s="21">
        <v>50830</v>
      </c>
      <c r="AR93" s="21">
        <v>107960</v>
      </c>
      <c r="AS93" s="21">
        <v>277964</v>
      </c>
      <c r="AT93" s="21">
        <v>48165</v>
      </c>
      <c r="AU93" s="21">
        <v>0</v>
      </c>
      <c r="AV93" s="21">
        <v>39308</v>
      </c>
      <c r="AW93" s="21">
        <v>238764</v>
      </c>
      <c r="AX93" s="21">
        <v>185116</v>
      </c>
      <c r="AY93" s="21">
        <v>58884</v>
      </c>
      <c r="AZ93" s="21">
        <v>0</v>
      </c>
      <c r="BA93" s="21">
        <v>0</v>
      </c>
      <c r="BB93" s="21">
        <v>0</v>
      </c>
      <c r="BC93" s="21">
        <v>0</v>
      </c>
      <c r="BD93" s="21">
        <v>0</v>
      </c>
      <c r="BE93" s="21">
        <v>0</v>
      </c>
      <c r="BF93" s="21">
        <v>0</v>
      </c>
      <c r="BG93" s="14">
        <v>5000</v>
      </c>
      <c r="BH93" s="14">
        <v>0</v>
      </c>
      <c r="BI93" s="21">
        <v>0</v>
      </c>
      <c r="BJ93" s="21">
        <v>0</v>
      </c>
      <c r="BK93" s="21">
        <v>0</v>
      </c>
    </row>
    <row r="94" spans="1:63">
      <c r="A94" s="14">
        <v>5403</v>
      </c>
      <c r="B94" s="14" t="s">
        <v>121</v>
      </c>
      <c r="C94" s="21">
        <v>336975.69</v>
      </c>
      <c r="D94" s="21">
        <v>0</v>
      </c>
      <c r="E94" s="21">
        <v>0</v>
      </c>
      <c r="F94" s="21">
        <f t="shared" si="1"/>
        <v>336975.69</v>
      </c>
      <c r="G94" s="21">
        <v>1782428</v>
      </c>
      <c r="H94" s="21">
        <v>371644</v>
      </c>
      <c r="I94" s="21">
        <v>77238</v>
      </c>
      <c r="J94" s="21">
        <v>0</v>
      </c>
      <c r="K94" s="21">
        <v>118460</v>
      </c>
      <c r="L94" s="21">
        <v>0</v>
      </c>
      <c r="M94" s="21">
        <v>1000</v>
      </c>
      <c r="N94" s="21">
        <v>61486</v>
      </c>
      <c r="O94" s="21">
        <v>0</v>
      </c>
      <c r="P94" s="21">
        <v>0</v>
      </c>
      <c r="Q94" s="21">
        <v>0</v>
      </c>
      <c r="R94" s="21">
        <v>6262</v>
      </c>
      <c r="S94" s="21">
        <v>15476</v>
      </c>
      <c r="T94" s="21">
        <v>0</v>
      </c>
      <c r="U94" s="21">
        <v>0</v>
      </c>
      <c r="V94" s="21">
        <v>0</v>
      </c>
      <c r="W94" s="21">
        <v>0</v>
      </c>
      <c r="X94" s="21">
        <v>961766</v>
      </c>
      <c r="Y94" s="21">
        <v>300864</v>
      </c>
      <c r="Z94" s="21">
        <v>190176</v>
      </c>
      <c r="AA94" s="21">
        <v>68984</v>
      </c>
      <c r="AB94" s="21">
        <v>154862</v>
      </c>
      <c r="AC94" s="21">
        <v>0</v>
      </c>
      <c r="AD94" s="21">
        <v>22676</v>
      </c>
      <c r="AE94" s="21">
        <v>4736</v>
      </c>
      <c r="AF94" s="21">
        <v>9478</v>
      </c>
      <c r="AG94" s="21">
        <v>542</v>
      </c>
      <c r="AH94" s="21">
        <v>1995</v>
      </c>
      <c r="AI94" s="21">
        <v>15234</v>
      </c>
      <c r="AJ94" s="21">
        <v>5979</v>
      </c>
      <c r="AK94" s="21">
        <v>57992</v>
      </c>
      <c r="AL94" s="21">
        <v>10998</v>
      </c>
      <c r="AM94" s="21">
        <v>41735</v>
      </c>
      <c r="AN94" s="21">
        <v>0</v>
      </c>
      <c r="AO94" s="21">
        <v>12167</v>
      </c>
      <c r="AP94" s="21">
        <v>75904</v>
      </c>
      <c r="AQ94" s="21">
        <v>60807</v>
      </c>
      <c r="AR94" s="21">
        <v>45748</v>
      </c>
      <c r="AS94" s="21">
        <v>13289</v>
      </c>
      <c r="AT94" s="21">
        <v>21503</v>
      </c>
      <c r="AU94" s="21">
        <v>9</v>
      </c>
      <c r="AV94" s="21">
        <v>18423</v>
      </c>
      <c r="AW94" s="21">
        <v>174636</v>
      </c>
      <c r="AX94" s="21">
        <v>60335</v>
      </c>
      <c r="AY94" s="21">
        <v>26696</v>
      </c>
      <c r="AZ94" s="21">
        <v>0</v>
      </c>
      <c r="BA94" s="21">
        <v>0</v>
      </c>
      <c r="BB94" s="21">
        <v>-1</v>
      </c>
      <c r="BC94" s="21">
        <v>0</v>
      </c>
      <c r="BD94" s="21">
        <v>0</v>
      </c>
      <c r="BE94" s="21">
        <v>0</v>
      </c>
      <c r="BF94" s="21">
        <v>0</v>
      </c>
      <c r="BG94" s="14">
        <v>5000</v>
      </c>
      <c r="BH94" s="14">
        <v>0</v>
      </c>
      <c r="BI94" s="21">
        <v>0</v>
      </c>
      <c r="BJ94" s="21">
        <v>0</v>
      </c>
      <c r="BK94" s="21">
        <v>0</v>
      </c>
    </row>
    <row r="95" spans="1:63">
      <c r="A95" s="14">
        <v>5405</v>
      </c>
      <c r="B95" s="14" t="s">
        <v>115</v>
      </c>
      <c r="C95" s="21">
        <v>799374.03</v>
      </c>
      <c r="D95" s="21">
        <v>-11794</v>
      </c>
      <c r="E95" s="21">
        <v>0</v>
      </c>
      <c r="F95" s="21">
        <f t="shared" si="1"/>
        <v>787580.03</v>
      </c>
      <c r="G95" s="21">
        <v>4359896</v>
      </c>
      <c r="H95" s="21">
        <v>1504074</v>
      </c>
      <c r="I95" s="21">
        <v>255888</v>
      </c>
      <c r="J95" s="21">
        <v>0</v>
      </c>
      <c r="K95" s="21">
        <v>122954</v>
      </c>
      <c r="L95" s="21">
        <v>53977</v>
      </c>
      <c r="M95" s="21">
        <v>16199</v>
      </c>
      <c r="N95" s="21">
        <v>111326</v>
      </c>
      <c r="O95" s="21">
        <v>272096</v>
      </c>
      <c r="P95" s="21">
        <v>0</v>
      </c>
      <c r="Q95" s="21">
        <v>0</v>
      </c>
      <c r="R95" s="21">
        <v>112505</v>
      </c>
      <c r="S95" s="21">
        <v>0</v>
      </c>
      <c r="T95" s="21">
        <v>0</v>
      </c>
      <c r="U95" s="21">
        <v>-2357</v>
      </c>
      <c r="V95" s="21">
        <v>0</v>
      </c>
      <c r="W95" s="21">
        <v>5000</v>
      </c>
      <c r="X95" s="21">
        <v>3923967</v>
      </c>
      <c r="Y95" s="21">
        <v>45231</v>
      </c>
      <c r="Z95" s="21">
        <v>566949</v>
      </c>
      <c r="AA95" s="21">
        <v>92422</v>
      </c>
      <c r="AB95" s="21">
        <v>391874</v>
      </c>
      <c r="AC95" s="21">
        <v>0</v>
      </c>
      <c r="AD95" s="21">
        <v>5927</v>
      </c>
      <c r="AE95" s="21">
        <v>55557</v>
      </c>
      <c r="AF95" s="21">
        <v>36555</v>
      </c>
      <c r="AG95" s="21">
        <v>0</v>
      </c>
      <c r="AH95" s="21">
        <v>2500</v>
      </c>
      <c r="AI95" s="21">
        <v>218619</v>
      </c>
      <c r="AJ95" s="21">
        <v>50116</v>
      </c>
      <c r="AK95" s="21">
        <v>89777</v>
      </c>
      <c r="AL95" s="21">
        <v>5691</v>
      </c>
      <c r="AM95" s="21">
        <v>67961</v>
      </c>
      <c r="AN95" s="21">
        <v>0</v>
      </c>
      <c r="AO95" s="21">
        <v>26406</v>
      </c>
      <c r="AP95" s="21">
        <v>294257</v>
      </c>
      <c r="AQ95" s="21">
        <v>100050</v>
      </c>
      <c r="AR95" s="21">
        <v>114643</v>
      </c>
      <c r="AS95" s="21">
        <v>100695</v>
      </c>
      <c r="AT95" s="21">
        <v>41690</v>
      </c>
      <c r="AU95" s="21">
        <v>908</v>
      </c>
      <c r="AV95" s="21">
        <v>269699</v>
      </c>
      <c r="AW95" s="21">
        <v>2115</v>
      </c>
      <c r="AX95" s="21">
        <v>62829</v>
      </c>
      <c r="AY95" s="21">
        <v>29563</v>
      </c>
      <c r="AZ95" s="21">
        <v>0</v>
      </c>
      <c r="BA95" s="21">
        <v>283443</v>
      </c>
      <c r="BB95" s="21">
        <v>4813</v>
      </c>
      <c r="BC95" s="21">
        <v>15</v>
      </c>
      <c r="BD95" s="21">
        <v>0</v>
      </c>
      <c r="BE95" s="21">
        <v>0</v>
      </c>
      <c r="BF95" s="21">
        <v>283443</v>
      </c>
      <c r="BG95" s="14">
        <v>5000</v>
      </c>
      <c r="BH95" s="14">
        <v>0</v>
      </c>
      <c r="BI95" s="21">
        <v>200000</v>
      </c>
      <c r="BJ95" s="21">
        <v>0</v>
      </c>
      <c r="BK95" s="21">
        <v>24776</v>
      </c>
    </row>
    <row r="96" spans="1:63">
      <c r="A96" s="14">
        <v>5404</v>
      </c>
      <c r="B96" s="14" t="s">
        <v>122</v>
      </c>
      <c r="C96" s="21">
        <v>-6422.04</v>
      </c>
      <c r="D96" s="21">
        <v>0</v>
      </c>
      <c r="E96" s="21">
        <v>4442.66</v>
      </c>
      <c r="F96" s="21">
        <f t="shared" si="1"/>
        <v>-1979.38</v>
      </c>
      <c r="G96" s="21">
        <v>2762221</v>
      </c>
      <c r="H96" s="21">
        <v>1346493</v>
      </c>
      <c r="I96" s="21">
        <v>0</v>
      </c>
      <c r="J96" s="21">
        <v>0</v>
      </c>
      <c r="K96" s="21">
        <v>35531</v>
      </c>
      <c r="L96" s="21">
        <v>5745</v>
      </c>
      <c r="M96" s="21">
        <v>915</v>
      </c>
      <c r="N96" s="21">
        <v>34505</v>
      </c>
      <c r="O96" s="21">
        <v>102932</v>
      </c>
      <c r="P96" s="21">
        <v>0</v>
      </c>
      <c r="Q96" s="21">
        <v>0</v>
      </c>
      <c r="R96" s="21">
        <v>14434</v>
      </c>
      <c r="S96" s="21">
        <v>109810</v>
      </c>
      <c r="T96" s="21">
        <v>0</v>
      </c>
      <c r="U96" s="21">
        <v>0</v>
      </c>
      <c r="V96" s="21">
        <v>0</v>
      </c>
      <c r="W96" s="21">
        <v>0</v>
      </c>
      <c r="X96" s="21">
        <v>2765806</v>
      </c>
      <c r="Y96" s="21">
        <v>33985</v>
      </c>
      <c r="Z96" s="21">
        <v>162951</v>
      </c>
      <c r="AA96" s="21">
        <v>138254</v>
      </c>
      <c r="AB96" s="21">
        <v>408493</v>
      </c>
      <c r="AC96" s="21">
        <v>61557</v>
      </c>
      <c r="AD96" s="21">
        <v>10424</v>
      </c>
      <c r="AE96" s="21">
        <v>73914</v>
      </c>
      <c r="AF96" s="21">
        <v>12503</v>
      </c>
      <c r="AG96" s="21">
        <v>-4440</v>
      </c>
      <c r="AH96" s="21">
        <v>4508</v>
      </c>
      <c r="AI96" s="21">
        <v>41450</v>
      </c>
      <c r="AJ96" s="21">
        <v>11597</v>
      </c>
      <c r="AK96" s="21">
        <v>12418</v>
      </c>
      <c r="AL96" s="21">
        <v>4851</v>
      </c>
      <c r="AM96" s="21">
        <v>54214</v>
      </c>
      <c r="AN96" s="21">
        <v>0</v>
      </c>
      <c r="AO96" s="21">
        <v>40928</v>
      </c>
      <c r="AP96" s="21">
        <v>161452</v>
      </c>
      <c r="AQ96" s="21">
        <v>39094</v>
      </c>
      <c r="AR96" s="21">
        <v>99468</v>
      </c>
      <c r="AS96" s="21">
        <v>15718</v>
      </c>
      <c r="AT96" s="21">
        <v>28913</v>
      </c>
      <c r="AU96" s="21">
        <v>2626</v>
      </c>
      <c r="AV96" s="21">
        <v>46382</v>
      </c>
      <c r="AW96" s="21">
        <v>24006</v>
      </c>
      <c r="AX96" s="21">
        <v>20682</v>
      </c>
      <c r="AY96" s="21">
        <v>86339</v>
      </c>
      <c r="AZ96" s="21">
        <v>0</v>
      </c>
      <c r="BA96" s="21">
        <v>0</v>
      </c>
      <c r="BB96" s="21">
        <v>0</v>
      </c>
      <c r="BC96" s="21">
        <v>0</v>
      </c>
      <c r="BD96" s="21">
        <v>0</v>
      </c>
      <c r="BE96" s="21">
        <v>0</v>
      </c>
      <c r="BF96" s="21">
        <v>0</v>
      </c>
      <c r="BG96" s="14">
        <v>5000</v>
      </c>
      <c r="BH96" s="14">
        <v>0</v>
      </c>
      <c r="BI96" s="21">
        <v>0</v>
      </c>
      <c r="BJ96" s="21">
        <v>0</v>
      </c>
      <c r="BK96" s="21">
        <v>0</v>
      </c>
    </row>
    <row r="97" spans="1:63">
      <c r="A97" s="14">
        <v>5427</v>
      </c>
      <c r="B97" s="14" t="s">
        <v>129</v>
      </c>
      <c r="C97" s="21">
        <v>172335.48</v>
      </c>
      <c r="D97" s="21">
        <v>0</v>
      </c>
      <c r="E97" s="21">
        <v>0</v>
      </c>
      <c r="F97" s="21">
        <f t="shared" si="1"/>
        <v>172335.48</v>
      </c>
      <c r="G97" s="21">
        <v>5061307</v>
      </c>
      <c r="H97" s="21">
        <v>393632</v>
      </c>
      <c r="I97" s="21">
        <v>886948</v>
      </c>
      <c r="J97" s="21">
        <v>0</v>
      </c>
      <c r="K97" s="21">
        <v>71089</v>
      </c>
      <c r="L97" s="21">
        <v>130221</v>
      </c>
      <c r="M97" s="21">
        <v>-1521</v>
      </c>
      <c r="N97" s="21">
        <v>2365</v>
      </c>
      <c r="O97" s="21">
        <v>31096</v>
      </c>
      <c r="P97" s="21">
        <v>30438</v>
      </c>
      <c r="Q97" s="21">
        <v>1287</v>
      </c>
      <c r="R97" s="21">
        <v>642005</v>
      </c>
      <c r="S97" s="21">
        <v>767421</v>
      </c>
      <c r="T97" s="21">
        <v>0</v>
      </c>
      <c r="U97" s="21">
        <v>0</v>
      </c>
      <c r="V97" s="21">
        <v>0</v>
      </c>
      <c r="W97" s="21">
        <v>0</v>
      </c>
      <c r="X97" s="21">
        <v>3685216</v>
      </c>
      <c r="Y97" s="21">
        <v>2902</v>
      </c>
      <c r="Z97" s="21">
        <v>1144451</v>
      </c>
      <c r="AA97" s="21">
        <v>125192</v>
      </c>
      <c r="AB97" s="21">
        <v>438326</v>
      </c>
      <c r="AC97" s="21">
        <v>0</v>
      </c>
      <c r="AD97" s="21">
        <v>90512</v>
      </c>
      <c r="AE97" s="21">
        <v>131070</v>
      </c>
      <c r="AF97" s="21">
        <v>37351</v>
      </c>
      <c r="AG97" s="21">
        <v>41668</v>
      </c>
      <c r="AH97" s="21">
        <v>0</v>
      </c>
      <c r="AI97" s="21">
        <v>168653</v>
      </c>
      <c r="AJ97" s="21">
        <v>27484</v>
      </c>
      <c r="AK97" s="21">
        <v>101795</v>
      </c>
      <c r="AL97" s="21">
        <v>7701</v>
      </c>
      <c r="AM97" s="21">
        <v>128345</v>
      </c>
      <c r="AN97" s="21">
        <v>0</v>
      </c>
      <c r="AO97" s="21">
        <v>99302</v>
      </c>
      <c r="AP97" s="21">
        <v>568471</v>
      </c>
      <c r="AQ97" s="21">
        <v>112519</v>
      </c>
      <c r="AR97" s="21">
        <v>86373</v>
      </c>
      <c r="AS97" s="21">
        <v>72913</v>
      </c>
      <c r="AT97" s="21">
        <v>51570</v>
      </c>
      <c r="AU97" s="21">
        <v>0</v>
      </c>
      <c r="AV97" s="21">
        <v>25951</v>
      </c>
      <c r="AW97" s="21">
        <v>160275</v>
      </c>
      <c r="AX97" s="21">
        <v>319035</v>
      </c>
      <c r="AY97" s="21">
        <v>366413</v>
      </c>
      <c r="AZ97" s="21">
        <v>0</v>
      </c>
      <c r="BA97" s="21">
        <v>0</v>
      </c>
      <c r="BB97" s="21">
        <v>-1</v>
      </c>
      <c r="BC97" s="21">
        <v>0</v>
      </c>
      <c r="BD97" s="21">
        <v>0</v>
      </c>
      <c r="BE97" s="21">
        <v>0</v>
      </c>
      <c r="BF97" s="21">
        <v>0</v>
      </c>
      <c r="BG97" s="14">
        <v>5000</v>
      </c>
      <c r="BH97" s="14">
        <v>0</v>
      </c>
      <c r="BI97" s="21">
        <v>0</v>
      </c>
      <c r="BJ97" s="21">
        <v>0</v>
      </c>
      <c r="BK97" s="21">
        <v>0</v>
      </c>
    </row>
    <row r="98" spans="1:63">
      <c r="A98" s="14">
        <v>7010</v>
      </c>
      <c r="B98" s="14" t="s">
        <v>124</v>
      </c>
      <c r="C98" s="21">
        <v>58904.790000000008</v>
      </c>
      <c r="D98" s="21">
        <v>179077</v>
      </c>
      <c r="E98" s="21">
        <v>8200.83</v>
      </c>
      <c r="F98" s="21">
        <f t="shared" si="1"/>
        <v>246182.62</v>
      </c>
      <c r="G98" s="21">
        <v>678561</v>
      </c>
      <c r="H98" s="21">
        <v>140513</v>
      </c>
      <c r="I98" s="21">
        <v>1510563</v>
      </c>
      <c r="J98" s="21">
        <v>0</v>
      </c>
      <c r="K98" s="21">
        <v>26180</v>
      </c>
      <c r="L98" s="21">
        <v>37555</v>
      </c>
      <c r="M98" s="21">
        <v>12626</v>
      </c>
      <c r="N98" s="21">
        <v>12991</v>
      </c>
      <c r="O98" s="21">
        <v>13460</v>
      </c>
      <c r="P98" s="21">
        <v>10143</v>
      </c>
      <c r="Q98" s="21">
        <v>7913</v>
      </c>
      <c r="R98" s="21">
        <v>0</v>
      </c>
      <c r="S98" s="21">
        <v>673</v>
      </c>
      <c r="T98" s="21">
        <v>0</v>
      </c>
      <c r="U98" s="21">
        <v>170000</v>
      </c>
      <c r="V98" s="21">
        <v>42843</v>
      </c>
      <c r="W98" s="21">
        <v>4500</v>
      </c>
      <c r="X98" s="21">
        <v>992514</v>
      </c>
      <c r="Y98" s="21">
        <v>0</v>
      </c>
      <c r="Z98" s="21">
        <v>965900</v>
      </c>
      <c r="AA98" s="21">
        <v>64404</v>
      </c>
      <c r="AB98" s="21">
        <v>28159</v>
      </c>
      <c r="AC98" s="21">
        <v>0</v>
      </c>
      <c r="AD98" s="21">
        <v>61707</v>
      </c>
      <c r="AE98" s="21">
        <v>24563</v>
      </c>
      <c r="AF98" s="21">
        <v>14787</v>
      </c>
      <c r="AG98" s="21">
        <v>26089</v>
      </c>
      <c r="AH98" s="21">
        <v>281</v>
      </c>
      <c r="AI98" s="21">
        <v>68865</v>
      </c>
      <c r="AJ98" s="21">
        <v>2825</v>
      </c>
      <c r="AK98" s="21">
        <v>2895</v>
      </c>
      <c r="AL98" s="21">
        <v>6439</v>
      </c>
      <c r="AM98" s="21">
        <v>20104</v>
      </c>
      <c r="AN98" s="21">
        <v>0</v>
      </c>
      <c r="AO98" s="21">
        <v>14292</v>
      </c>
      <c r="AP98" s="21">
        <v>73754</v>
      </c>
      <c r="AQ98" s="21">
        <v>18858</v>
      </c>
      <c r="AR98" s="21">
        <v>976</v>
      </c>
      <c r="AS98" s="21">
        <v>9602</v>
      </c>
      <c r="AT98" s="21">
        <v>7548</v>
      </c>
      <c r="AU98" s="21">
        <v>0</v>
      </c>
      <c r="AV98" s="21">
        <v>21046</v>
      </c>
      <c r="AW98" s="21">
        <v>0</v>
      </c>
      <c r="AX98" s="21">
        <v>6492</v>
      </c>
      <c r="AY98" s="21">
        <v>26497</v>
      </c>
      <c r="AZ98" s="21">
        <v>0</v>
      </c>
      <c r="BA98" s="21">
        <v>10230</v>
      </c>
      <c r="BB98" s="21">
        <v>158421</v>
      </c>
      <c r="BC98" s="21">
        <v>26381</v>
      </c>
      <c r="BD98" s="21">
        <v>6193</v>
      </c>
      <c r="BE98" s="21">
        <v>287</v>
      </c>
      <c r="BF98" s="21">
        <v>10230</v>
      </c>
      <c r="BG98" s="14">
        <v>5000</v>
      </c>
      <c r="BH98" s="14">
        <v>0</v>
      </c>
      <c r="BI98" s="21">
        <v>-1107</v>
      </c>
      <c r="BJ98" s="21">
        <v>16397</v>
      </c>
      <c r="BK98" s="21">
        <v>9621</v>
      </c>
    </row>
    <row r="99" spans="1:63">
      <c r="A99" s="14">
        <v>7005</v>
      </c>
      <c r="B99" s="14" t="s">
        <v>125</v>
      </c>
      <c r="C99" s="21">
        <v>53934.51</v>
      </c>
      <c r="D99" s="21">
        <v>0</v>
      </c>
      <c r="E99" s="21">
        <v>13836.09</v>
      </c>
      <c r="F99" s="21">
        <f t="shared" si="1"/>
        <v>67770.600000000006</v>
      </c>
      <c r="G99" s="21">
        <v>953754</v>
      </c>
      <c r="H99" s="21">
        <v>0</v>
      </c>
      <c r="I99" s="21">
        <v>899696</v>
      </c>
      <c r="J99" s="21">
        <v>0</v>
      </c>
      <c r="K99" s="21">
        <v>62181</v>
      </c>
      <c r="L99" s="21">
        <v>36430</v>
      </c>
      <c r="M99" s="21">
        <v>1014</v>
      </c>
      <c r="N99" s="21">
        <v>37569</v>
      </c>
      <c r="O99" s="21">
        <v>9508</v>
      </c>
      <c r="P99" s="21">
        <v>3881</v>
      </c>
      <c r="Q99" s="21">
        <v>4099</v>
      </c>
      <c r="R99" s="21">
        <v>0</v>
      </c>
      <c r="S99" s="21">
        <v>205</v>
      </c>
      <c r="T99" s="21">
        <v>0</v>
      </c>
      <c r="U99" s="21">
        <v>0</v>
      </c>
      <c r="V99" s="21">
        <v>821</v>
      </c>
      <c r="W99" s="21">
        <v>14592</v>
      </c>
      <c r="X99" s="21">
        <v>774589</v>
      </c>
      <c r="Y99" s="21">
        <v>0</v>
      </c>
      <c r="Z99" s="21">
        <v>718445</v>
      </c>
      <c r="AA99" s="21">
        <v>18822</v>
      </c>
      <c r="AB99" s="21">
        <v>53817</v>
      </c>
      <c r="AC99" s="21">
        <v>0</v>
      </c>
      <c r="AD99" s="21">
        <v>11347</v>
      </c>
      <c r="AE99" s="21">
        <v>17826</v>
      </c>
      <c r="AF99" s="21">
        <v>28759</v>
      </c>
      <c r="AG99" s="21">
        <v>18241</v>
      </c>
      <c r="AH99" s="21">
        <v>-57</v>
      </c>
      <c r="AI99" s="21">
        <v>45622</v>
      </c>
      <c r="AJ99" s="21">
        <v>3432</v>
      </c>
      <c r="AK99" s="21">
        <v>17935</v>
      </c>
      <c r="AL99" s="21">
        <v>5651</v>
      </c>
      <c r="AM99" s="21">
        <v>39175</v>
      </c>
      <c r="AN99" s="21">
        <v>0</v>
      </c>
      <c r="AO99" s="21">
        <v>5155</v>
      </c>
      <c r="AP99" s="21">
        <v>36750</v>
      </c>
      <c r="AQ99" s="21">
        <v>14444</v>
      </c>
      <c r="AR99" s="21">
        <v>0</v>
      </c>
      <c r="AS99" s="21">
        <v>4988</v>
      </c>
      <c r="AT99" s="21">
        <v>4923</v>
      </c>
      <c r="AU99" s="21">
        <v>23</v>
      </c>
      <c r="AV99" s="21">
        <v>24438</v>
      </c>
      <c r="AW99" s="21">
        <v>13495</v>
      </c>
      <c r="AX99" s="21">
        <v>96889</v>
      </c>
      <c r="AY99" s="21">
        <v>35305</v>
      </c>
      <c r="AZ99" s="21">
        <v>0</v>
      </c>
      <c r="BA99" s="21">
        <v>0</v>
      </c>
      <c r="BB99" s="21">
        <v>-1</v>
      </c>
      <c r="BC99" s="21">
        <v>0</v>
      </c>
      <c r="BD99" s="21">
        <v>7037</v>
      </c>
      <c r="BE99" s="21">
        <v>0</v>
      </c>
      <c r="BF99" s="21">
        <v>0</v>
      </c>
      <c r="BG99" s="14">
        <v>5000</v>
      </c>
      <c r="BH99" s="14">
        <v>0</v>
      </c>
      <c r="BI99" s="21">
        <v>6605</v>
      </c>
      <c r="BJ99" s="21">
        <v>0</v>
      </c>
      <c r="BK99" s="21">
        <v>0</v>
      </c>
    </row>
    <row r="100" spans="1:63">
      <c r="A100" s="14">
        <v>7000</v>
      </c>
      <c r="B100" s="14" t="s">
        <v>126</v>
      </c>
      <c r="C100" s="21">
        <v>384016.75</v>
      </c>
      <c r="D100" s="21">
        <v>0</v>
      </c>
      <c r="E100" s="21">
        <v>-0.24</v>
      </c>
      <c r="F100" s="21">
        <f t="shared" si="1"/>
        <v>384016.51</v>
      </c>
      <c r="G100" s="21">
        <v>1218014</v>
      </c>
      <c r="H100" s="21">
        <v>516986</v>
      </c>
      <c r="I100" s="21">
        <v>1521834</v>
      </c>
      <c r="J100" s="21">
        <v>0</v>
      </c>
      <c r="K100" s="21">
        <v>51425</v>
      </c>
      <c r="L100" s="21">
        <v>63384</v>
      </c>
      <c r="M100" s="21">
        <v>277538</v>
      </c>
      <c r="N100" s="21">
        <v>81104</v>
      </c>
      <c r="O100" s="21">
        <v>25364</v>
      </c>
      <c r="P100" s="21">
        <v>0</v>
      </c>
      <c r="Q100" s="21">
        <v>2271</v>
      </c>
      <c r="R100" s="21">
        <v>22882</v>
      </c>
      <c r="S100" s="21">
        <v>21151</v>
      </c>
      <c r="T100" s="21">
        <v>0</v>
      </c>
      <c r="U100" s="21">
        <v>0</v>
      </c>
      <c r="V100" s="21">
        <v>0</v>
      </c>
      <c r="W100" s="21">
        <v>6000</v>
      </c>
      <c r="X100" s="21">
        <v>1838503</v>
      </c>
      <c r="Y100" s="21">
        <v>0</v>
      </c>
      <c r="Z100" s="21">
        <v>951032</v>
      </c>
      <c r="AA100" s="21">
        <v>56573</v>
      </c>
      <c r="AB100" s="21">
        <v>133279</v>
      </c>
      <c r="AC100" s="21">
        <v>7258</v>
      </c>
      <c r="AD100" s="21">
        <v>-89608</v>
      </c>
      <c r="AE100" s="21">
        <v>30666</v>
      </c>
      <c r="AF100" s="21">
        <v>16907</v>
      </c>
      <c r="AG100" s="21">
        <v>0</v>
      </c>
      <c r="AH100" s="21">
        <v>1009</v>
      </c>
      <c r="AI100" s="21">
        <v>42470</v>
      </c>
      <c r="AJ100" s="21">
        <v>3420</v>
      </c>
      <c r="AK100" s="21">
        <v>26564</v>
      </c>
      <c r="AL100" s="21">
        <v>5955</v>
      </c>
      <c r="AM100" s="21">
        <v>28572</v>
      </c>
      <c r="AN100" s="21">
        <v>0</v>
      </c>
      <c r="AO100" s="21">
        <v>10212</v>
      </c>
      <c r="AP100" s="21">
        <v>146567</v>
      </c>
      <c r="AQ100" s="21">
        <v>26808</v>
      </c>
      <c r="AR100" s="21">
        <v>5994</v>
      </c>
      <c r="AS100" s="21">
        <v>22993</v>
      </c>
      <c r="AT100" s="21">
        <v>8611</v>
      </c>
      <c r="AU100" s="21">
        <v>10264</v>
      </c>
      <c r="AV100" s="21">
        <v>41956</v>
      </c>
      <c r="AW100" s="21">
        <v>30104</v>
      </c>
      <c r="AX100" s="21">
        <v>529957</v>
      </c>
      <c r="AY100" s="21">
        <v>30190</v>
      </c>
      <c r="AZ100" s="21">
        <v>0</v>
      </c>
      <c r="BA100" s="21">
        <v>115859</v>
      </c>
      <c r="BB100" s="21">
        <v>0</v>
      </c>
      <c r="BC100" s="21">
        <v>0</v>
      </c>
      <c r="BD100" s="21">
        <v>9672</v>
      </c>
      <c r="BE100" s="21">
        <v>0</v>
      </c>
      <c r="BF100" s="21">
        <v>115859</v>
      </c>
      <c r="BG100" s="14">
        <v>5000</v>
      </c>
      <c r="BH100" s="14">
        <v>0</v>
      </c>
      <c r="BI100" s="21">
        <v>0</v>
      </c>
      <c r="BJ100" s="21">
        <v>98211</v>
      </c>
      <c r="BK100" s="21">
        <v>27317</v>
      </c>
    </row>
    <row r="101" spans="1:63">
      <c r="A101" s="14">
        <v>7009</v>
      </c>
      <c r="B101" s="14" t="s">
        <v>127</v>
      </c>
      <c r="C101" s="21">
        <v>25974.15</v>
      </c>
      <c r="D101" s="21">
        <v>0</v>
      </c>
      <c r="E101" s="21">
        <v>18175.27</v>
      </c>
      <c r="F101" s="21">
        <f t="shared" si="1"/>
        <v>44149.42</v>
      </c>
      <c r="G101" s="21">
        <v>977118</v>
      </c>
      <c r="H101" s="21">
        <v>0</v>
      </c>
      <c r="I101" s="21">
        <v>1670412</v>
      </c>
      <c r="J101" s="21">
        <v>0</v>
      </c>
      <c r="K101" s="21">
        <v>33652</v>
      </c>
      <c r="L101" s="21">
        <v>175083</v>
      </c>
      <c r="M101" s="21">
        <v>2138</v>
      </c>
      <c r="N101" s="21">
        <v>41873</v>
      </c>
      <c r="O101" s="21">
        <v>5636</v>
      </c>
      <c r="P101" s="21">
        <v>10229</v>
      </c>
      <c r="Q101" s="21">
        <v>16585</v>
      </c>
      <c r="R101" s="21">
        <v>3343</v>
      </c>
      <c r="S101" s="21">
        <v>7145</v>
      </c>
      <c r="T101" s="21">
        <v>42602</v>
      </c>
      <c r="U101" s="21">
        <v>0</v>
      </c>
      <c r="V101" s="21">
        <v>0</v>
      </c>
      <c r="W101" s="21">
        <v>14840</v>
      </c>
      <c r="X101" s="21">
        <v>1171429</v>
      </c>
      <c r="Y101" s="21">
        <v>0</v>
      </c>
      <c r="Z101" s="21">
        <v>944376</v>
      </c>
      <c r="AA101" s="21">
        <v>33878</v>
      </c>
      <c r="AB101" s="21">
        <v>62568</v>
      </c>
      <c r="AC101" s="21">
        <v>5063</v>
      </c>
      <c r="AD101" s="21">
        <v>57369</v>
      </c>
      <c r="AE101" s="21">
        <v>26377</v>
      </c>
      <c r="AF101" s="21">
        <v>12295</v>
      </c>
      <c r="AG101" s="21">
        <v>15509</v>
      </c>
      <c r="AH101" s="21">
        <v>9684</v>
      </c>
      <c r="AI101" s="21">
        <v>36574</v>
      </c>
      <c r="AJ101" s="21">
        <v>0</v>
      </c>
      <c r="AK101" s="21">
        <v>27178</v>
      </c>
      <c r="AL101" s="21">
        <v>3081</v>
      </c>
      <c r="AM101" s="21">
        <v>25024</v>
      </c>
      <c r="AN101" s="21">
        <v>0</v>
      </c>
      <c r="AO101" s="21">
        <v>13552</v>
      </c>
      <c r="AP101" s="21">
        <v>83572</v>
      </c>
      <c r="AQ101" s="21">
        <v>30241</v>
      </c>
      <c r="AR101" s="21">
        <v>0</v>
      </c>
      <c r="AS101" s="21">
        <v>27654</v>
      </c>
      <c r="AT101" s="21">
        <v>2678</v>
      </c>
      <c r="AU101" s="21">
        <v>29348</v>
      </c>
      <c r="AV101" s="21">
        <v>16931</v>
      </c>
      <c r="AW101" s="21">
        <v>0</v>
      </c>
      <c r="AX101" s="21">
        <v>300721</v>
      </c>
      <c r="AY101" s="21">
        <v>46299</v>
      </c>
      <c r="AZ101" s="21">
        <v>0</v>
      </c>
      <c r="BA101" s="21">
        <v>5712</v>
      </c>
      <c r="BB101" s="21">
        <v>1</v>
      </c>
      <c r="BC101" s="21">
        <v>0</v>
      </c>
      <c r="BD101" s="21">
        <v>6768</v>
      </c>
      <c r="BE101" s="21">
        <v>64982</v>
      </c>
      <c r="BF101" s="21">
        <v>5712</v>
      </c>
      <c r="BG101" s="14">
        <v>5000</v>
      </c>
      <c r="BH101" s="14">
        <v>0</v>
      </c>
      <c r="BI101" s="21">
        <v>76932</v>
      </c>
      <c r="BJ101" s="21">
        <v>9494</v>
      </c>
      <c r="BK101" s="21">
        <v>9212</v>
      </c>
    </row>
    <row r="102" spans="1:63">
      <c r="A102" s="14">
        <v>1103</v>
      </c>
      <c r="B102" s="14" t="s">
        <v>328</v>
      </c>
      <c r="C102" s="21">
        <v>0</v>
      </c>
      <c r="D102" s="21">
        <v>0</v>
      </c>
      <c r="E102" s="21">
        <v>0</v>
      </c>
      <c r="F102" s="21">
        <f t="shared" si="1"/>
        <v>0</v>
      </c>
      <c r="G102" s="21">
        <v>307161</v>
      </c>
      <c r="H102" s="21">
        <v>0</v>
      </c>
      <c r="I102" s="21">
        <v>107295</v>
      </c>
      <c r="J102" s="21">
        <v>0</v>
      </c>
      <c r="K102" s="21">
        <v>0</v>
      </c>
      <c r="L102" s="21">
        <v>0</v>
      </c>
      <c r="M102" s="21">
        <v>0</v>
      </c>
      <c r="N102" s="21">
        <v>7365</v>
      </c>
      <c r="O102" s="21">
        <v>0</v>
      </c>
      <c r="P102" s="21">
        <v>0</v>
      </c>
      <c r="Q102" s="21">
        <v>0</v>
      </c>
      <c r="R102" s="21">
        <v>0</v>
      </c>
      <c r="S102" s="21">
        <v>0</v>
      </c>
      <c r="T102" s="21">
        <v>0</v>
      </c>
      <c r="U102" s="21">
        <v>0</v>
      </c>
      <c r="V102" s="21">
        <v>0</v>
      </c>
      <c r="W102" s="21">
        <v>0</v>
      </c>
      <c r="X102" s="21">
        <v>230919</v>
      </c>
      <c r="Y102" s="21">
        <v>0</v>
      </c>
      <c r="Z102" s="21">
        <v>34410</v>
      </c>
      <c r="AA102" s="21">
        <v>0</v>
      </c>
      <c r="AB102" s="21">
        <v>0</v>
      </c>
      <c r="AC102" s="21">
        <v>0</v>
      </c>
      <c r="AD102" s="21">
        <v>0</v>
      </c>
      <c r="AE102" s="21">
        <v>3963</v>
      </c>
      <c r="AF102" s="21">
        <v>1202</v>
      </c>
      <c r="AG102" s="21">
        <v>0</v>
      </c>
      <c r="AH102" s="21">
        <v>0</v>
      </c>
      <c r="AI102" s="21">
        <v>304</v>
      </c>
      <c r="AJ102" s="21">
        <v>0</v>
      </c>
      <c r="AK102" s="21">
        <v>0</v>
      </c>
      <c r="AL102" s="21">
        <v>0</v>
      </c>
      <c r="AM102" s="21">
        <v>0</v>
      </c>
      <c r="AN102" s="21">
        <v>0</v>
      </c>
      <c r="AO102" s="21">
        <v>600</v>
      </c>
      <c r="AP102" s="21">
        <v>3015</v>
      </c>
      <c r="AQ102" s="21">
        <v>4214</v>
      </c>
      <c r="AR102" s="21">
        <v>278</v>
      </c>
      <c r="AS102" s="21">
        <v>11749</v>
      </c>
      <c r="AT102" s="21">
        <v>0</v>
      </c>
      <c r="AU102" s="21">
        <v>10631</v>
      </c>
      <c r="AV102" s="21">
        <v>87</v>
      </c>
      <c r="AW102" s="21">
        <v>98363</v>
      </c>
      <c r="AX102" s="21">
        <v>7555</v>
      </c>
      <c r="AY102" s="21">
        <v>13447</v>
      </c>
      <c r="AZ102" s="21">
        <v>0</v>
      </c>
      <c r="BA102" s="21">
        <v>0</v>
      </c>
      <c r="BB102" s="21">
        <v>0</v>
      </c>
      <c r="BC102" s="21">
        <v>0</v>
      </c>
      <c r="BD102" s="21">
        <v>2333</v>
      </c>
      <c r="BE102" s="21">
        <v>0</v>
      </c>
      <c r="BF102" s="21">
        <v>0</v>
      </c>
      <c r="BG102" s="14">
        <v>5000</v>
      </c>
      <c r="BH102" s="14">
        <v>0</v>
      </c>
      <c r="BI102" s="21">
        <v>0</v>
      </c>
      <c r="BJ102" s="21">
        <v>0</v>
      </c>
      <c r="BK102" s="21">
        <v>3416</v>
      </c>
    </row>
    <row r="103" spans="1:63">
      <c r="A103" s="14">
        <v>1102</v>
      </c>
      <c r="B103" s="14" t="s">
        <v>329</v>
      </c>
      <c r="C103" s="21">
        <v>18976</v>
      </c>
      <c r="D103" s="21">
        <v>0</v>
      </c>
      <c r="E103" s="21">
        <v>0</v>
      </c>
      <c r="F103" s="21">
        <f t="shared" si="1"/>
        <v>18976</v>
      </c>
      <c r="G103" s="21">
        <v>380006</v>
      </c>
      <c r="H103" s="21">
        <v>0</v>
      </c>
      <c r="I103" s="21">
        <v>21974</v>
      </c>
      <c r="J103" s="21">
        <v>0</v>
      </c>
      <c r="K103" s="21">
        <v>2336</v>
      </c>
      <c r="L103" s="21">
        <v>55882</v>
      </c>
      <c r="M103" s="21">
        <v>1800</v>
      </c>
      <c r="N103" s="21">
        <v>0</v>
      </c>
      <c r="O103" s="21">
        <v>0</v>
      </c>
      <c r="P103" s="21">
        <v>0</v>
      </c>
      <c r="Q103" s="21">
        <v>0</v>
      </c>
      <c r="R103" s="21">
        <v>0</v>
      </c>
      <c r="S103" s="21">
        <v>0</v>
      </c>
      <c r="T103" s="21">
        <v>0</v>
      </c>
      <c r="U103" s="21">
        <v>0</v>
      </c>
      <c r="V103" s="21">
        <v>0</v>
      </c>
      <c r="W103" s="21">
        <v>0</v>
      </c>
      <c r="X103" s="21">
        <v>300389</v>
      </c>
      <c r="Y103" s="21">
        <v>0</v>
      </c>
      <c r="Z103" s="21">
        <v>41723</v>
      </c>
      <c r="AA103" s="21">
        <v>0</v>
      </c>
      <c r="AB103" s="21">
        <v>57190</v>
      </c>
      <c r="AC103" s="21">
        <v>0</v>
      </c>
      <c r="AD103" s="21">
        <v>0</v>
      </c>
      <c r="AE103" s="21">
        <v>147</v>
      </c>
      <c r="AF103" s="21">
        <v>988</v>
      </c>
      <c r="AG103" s="21">
        <v>0</v>
      </c>
      <c r="AH103" s="21">
        <v>0</v>
      </c>
      <c r="AI103" s="21">
        <v>480</v>
      </c>
      <c r="AJ103" s="21">
        <v>0</v>
      </c>
      <c r="AK103" s="21">
        <v>0</v>
      </c>
      <c r="AL103" s="21">
        <v>0</v>
      </c>
      <c r="AM103" s="21">
        <v>0</v>
      </c>
      <c r="AN103" s="21">
        <v>0</v>
      </c>
      <c r="AO103" s="21">
        <v>150</v>
      </c>
      <c r="AP103" s="21">
        <v>2417</v>
      </c>
      <c r="AQ103" s="21">
        <v>4740</v>
      </c>
      <c r="AR103" s="21">
        <v>994</v>
      </c>
      <c r="AS103" s="21">
        <v>14412</v>
      </c>
      <c r="AT103" s="21">
        <v>0</v>
      </c>
      <c r="AU103" s="21">
        <v>2</v>
      </c>
      <c r="AV103" s="21">
        <v>-931</v>
      </c>
      <c r="AW103" s="21">
        <v>0</v>
      </c>
      <c r="AX103" s="21">
        <v>44891</v>
      </c>
      <c r="AY103" s="21">
        <v>13205</v>
      </c>
      <c r="AZ103" s="21">
        <v>0</v>
      </c>
      <c r="BA103" s="21">
        <v>0</v>
      </c>
      <c r="BB103" s="21">
        <v>0</v>
      </c>
      <c r="BC103" s="21">
        <v>0</v>
      </c>
      <c r="BD103" s="21">
        <v>4744</v>
      </c>
      <c r="BE103" s="21">
        <v>0</v>
      </c>
      <c r="BF103" s="21">
        <v>0</v>
      </c>
      <c r="BG103" s="14">
        <v>5000</v>
      </c>
      <c r="BH103" s="14">
        <v>0</v>
      </c>
      <c r="BI103" s="21">
        <v>0</v>
      </c>
      <c r="BJ103" s="21">
        <v>0</v>
      </c>
      <c r="BK103" s="21">
        <v>0</v>
      </c>
    </row>
    <row r="104" spans="1:63">
      <c r="A104" s="14">
        <v>1100</v>
      </c>
      <c r="B104" s="14" t="s">
        <v>409</v>
      </c>
      <c r="C104" s="21">
        <v>80000</v>
      </c>
      <c r="D104" s="21">
        <v>0</v>
      </c>
      <c r="E104" s="21">
        <v>0</v>
      </c>
      <c r="F104" s="21">
        <f t="shared" si="1"/>
        <v>80000</v>
      </c>
      <c r="G104" s="21">
        <v>741673</v>
      </c>
      <c r="H104" s="21">
        <v>0</v>
      </c>
      <c r="I104" s="21">
        <v>824796</v>
      </c>
      <c r="J104" s="21">
        <v>0</v>
      </c>
      <c r="K104" s="21">
        <v>45358</v>
      </c>
      <c r="L104" s="21">
        <v>750</v>
      </c>
      <c r="M104" s="21">
        <v>2368</v>
      </c>
      <c r="N104" s="21">
        <v>26973</v>
      </c>
      <c r="O104" s="21">
        <v>170</v>
      </c>
      <c r="P104" s="21">
        <v>0</v>
      </c>
      <c r="Q104" s="21">
        <v>0</v>
      </c>
      <c r="R104" s="21">
        <v>435</v>
      </c>
      <c r="S104" s="21">
        <v>0</v>
      </c>
      <c r="T104" s="21">
        <v>0</v>
      </c>
      <c r="U104" s="21">
        <v>0</v>
      </c>
      <c r="V104" s="21">
        <v>0</v>
      </c>
      <c r="W104" s="21">
        <v>1167</v>
      </c>
      <c r="X104" s="21">
        <v>996163</v>
      </c>
      <c r="Y104" s="21">
        <v>0</v>
      </c>
      <c r="Z104" s="21">
        <v>243583</v>
      </c>
      <c r="AA104" s="21">
        <v>33081</v>
      </c>
      <c r="AB104" s="21">
        <v>26240</v>
      </c>
      <c r="AC104" s="21">
        <v>0</v>
      </c>
      <c r="AD104" s="21">
        <v>0</v>
      </c>
      <c r="AE104" s="21">
        <v>13741</v>
      </c>
      <c r="AF104" s="21">
        <v>6062</v>
      </c>
      <c r="AG104" s="21">
        <v>0</v>
      </c>
      <c r="AH104" s="21">
        <v>1454</v>
      </c>
      <c r="AI104" s="21">
        <v>2826</v>
      </c>
      <c r="AJ104" s="21">
        <v>3561</v>
      </c>
      <c r="AK104" s="21">
        <v>14140</v>
      </c>
      <c r="AL104" s="21">
        <v>1702</v>
      </c>
      <c r="AM104" s="21">
        <v>18304</v>
      </c>
      <c r="AN104" s="21">
        <v>0</v>
      </c>
      <c r="AO104" s="21">
        <v>7606</v>
      </c>
      <c r="AP104" s="21">
        <v>30721</v>
      </c>
      <c r="AQ104" s="21">
        <v>14824</v>
      </c>
      <c r="AR104" s="21">
        <v>4539</v>
      </c>
      <c r="AS104" s="21">
        <v>18999</v>
      </c>
      <c r="AT104" s="21">
        <v>1846</v>
      </c>
      <c r="AU104" s="21">
        <v>8376</v>
      </c>
      <c r="AV104" s="21">
        <v>30563</v>
      </c>
      <c r="AW104" s="21">
        <v>122893</v>
      </c>
      <c r="AX104" s="21">
        <v>26504</v>
      </c>
      <c r="AY104" s="21">
        <v>40726</v>
      </c>
      <c r="AZ104" s="21">
        <v>0</v>
      </c>
      <c r="BA104" s="21">
        <v>0</v>
      </c>
      <c r="BB104" s="21">
        <v>0</v>
      </c>
      <c r="BC104" s="21">
        <v>0</v>
      </c>
      <c r="BD104" s="21">
        <v>7794</v>
      </c>
      <c r="BE104" s="21">
        <v>0</v>
      </c>
      <c r="BF104" s="21">
        <v>0</v>
      </c>
      <c r="BG104" s="14">
        <v>5000</v>
      </c>
      <c r="BH104" s="14">
        <v>0</v>
      </c>
      <c r="BI104" s="21">
        <v>0</v>
      </c>
      <c r="BJ104" s="21">
        <v>0</v>
      </c>
      <c r="BK104" s="21">
        <v>3477</v>
      </c>
    </row>
    <row r="105" spans="1:63">
      <c r="A105" s="14"/>
      <c r="B105" s="14"/>
      <c r="C105" s="21"/>
      <c r="D105" s="14"/>
      <c r="E105" s="21"/>
      <c r="F105" s="21"/>
      <c r="G105" s="14"/>
      <c r="H105" s="14"/>
      <c r="I105" s="14"/>
      <c r="J105" s="21"/>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row>
    <row r="106" spans="1:63">
      <c r="A106" s="14"/>
      <c r="B106" s="14"/>
      <c r="C106" s="21"/>
      <c r="D106" s="14"/>
      <c r="E106" s="21"/>
      <c r="F106" s="21"/>
      <c r="G106" s="22">
        <v>153778681</v>
      </c>
      <c r="H106" s="22">
        <v>6731473</v>
      </c>
      <c r="I106" s="22">
        <v>15224208</v>
      </c>
      <c r="J106" s="22">
        <v>0</v>
      </c>
      <c r="K106" s="22">
        <v>10386074</v>
      </c>
      <c r="L106" s="22">
        <v>1387557</v>
      </c>
      <c r="M106" s="22">
        <v>891740</v>
      </c>
      <c r="N106" s="22">
        <v>4042322</v>
      </c>
      <c r="O106" s="22">
        <v>3629531</v>
      </c>
      <c r="P106" s="22">
        <v>788434</v>
      </c>
      <c r="Q106" s="22">
        <v>285467</v>
      </c>
      <c r="R106" s="22">
        <v>3187369</v>
      </c>
      <c r="S106" s="22">
        <v>2975329</v>
      </c>
      <c r="T106" s="22">
        <v>60802</v>
      </c>
      <c r="U106" s="22">
        <v>2768650</v>
      </c>
      <c r="V106" s="22">
        <v>396524</v>
      </c>
      <c r="W106" s="22">
        <v>3050498</v>
      </c>
      <c r="X106" s="22">
        <v>92095201</v>
      </c>
      <c r="Y106" s="22">
        <v>854646</v>
      </c>
      <c r="Z106" s="22">
        <v>38482451</v>
      </c>
      <c r="AA106" s="22">
        <v>4382544</v>
      </c>
      <c r="AB106" s="22">
        <v>8729434</v>
      </c>
      <c r="AC106" s="22">
        <v>366688</v>
      </c>
      <c r="AD106" s="22">
        <v>3542498</v>
      </c>
      <c r="AE106" s="22">
        <v>1727321</v>
      </c>
      <c r="AF106" s="22">
        <v>1035888</v>
      </c>
      <c r="AG106" s="22">
        <v>1139584</v>
      </c>
      <c r="AH106" s="22">
        <v>275556</v>
      </c>
      <c r="AI106" s="22">
        <v>4089954</v>
      </c>
      <c r="AJ106" s="22">
        <v>620964</v>
      </c>
      <c r="AK106" s="22">
        <v>2320369</v>
      </c>
      <c r="AL106" s="22">
        <v>373136</v>
      </c>
      <c r="AM106" s="22">
        <v>2602750</v>
      </c>
      <c r="AN106" s="22">
        <v>940668</v>
      </c>
      <c r="AO106" s="22">
        <v>1288380</v>
      </c>
      <c r="AP106" s="22">
        <v>8688275</v>
      </c>
      <c r="AQ106" s="22">
        <v>2473162</v>
      </c>
      <c r="AR106" s="22">
        <v>608582</v>
      </c>
      <c r="AS106" s="22">
        <v>2070089</v>
      </c>
      <c r="AT106" s="22">
        <v>986510</v>
      </c>
      <c r="AU106" s="22">
        <v>849807</v>
      </c>
      <c r="AV106" s="22">
        <v>7250862</v>
      </c>
      <c r="AW106" s="22">
        <v>5840076</v>
      </c>
      <c r="AX106" s="22">
        <v>7998312</v>
      </c>
      <c r="AY106" s="22">
        <v>3692837</v>
      </c>
      <c r="AZ106" s="22">
        <v>0</v>
      </c>
      <c r="BA106" s="22">
        <v>3075596</v>
      </c>
      <c r="BB106" s="22">
        <v>2292202</v>
      </c>
      <c r="BC106" s="22">
        <v>579459</v>
      </c>
      <c r="BD106" s="22">
        <v>614216</v>
      </c>
      <c r="BE106" s="22">
        <v>263072</v>
      </c>
      <c r="BF106" s="22">
        <v>3075595</v>
      </c>
      <c r="BG106" s="22"/>
      <c r="BH106" s="22">
        <v>0</v>
      </c>
      <c r="BI106" s="22">
        <v>2228141</v>
      </c>
      <c r="BJ106" s="22">
        <v>382494</v>
      </c>
      <c r="BK106" s="22">
        <v>1307230</v>
      </c>
    </row>
    <row r="107" spans="1:63">
      <c r="A107" s="14"/>
      <c r="B107" s="14"/>
      <c r="C107" s="21"/>
      <c r="D107" s="14"/>
      <c r="E107" s="21"/>
      <c r="F107" s="21"/>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row>
    <row r="108" spans="1:63">
      <c r="A108" s="14"/>
      <c r="B108" s="14"/>
      <c r="C108" s="24">
        <f>SUM(C5:C107)</f>
        <v>14417826.299999999</v>
      </c>
      <c r="D108" s="24">
        <f t="shared" ref="D108:AX108" si="2">SUM(D5:D107)</f>
        <v>383225</v>
      </c>
      <c r="E108" s="24">
        <f t="shared" si="2"/>
        <v>270321.37000000011</v>
      </c>
      <c r="F108" s="24">
        <f t="shared" si="2"/>
        <v>15071372.67</v>
      </c>
      <c r="G108" s="24">
        <f t="shared" si="2"/>
        <v>307557362</v>
      </c>
      <c r="H108" s="24">
        <f t="shared" si="2"/>
        <v>13462946</v>
      </c>
      <c r="I108" s="24">
        <f t="shared" si="2"/>
        <v>30448416</v>
      </c>
      <c r="J108" s="24">
        <f t="shared" si="2"/>
        <v>0</v>
      </c>
      <c r="K108" s="24">
        <f t="shared" si="2"/>
        <v>20772148</v>
      </c>
      <c r="L108" s="24">
        <f t="shared" si="2"/>
        <v>2775114</v>
      </c>
      <c r="M108" s="24">
        <f t="shared" si="2"/>
        <v>1783480</v>
      </c>
      <c r="N108" s="24">
        <f t="shared" si="2"/>
        <v>8084644</v>
      </c>
      <c r="O108" s="24">
        <f t="shared" si="2"/>
        <v>7259062</v>
      </c>
      <c r="P108" s="24">
        <f t="shared" si="2"/>
        <v>1576868</v>
      </c>
      <c r="Q108" s="24">
        <f t="shared" si="2"/>
        <v>570934</v>
      </c>
      <c r="R108" s="24">
        <f t="shared" si="2"/>
        <v>6374738</v>
      </c>
      <c r="S108" s="24">
        <f t="shared" si="2"/>
        <v>5950658</v>
      </c>
      <c r="T108" s="24">
        <f t="shared" si="2"/>
        <v>121604</v>
      </c>
      <c r="U108" s="24">
        <f t="shared" si="2"/>
        <v>5537300</v>
      </c>
      <c r="V108" s="24">
        <f t="shared" si="2"/>
        <v>793048</v>
      </c>
      <c r="W108" s="24">
        <f t="shared" si="2"/>
        <v>6100996</v>
      </c>
      <c r="X108" s="24">
        <f t="shared" si="2"/>
        <v>184190402</v>
      </c>
      <c r="Y108" s="24">
        <f t="shared" si="2"/>
        <v>1709292</v>
      </c>
      <c r="Z108" s="24">
        <f t="shared" si="2"/>
        <v>76964902</v>
      </c>
      <c r="AA108" s="24">
        <f t="shared" si="2"/>
        <v>8765088</v>
      </c>
      <c r="AB108" s="24">
        <f t="shared" si="2"/>
        <v>17458868</v>
      </c>
      <c r="AC108" s="24">
        <f t="shared" si="2"/>
        <v>733376</v>
      </c>
      <c r="AD108" s="24">
        <f t="shared" si="2"/>
        <v>7084996</v>
      </c>
      <c r="AE108" s="24">
        <f t="shared" si="2"/>
        <v>3454642</v>
      </c>
      <c r="AF108" s="24">
        <f t="shared" si="2"/>
        <v>2071776</v>
      </c>
      <c r="AG108" s="24">
        <f t="shared" si="2"/>
        <v>2279168</v>
      </c>
      <c r="AH108" s="24">
        <f t="shared" si="2"/>
        <v>551112</v>
      </c>
      <c r="AI108" s="24">
        <f t="shared" si="2"/>
        <v>8179908</v>
      </c>
      <c r="AJ108" s="24">
        <f t="shared" si="2"/>
        <v>1241928</v>
      </c>
      <c r="AK108" s="24">
        <f t="shared" si="2"/>
        <v>4640738</v>
      </c>
      <c r="AL108" s="24">
        <f t="shared" si="2"/>
        <v>746272</v>
      </c>
      <c r="AM108" s="24">
        <f t="shared" si="2"/>
        <v>5205500</v>
      </c>
      <c r="AN108" s="24">
        <f t="shared" si="2"/>
        <v>1881336</v>
      </c>
      <c r="AO108" s="24">
        <f t="shared" si="2"/>
        <v>2576760</v>
      </c>
      <c r="AP108" s="24">
        <f t="shared" si="2"/>
        <v>17376550</v>
      </c>
      <c r="AQ108" s="24">
        <f t="shared" si="2"/>
        <v>4946324</v>
      </c>
      <c r="AR108" s="24">
        <f t="shared" si="2"/>
        <v>1217164</v>
      </c>
      <c r="AS108" s="24">
        <f t="shared" si="2"/>
        <v>4140178</v>
      </c>
      <c r="AT108" s="24">
        <f t="shared" si="2"/>
        <v>1973020</v>
      </c>
      <c r="AU108" s="24">
        <f t="shared" si="2"/>
        <v>1699614</v>
      </c>
      <c r="AV108" s="24">
        <f t="shared" si="2"/>
        <v>14501724</v>
      </c>
      <c r="AW108" s="24">
        <f t="shared" si="2"/>
        <v>11680152</v>
      </c>
      <c r="AX108" s="24">
        <f t="shared" si="2"/>
        <v>15996624</v>
      </c>
      <c r="AY108" s="25">
        <v>3692837</v>
      </c>
      <c r="AZ108" s="25">
        <v>0</v>
      </c>
      <c r="BA108" s="25">
        <v>3075596</v>
      </c>
      <c r="BB108" s="25">
        <v>2292202</v>
      </c>
      <c r="BC108" s="25">
        <v>579459</v>
      </c>
      <c r="BD108" s="24">
        <v>-614216</v>
      </c>
      <c r="BE108" s="24">
        <v>-263072</v>
      </c>
      <c r="BF108" s="24">
        <v>-3075595</v>
      </c>
      <c r="BG108" s="14"/>
      <c r="BH108" s="14">
        <v>0</v>
      </c>
      <c r="BI108" s="23">
        <v>2228141</v>
      </c>
      <c r="BJ108" s="23">
        <v>382494</v>
      </c>
      <c r="BK108" s="23">
        <v>1307230</v>
      </c>
    </row>
    <row r="109" spans="1:63">
      <c r="A109" s="14"/>
      <c r="B109" s="14"/>
      <c r="C109" s="21"/>
      <c r="D109" s="14"/>
      <c r="E109" s="21"/>
      <c r="F109" s="21"/>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row>
    <row r="110" spans="1:63">
      <c r="A110" s="14"/>
      <c r="B110" s="14"/>
      <c r="C110" s="21"/>
      <c r="D110" s="14"/>
      <c r="E110" s="21"/>
      <c r="F110" s="21"/>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3">
        <v>0</v>
      </c>
      <c r="AC110" s="23">
        <v>0</v>
      </c>
      <c r="AD110" s="23">
        <v>0</v>
      </c>
      <c r="AE110" s="23">
        <v>0</v>
      </c>
      <c r="AF110" s="23">
        <v>0</v>
      </c>
      <c r="AG110" s="23">
        <v>0</v>
      </c>
      <c r="AH110" s="23">
        <v>0</v>
      </c>
      <c r="AI110" s="23">
        <v>0</v>
      </c>
      <c r="AJ110" s="23">
        <v>0</v>
      </c>
      <c r="AK110" s="23">
        <v>0</v>
      </c>
      <c r="AL110" s="23">
        <v>0</v>
      </c>
      <c r="AM110" s="23">
        <v>0</v>
      </c>
      <c r="AN110" s="23">
        <v>0</v>
      </c>
      <c r="AO110" s="23">
        <v>0</v>
      </c>
      <c r="AP110" s="23">
        <v>0</v>
      </c>
      <c r="AQ110" s="23">
        <v>0</v>
      </c>
      <c r="AR110" s="23">
        <v>0</v>
      </c>
      <c r="AS110" s="23">
        <v>0</v>
      </c>
      <c r="AT110" s="23">
        <v>0</v>
      </c>
      <c r="AU110" s="23">
        <v>0</v>
      </c>
      <c r="AV110" s="23">
        <v>0</v>
      </c>
      <c r="AW110" s="23">
        <v>0</v>
      </c>
      <c r="AX110" s="23">
        <v>0</v>
      </c>
      <c r="AY110" s="23">
        <v>0</v>
      </c>
      <c r="AZ110" s="23">
        <v>0</v>
      </c>
      <c r="BA110" s="23">
        <v>0</v>
      </c>
      <c r="BB110" s="23">
        <v>0</v>
      </c>
      <c r="BC110" s="23">
        <v>0</v>
      </c>
      <c r="BD110" s="23">
        <v>0</v>
      </c>
      <c r="BE110" s="23">
        <v>0</v>
      </c>
      <c r="BF110" s="23">
        <v>0</v>
      </c>
      <c r="BG110" s="23"/>
      <c r="BH110" s="23">
        <v>0</v>
      </c>
      <c r="BI110" s="23">
        <v>0</v>
      </c>
      <c r="BJ110" s="23">
        <v>0</v>
      </c>
      <c r="BK110" s="23">
        <v>0</v>
      </c>
    </row>
  </sheetData>
  <mergeCells count="6">
    <mergeCell ref="BG3:BK3"/>
    <mergeCell ref="A3:B3"/>
    <mergeCell ref="C3:E3"/>
    <mergeCell ref="G3:W3"/>
    <mergeCell ref="X3:BC3"/>
    <mergeCell ref="BD3:B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O151"/>
  <sheetViews>
    <sheetView topLeftCell="E1" workbookViewId="0">
      <selection activeCell="A57" sqref="A57:IV57"/>
    </sheetView>
  </sheetViews>
  <sheetFormatPr defaultColWidth="9.109375" defaultRowHeight="13.2"/>
  <cols>
    <col min="1" max="1" width="9.109375" style="42"/>
    <col min="2" max="2" width="20.6640625" style="42" customWidth="1"/>
    <col min="3" max="4" width="9.6640625" style="42" customWidth="1"/>
    <col min="5" max="5" width="40.6640625" style="42" customWidth="1"/>
    <col min="6" max="6" width="20.6640625" style="42" customWidth="1"/>
    <col min="7" max="15" width="15.33203125" style="42" customWidth="1"/>
    <col min="16" max="19" width="16.6640625" style="42" customWidth="1"/>
    <col min="20" max="16384" width="9.109375" style="42"/>
  </cols>
  <sheetData>
    <row r="1" spans="1:15">
      <c r="A1" s="102" t="s">
        <v>554</v>
      </c>
    </row>
    <row r="2" spans="1:15" ht="14.4">
      <c r="A2" s="57" t="s">
        <v>532</v>
      </c>
      <c r="I2" s="58"/>
      <c r="J2" s="59"/>
      <c r="K2" s="59"/>
    </row>
    <row r="3" spans="1:15" ht="14.4">
      <c r="A3" s="60" t="s">
        <v>533</v>
      </c>
      <c r="I3" s="59"/>
      <c r="J3" s="61"/>
      <c r="K3" s="61"/>
    </row>
    <row r="4" spans="1:15" ht="14.4">
      <c r="A4" s="42" t="s">
        <v>534</v>
      </c>
      <c r="F4" s="62"/>
      <c r="L4" s="58"/>
    </row>
    <row r="5" spans="1:15">
      <c r="A5" s="42" t="s">
        <v>535</v>
      </c>
      <c r="J5" s="61"/>
      <c r="K5" s="61"/>
    </row>
    <row r="6" spans="1:15">
      <c r="A6" s="680" t="s">
        <v>536</v>
      </c>
      <c r="B6" s="680"/>
      <c r="C6" s="680"/>
      <c r="D6" s="680"/>
      <c r="E6" s="680"/>
      <c r="F6" s="680"/>
      <c r="J6" s="61"/>
      <c r="K6" s="61"/>
    </row>
    <row r="7" spans="1:15">
      <c r="A7" s="680"/>
      <c r="B7" s="680"/>
      <c r="C7" s="680"/>
      <c r="D7" s="680"/>
      <c r="E7" s="680"/>
      <c r="F7" s="680"/>
      <c r="G7" s="680"/>
      <c r="H7" s="680"/>
      <c r="I7" s="680"/>
      <c r="J7" s="680"/>
      <c r="K7" s="91"/>
    </row>
    <row r="8" spans="1:15">
      <c r="J8" s="61"/>
      <c r="K8" s="61"/>
      <c r="O8" s="63"/>
    </row>
    <row r="9" spans="1:15">
      <c r="D9" s="103">
        <v>1</v>
      </c>
      <c r="E9" s="103">
        <v>2</v>
      </c>
      <c r="F9" s="103">
        <v>3</v>
      </c>
      <c r="G9" s="103">
        <v>4</v>
      </c>
      <c r="H9" s="103">
        <v>5</v>
      </c>
      <c r="I9" s="103">
        <v>6</v>
      </c>
      <c r="J9" s="103">
        <v>7</v>
      </c>
      <c r="K9" s="103">
        <v>8</v>
      </c>
      <c r="L9" s="103">
        <v>9</v>
      </c>
      <c r="M9" s="103">
        <v>10</v>
      </c>
      <c r="N9" s="103">
        <v>11</v>
      </c>
      <c r="O9" s="103">
        <v>12</v>
      </c>
    </row>
    <row r="10" spans="1:15" ht="14.4">
      <c r="A10" s="64"/>
      <c r="B10" s="65"/>
      <c r="C10" s="65"/>
      <c r="D10" s="65"/>
      <c r="E10" s="65"/>
      <c r="F10" s="65"/>
      <c r="G10" s="681" t="s">
        <v>537</v>
      </c>
      <c r="H10" s="682"/>
      <c r="I10" s="682"/>
      <c r="J10" s="683"/>
      <c r="K10" s="92"/>
      <c r="L10" s="65"/>
      <c r="M10" s="65"/>
      <c r="N10" s="65"/>
      <c r="O10" s="66"/>
    </row>
    <row r="11" spans="1:15" ht="114.9" customHeight="1">
      <c r="A11" s="67" t="s">
        <v>538</v>
      </c>
      <c r="B11" s="68" t="s">
        <v>539</v>
      </c>
      <c r="C11" s="68" t="s">
        <v>416</v>
      </c>
      <c r="D11" s="69" t="s">
        <v>549</v>
      </c>
      <c r="E11" s="69" t="s">
        <v>128</v>
      </c>
      <c r="F11" s="69" t="s">
        <v>419</v>
      </c>
      <c r="G11" s="94" t="s">
        <v>540</v>
      </c>
      <c r="H11" s="94" t="s">
        <v>541</v>
      </c>
      <c r="I11" s="94" t="s">
        <v>542</v>
      </c>
      <c r="J11" s="94" t="s">
        <v>543</v>
      </c>
      <c r="K11" s="95" t="s">
        <v>548</v>
      </c>
      <c r="L11" s="96" t="s">
        <v>544</v>
      </c>
      <c r="M11" s="96" t="s">
        <v>545</v>
      </c>
      <c r="N11" s="96" t="s">
        <v>546</v>
      </c>
      <c r="O11" s="69" t="s">
        <v>547</v>
      </c>
    </row>
    <row r="12" spans="1:15">
      <c r="A12" s="70">
        <v>302</v>
      </c>
      <c r="B12" s="42" t="s">
        <v>431</v>
      </c>
      <c r="C12" s="42">
        <v>3021100</v>
      </c>
      <c r="D12" s="93">
        <v>1100</v>
      </c>
      <c r="E12" s="71" t="s">
        <v>327</v>
      </c>
      <c r="F12" s="71" t="s">
        <v>446</v>
      </c>
      <c r="G12" s="72">
        <v>1</v>
      </c>
      <c r="H12" s="73">
        <v>49</v>
      </c>
      <c r="I12" s="73">
        <v>0</v>
      </c>
      <c r="J12" s="74">
        <v>0</v>
      </c>
      <c r="K12" s="73">
        <f>SUM(G12:J12)</f>
        <v>50</v>
      </c>
      <c r="L12" s="75">
        <f t="shared" ref="L12:L75" si="0">1345*G12+955*H12</f>
        <v>48140</v>
      </c>
      <c r="M12" s="76">
        <f t="shared" ref="M12:M75" si="1">310*I12</f>
        <v>0</v>
      </c>
      <c r="N12" s="77">
        <f t="shared" ref="N12:N75" si="2">2345*J12</f>
        <v>0</v>
      </c>
      <c r="O12" s="78">
        <f t="shared" ref="O12:O75" si="3">L12+M12+N12</f>
        <v>48140</v>
      </c>
    </row>
    <row r="13" spans="1:15">
      <c r="A13" s="70">
        <v>302</v>
      </c>
      <c r="B13" s="42" t="s">
        <v>431</v>
      </c>
      <c r="C13" s="42">
        <v>3021102</v>
      </c>
      <c r="D13" s="93">
        <v>1102</v>
      </c>
      <c r="E13" s="71" t="s">
        <v>348</v>
      </c>
      <c r="F13" s="71" t="s">
        <v>446</v>
      </c>
      <c r="G13" s="72">
        <v>0</v>
      </c>
      <c r="H13" s="73">
        <v>3</v>
      </c>
      <c r="I13" s="73">
        <v>0</v>
      </c>
      <c r="J13" s="74">
        <v>1</v>
      </c>
      <c r="K13" s="73">
        <f t="shared" ref="K13:K76" si="4">SUM(G13:J13)</f>
        <v>4</v>
      </c>
      <c r="L13" s="75">
        <f t="shared" si="0"/>
        <v>2865</v>
      </c>
      <c r="M13" s="76">
        <f t="shared" si="1"/>
        <v>0</v>
      </c>
      <c r="N13" s="77">
        <f t="shared" si="2"/>
        <v>2345</v>
      </c>
      <c r="O13" s="78">
        <f t="shared" si="3"/>
        <v>5210</v>
      </c>
    </row>
    <row r="14" spans="1:15">
      <c r="A14" s="70">
        <v>302</v>
      </c>
      <c r="B14" s="42" t="s">
        <v>431</v>
      </c>
      <c r="C14" s="42">
        <v>3022001</v>
      </c>
      <c r="D14" s="93">
        <v>2001</v>
      </c>
      <c r="E14" s="71" t="s">
        <v>355</v>
      </c>
      <c r="F14" s="71" t="s">
        <v>436</v>
      </c>
      <c r="G14" s="72">
        <v>3</v>
      </c>
      <c r="H14" s="73">
        <v>0</v>
      </c>
      <c r="I14" s="73">
        <v>0</v>
      </c>
      <c r="J14" s="74">
        <v>0</v>
      </c>
      <c r="K14" s="73">
        <f t="shared" si="4"/>
        <v>3</v>
      </c>
      <c r="L14" s="75">
        <f t="shared" si="0"/>
        <v>4035</v>
      </c>
      <c r="M14" s="76">
        <f t="shared" si="1"/>
        <v>0</v>
      </c>
      <c r="N14" s="77">
        <f t="shared" si="2"/>
        <v>0</v>
      </c>
      <c r="O14" s="78">
        <f t="shared" si="3"/>
        <v>4035</v>
      </c>
    </row>
    <row r="15" spans="1:15">
      <c r="A15" s="70">
        <v>302</v>
      </c>
      <c r="B15" s="42" t="s">
        <v>431</v>
      </c>
      <c r="C15" s="42">
        <v>3022002</v>
      </c>
      <c r="D15" s="93">
        <v>2002</v>
      </c>
      <c r="E15" s="71" t="s">
        <v>258</v>
      </c>
      <c r="F15" s="71" t="s">
        <v>447</v>
      </c>
      <c r="G15" s="72">
        <v>131</v>
      </c>
      <c r="H15" s="73">
        <v>0</v>
      </c>
      <c r="I15" s="73">
        <v>0</v>
      </c>
      <c r="J15" s="74">
        <v>0</v>
      </c>
      <c r="K15" s="73">
        <f t="shared" si="4"/>
        <v>131</v>
      </c>
      <c r="L15" s="75">
        <f t="shared" si="0"/>
        <v>176195</v>
      </c>
      <c r="M15" s="76">
        <f t="shared" si="1"/>
        <v>0</v>
      </c>
      <c r="N15" s="77">
        <f t="shared" si="2"/>
        <v>0</v>
      </c>
      <c r="O15" s="78">
        <f t="shared" si="3"/>
        <v>176195</v>
      </c>
    </row>
    <row r="16" spans="1:15">
      <c r="A16" s="70">
        <v>302</v>
      </c>
      <c r="B16" s="42" t="s">
        <v>431</v>
      </c>
      <c r="C16" s="42">
        <v>3022003</v>
      </c>
      <c r="D16" s="93">
        <v>2003</v>
      </c>
      <c r="E16" s="71" t="s">
        <v>260</v>
      </c>
      <c r="F16" s="71" t="s">
        <v>447</v>
      </c>
      <c r="G16" s="72">
        <v>157</v>
      </c>
      <c r="H16" s="73">
        <v>0</v>
      </c>
      <c r="I16" s="73">
        <v>0</v>
      </c>
      <c r="J16" s="74">
        <v>0</v>
      </c>
      <c r="K16" s="73">
        <f t="shared" si="4"/>
        <v>157</v>
      </c>
      <c r="L16" s="75">
        <f t="shared" si="0"/>
        <v>211165</v>
      </c>
      <c r="M16" s="76">
        <f t="shared" si="1"/>
        <v>0</v>
      </c>
      <c r="N16" s="77">
        <f t="shared" si="2"/>
        <v>0</v>
      </c>
      <c r="O16" s="78">
        <f t="shared" si="3"/>
        <v>211165</v>
      </c>
    </row>
    <row r="17" spans="1:15">
      <c r="A17" s="70">
        <v>302</v>
      </c>
      <c r="B17" s="42" t="s">
        <v>431</v>
      </c>
      <c r="C17" s="42">
        <v>3022004</v>
      </c>
      <c r="D17" s="93">
        <v>2004</v>
      </c>
      <c r="E17" s="71" t="s">
        <v>356</v>
      </c>
      <c r="F17" s="71" t="s">
        <v>436</v>
      </c>
      <c r="G17" s="72">
        <v>11</v>
      </c>
      <c r="H17" s="73">
        <v>0</v>
      </c>
      <c r="I17" s="73">
        <v>0</v>
      </c>
      <c r="J17" s="74">
        <v>0</v>
      </c>
      <c r="K17" s="73">
        <f t="shared" si="4"/>
        <v>11</v>
      </c>
      <c r="L17" s="75">
        <f t="shared" si="0"/>
        <v>14795</v>
      </c>
      <c r="M17" s="76">
        <f t="shared" si="1"/>
        <v>0</v>
      </c>
      <c r="N17" s="77">
        <f t="shared" si="2"/>
        <v>0</v>
      </c>
      <c r="O17" s="78">
        <f t="shared" si="3"/>
        <v>14795</v>
      </c>
    </row>
    <row r="18" spans="1:15">
      <c r="A18" s="70">
        <v>302</v>
      </c>
      <c r="B18" s="42" t="s">
        <v>431</v>
      </c>
      <c r="C18" s="42">
        <v>3022007</v>
      </c>
      <c r="D18" s="93">
        <v>2007</v>
      </c>
      <c r="E18" s="71" t="s">
        <v>42</v>
      </c>
      <c r="F18" s="71" t="s">
        <v>447</v>
      </c>
      <c r="G18" s="72">
        <v>74</v>
      </c>
      <c r="H18" s="73">
        <v>0</v>
      </c>
      <c r="I18" s="73">
        <v>0</v>
      </c>
      <c r="J18" s="74">
        <v>0</v>
      </c>
      <c r="K18" s="73">
        <f t="shared" si="4"/>
        <v>74</v>
      </c>
      <c r="L18" s="75">
        <f t="shared" si="0"/>
        <v>99530</v>
      </c>
      <c r="M18" s="76">
        <f t="shared" si="1"/>
        <v>0</v>
      </c>
      <c r="N18" s="77">
        <f t="shared" si="2"/>
        <v>0</v>
      </c>
      <c r="O18" s="78">
        <f t="shared" si="3"/>
        <v>99530</v>
      </c>
    </row>
    <row r="19" spans="1:15">
      <c r="A19" s="70">
        <v>302</v>
      </c>
      <c r="B19" s="42" t="s">
        <v>431</v>
      </c>
      <c r="C19" s="42">
        <v>3022008</v>
      </c>
      <c r="D19" s="93">
        <v>2008</v>
      </c>
      <c r="E19" s="71" t="s">
        <v>261</v>
      </c>
      <c r="F19" s="71" t="s">
        <v>447</v>
      </c>
      <c r="G19" s="72">
        <v>40</v>
      </c>
      <c r="H19" s="73">
        <v>0</v>
      </c>
      <c r="I19" s="73">
        <v>0</v>
      </c>
      <c r="J19" s="74">
        <v>2</v>
      </c>
      <c r="K19" s="73">
        <f t="shared" si="4"/>
        <v>42</v>
      </c>
      <c r="L19" s="75">
        <f t="shared" si="0"/>
        <v>53800</v>
      </c>
      <c r="M19" s="76">
        <f t="shared" si="1"/>
        <v>0</v>
      </c>
      <c r="N19" s="77">
        <f t="shared" si="2"/>
        <v>4690</v>
      </c>
      <c r="O19" s="78">
        <f t="shared" si="3"/>
        <v>58490</v>
      </c>
    </row>
    <row r="20" spans="1:15">
      <c r="A20" s="70">
        <v>302</v>
      </c>
      <c r="B20" s="42" t="s">
        <v>431</v>
      </c>
      <c r="C20" s="42">
        <v>3022009</v>
      </c>
      <c r="D20" s="93">
        <v>2009</v>
      </c>
      <c r="E20" s="71" t="s">
        <v>262</v>
      </c>
      <c r="F20" s="71" t="s">
        <v>447</v>
      </c>
      <c r="G20" s="72">
        <v>83</v>
      </c>
      <c r="H20" s="73">
        <v>0</v>
      </c>
      <c r="I20" s="73">
        <v>0</v>
      </c>
      <c r="J20" s="74">
        <v>2</v>
      </c>
      <c r="K20" s="73">
        <f t="shared" si="4"/>
        <v>85</v>
      </c>
      <c r="L20" s="75">
        <f t="shared" si="0"/>
        <v>111635</v>
      </c>
      <c r="M20" s="76">
        <f t="shared" si="1"/>
        <v>0</v>
      </c>
      <c r="N20" s="77">
        <f t="shared" si="2"/>
        <v>4690</v>
      </c>
      <c r="O20" s="78">
        <f t="shared" si="3"/>
        <v>116325</v>
      </c>
    </row>
    <row r="21" spans="1:15">
      <c r="A21" s="70">
        <v>302</v>
      </c>
      <c r="B21" s="42" t="s">
        <v>431</v>
      </c>
      <c r="C21" s="42">
        <v>3022010</v>
      </c>
      <c r="D21" s="93">
        <v>2010</v>
      </c>
      <c r="E21" s="71" t="s">
        <v>511</v>
      </c>
      <c r="F21" s="71" t="s">
        <v>420</v>
      </c>
      <c r="G21" s="72">
        <v>117</v>
      </c>
      <c r="H21" s="73">
        <v>0</v>
      </c>
      <c r="I21" s="73">
        <v>0</v>
      </c>
      <c r="J21" s="74">
        <v>0</v>
      </c>
      <c r="K21" s="73">
        <f t="shared" si="4"/>
        <v>117</v>
      </c>
      <c r="L21" s="75">
        <f t="shared" si="0"/>
        <v>157365</v>
      </c>
      <c r="M21" s="76">
        <f t="shared" si="1"/>
        <v>0</v>
      </c>
      <c r="N21" s="77">
        <f t="shared" si="2"/>
        <v>0</v>
      </c>
      <c r="O21" s="78">
        <f t="shared" si="3"/>
        <v>157365</v>
      </c>
    </row>
    <row r="22" spans="1:15">
      <c r="A22" s="70">
        <v>302</v>
      </c>
      <c r="B22" s="42" t="s">
        <v>431</v>
      </c>
      <c r="C22" s="42">
        <v>3022011</v>
      </c>
      <c r="D22" s="93">
        <v>2011</v>
      </c>
      <c r="E22" s="71" t="s">
        <v>47</v>
      </c>
      <c r="F22" s="71" t="s">
        <v>447</v>
      </c>
      <c r="G22" s="72">
        <v>33</v>
      </c>
      <c r="H22" s="73">
        <v>0</v>
      </c>
      <c r="I22" s="73">
        <v>0</v>
      </c>
      <c r="J22" s="74">
        <v>2</v>
      </c>
      <c r="K22" s="73">
        <f t="shared" si="4"/>
        <v>35</v>
      </c>
      <c r="L22" s="75">
        <f t="shared" si="0"/>
        <v>44385</v>
      </c>
      <c r="M22" s="76">
        <f t="shared" si="1"/>
        <v>0</v>
      </c>
      <c r="N22" s="77">
        <f t="shared" si="2"/>
        <v>4690</v>
      </c>
      <c r="O22" s="78">
        <f t="shared" si="3"/>
        <v>49075</v>
      </c>
    </row>
    <row r="23" spans="1:15">
      <c r="A23" s="70">
        <v>302</v>
      </c>
      <c r="B23" s="42" t="s">
        <v>431</v>
      </c>
      <c r="C23" s="42">
        <v>3022014</v>
      </c>
      <c r="D23" s="93">
        <v>2014</v>
      </c>
      <c r="E23" s="71" t="s">
        <v>266</v>
      </c>
      <c r="F23" s="71" t="s">
        <v>447</v>
      </c>
      <c r="G23" s="72">
        <v>191</v>
      </c>
      <c r="H23" s="73">
        <v>0</v>
      </c>
      <c r="I23" s="73">
        <v>0</v>
      </c>
      <c r="J23" s="74">
        <v>0</v>
      </c>
      <c r="K23" s="73">
        <f t="shared" si="4"/>
        <v>191</v>
      </c>
      <c r="L23" s="75">
        <f t="shared" si="0"/>
        <v>256895</v>
      </c>
      <c r="M23" s="76">
        <f t="shared" si="1"/>
        <v>0</v>
      </c>
      <c r="N23" s="77">
        <f t="shared" si="2"/>
        <v>0</v>
      </c>
      <c r="O23" s="78">
        <f t="shared" si="3"/>
        <v>256895</v>
      </c>
    </row>
    <row r="24" spans="1:15">
      <c r="A24" s="70">
        <v>302</v>
      </c>
      <c r="B24" s="42" t="s">
        <v>431</v>
      </c>
      <c r="C24" s="42">
        <v>3022015</v>
      </c>
      <c r="D24" s="93">
        <v>2015</v>
      </c>
      <c r="E24" s="71" t="s">
        <v>267</v>
      </c>
      <c r="F24" s="71" t="s">
        <v>447</v>
      </c>
      <c r="G24" s="72">
        <v>77</v>
      </c>
      <c r="H24" s="73">
        <v>0</v>
      </c>
      <c r="I24" s="73">
        <v>0</v>
      </c>
      <c r="J24" s="74">
        <v>0</v>
      </c>
      <c r="K24" s="73">
        <f t="shared" si="4"/>
        <v>77</v>
      </c>
      <c r="L24" s="75">
        <f t="shared" si="0"/>
        <v>103565</v>
      </c>
      <c r="M24" s="76">
        <f t="shared" si="1"/>
        <v>0</v>
      </c>
      <c r="N24" s="77">
        <f t="shared" si="2"/>
        <v>0</v>
      </c>
      <c r="O24" s="78">
        <f t="shared" si="3"/>
        <v>103565</v>
      </c>
    </row>
    <row r="25" spans="1:15">
      <c r="A25" s="70">
        <v>302</v>
      </c>
      <c r="B25" s="42" t="s">
        <v>431</v>
      </c>
      <c r="C25" s="42">
        <v>3022016</v>
      </c>
      <c r="D25" s="93">
        <v>2016</v>
      </c>
      <c r="E25" s="71" t="s">
        <v>52</v>
      </c>
      <c r="F25" s="71" t="s">
        <v>447</v>
      </c>
      <c r="G25" s="72">
        <v>21</v>
      </c>
      <c r="H25" s="73">
        <v>0</v>
      </c>
      <c r="I25" s="73">
        <v>0</v>
      </c>
      <c r="J25" s="74">
        <v>0</v>
      </c>
      <c r="K25" s="73">
        <f t="shared" si="4"/>
        <v>21</v>
      </c>
      <c r="L25" s="75">
        <f t="shared" si="0"/>
        <v>28245</v>
      </c>
      <c r="M25" s="76">
        <f t="shared" si="1"/>
        <v>0</v>
      </c>
      <c r="N25" s="77">
        <f t="shared" si="2"/>
        <v>0</v>
      </c>
      <c r="O25" s="78">
        <f t="shared" si="3"/>
        <v>28245</v>
      </c>
    </row>
    <row r="26" spans="1:15">
      <c r="A26" s="70">
        <v>302</v>
      </c>
      <c r="B26" s="42" t="s">
        <v>431</v>
      </c>
      <c r="C26" s="42">
        <v>3022017</v>
      </c>
      <c r="D26" s="93">
        <v>2017</v>
      </c>
      <c r="E26" s="71" t="s">
        <v>268</v>
      </c>
      <c r="F26" s="71" t="s">
        <v>447</v>
      </c>
      <c r="G26" s="72">
        <v>108</v>
      </c>
      <c r="H26" s="73">
        <v>0</v>
      </c>
      <c r="I26" s="73">
        <v>0</v>
      </c>
      <c r="J26" s="74">
        <v>0</v>
      </c>
      <c r="K26" s="73">
        <f t="shared" si="4"/>
        <v>108</v>
      </c>
      <c r="L26" s="75">
        <f t="shared" si="0"/>
        <v>145260</v>
      </c>
      <c r="M26" s="76">
        <f t="shared" si="1"/>
        <v>0</v>
      </c>
      <c r="N26" s="77">
        <f t="shared" si="2"/>
        <v>0</v>
      </c>
      <c r="O26" s="78">
        <f t="shared" si="3"/>
        <v>145260</v>
      </c>
    </row>
    <row r="27" spans="1:15">
      <c r="A27" s="70">
        <v>302</v>
      </c>
      <c r="B27" s="42" t="s">
        <v>431</v>
      </c>
      <c r="C27" s="42">
        <v>3022018</v>
      </c>
      <c r="D27" s="93">
        <v>2018</v>
      </c>
      <c r="E27" s="71" t="s">
        <v>56</v>
      </c>
      <c r="F27" s="71" t="s">
        <v>420</v>
      </c>
      <c r="G27" s="72">
        <v>118</v>
      </c>
      <c r="H27" s="73">
        <v>0</v>
      </c>
      <c r="I27" s="73">
        <v>0</v>
      </c>
      <c r="J27" s="74">
        <v>0</v>
      </c>
      <c r="K27" s="73">
        <f t="shared" si="4"/>
        <v>118</v>
      </c>
      <c r="L27" s="75">
        <f t="shared" si="0"/>
        <v>158710</v>
      </c>
      <c r="M27" s="76">
        <f t="shared" si="1"/>
        <v>0</v>
      </c>
      <c r="N27" s="77">
        <f t="shared" si="2"/>
        <v>0</v>
      </c>
      <c r="O27" s="78">
        <f t="shared" si="3"/>
        <v>158710</v>
      </c>
    </row>
    <row r="28" spans="1:15">
      <c r="A28" s="70">
        <v>302</v>
      </c>
      <c r="B28" s="42" t="s">
        <v>431</v>
      </c>
      <c r="C28" s="42">
        <v>3022019</v>
      </c>
      <c r="D28" s="93">
        <v>2019</v>
      </c>
      <c r="E28" s="71" t="s">
        <v>55</v>
      </c>
      <c r="F28" s="71" t="s">
        <v>447</v>
      </c>
      <c r="G28" s="72">
        <v>50</v>
      </c>
      <c r="H28" s="73">
        <v>0</v>
      </c>
      <c r="I28" s="73">
        <v>0</v>
      </c>
      <c r="J28" s="74">
        <v>0</v>
      </c>
      <c r="K28" s="73">
        <f t="shared" si="4"/>
        <v>50</v>
      </c>
      <c r="L28" s="75">
        <f t="shared" si="0"/>
        <v>67250</v>
      </c>
      <c r="M28" s="76">
        <f t="shared" si="1"/>
        <v>0</v>
      </c>
      <c r="N28" s="77">
        <f t="shared" si="2"/>
        <v>0</v>
      </c>
      <c r="O28" s="78">
        <f t="shared" si="3"/>
        <v>67250</v>
      </c>
    </row>
    <row r="29" spans="1:15">
      <c r="A29" s="70">
        <v>302</v>
      </c>
      <c r="B29" s="42" t="s">
        <v>431</v>
      </c>
      <c r="C29" s="42">
        <v>3022020</v>
      </c>
      <c r="D29" s="93">
        <v>2020</v>
      </c>
      <c r="E29" s="71" t="s">
        <v>361</v>
      </c>
      <c r="F29" s="71" t="s">
        <v>436</v>
      </c>
      <c r="G29" s="72">
        <v>9</v>
      </c>
      <c r="H29" s="73">
        <v>0</v>
      </c>
      <c r="I29" s="73">
        <v>0</v>
      </c>
      <c r="J29" s="74">
        <v>1</v>
      </c>
      <c r="K29" s="73">
        <f t="shared" si="4"/>
        <v>10</v>
      </c>
      <c r="L29" s="75">
        <f t="shared" si="0"/>
        <v>12105</v>
      </c>
      <c r="M29" s="76">
        <f t="shared" si="1"/>
        <v>0</v>
      </c>
      <c r="N29" s="77">
        <f t="shared" si="2"/>
        <v>2345</v>
      </c>
      <c r="O29" s="78">
        <f t="shared" si="3"/>
        <v>14450</v>
      </c>
    </row>
    <row r="30" spans="1:15">
      <c r="A30" s="70">
        <v>302</v>
      </c>
      <c r="B30" s="42" t="s">
        <v>431</v>
      </c>
      <c r="C30" s="42">
        <v>3022021</v>
      </c>
      <c r="D30" s="93">
        <v>2021</v>
      </c>
      <c r="E30" s="71" t="s">
        <v>474</v>
      </c>
      <c r="F30" s="71" t="s">
        <v>447</v>
      </c>
      <c r="G30" s="72">
        <v>146</v>
      </c>
      <c r="H30" s="73">
        <v>0</v>
      </c>
      <c r="I30" s="73">
        <v>0</v>
      </c>
      <c r="J30" s="74">
        <v>0</v>
      </c>
      <c r="K30" s="73">
        <f t="shared" si="4"/>
        <v>146</v>
      </c>
      <c r="L30" s="75">
        <f t="shared" si="0"/>
        <v>196370</v>
      </c>
      <c r="M30" s="76">
        <f t="shared" si="1"/>
        <v>0</v>
      </c>
      <c r="N30" s="77">
        <f t="shared" si="2"/>
        <v>0</v>
      </c>
      <c r="O30" s="78">
        <f t="shared" si="3"/>
        <v>196370</v>
      </c>
    </row>
    <row r="31" spans="1:15">
      <c r="A31" s="70">
        <v>302</v>
      </c>
      <c r="B31" s="42" t="s">
        <v>431</v>
      </c>
      <c r="C31" s="42">
        <v>3022023</v>
      </c>
      <c r="D31" s="93">
        <v>2023</v>
      </c>
      <c r="E31" s="71" t="s">
        <v>412</v>
      </c>
      <c r="F31" s="71" t="s">
        <v>447</v>
      </c>
      <c r="G31" s="72">
        <v>179</v>
      </c>
      <c r="H31" s="73">
        <v>0</v>
      </c>
      <c r="I31" s="73">
        <v>0</v>
      </c>
      <c r="J31" s="74">
        <v>1</v>
      </c>
      <c r="K31" s="73">
        <f t="shared" si="4"/>
        <v>180</v>
      </c>
      <c r="L31" s="75">
        <f t="shared" si="0"/>
        <v>240755</v>
      </c>
      <c r="M31" s="76">
        <f t="shared" si="1"/>
        <v>0</v>
      </c>
      <c r="N31" s="77">
        <f t="shared" si="2"/>
        <v>2345</v>
      </c>
      <c r="O31" s="78">
        <f t="shared" si="3"/>
        <v>243100</v>
      </c>
    </row>
    <row r="32" spans="1:15">
      <c r="A32" s="70">
        <v>302</v>
      </c>
      <c r="B32" s="42" t="s">
        <v>431</v>
      </c>
      <c r="C32" s="42">
        <v>3022024</v>
      </c>
      <c r="D32" s="93">
        <v>2024</v>
      </c>
      <c r="E32" s="71" t="s">
        <v>421</v>
      </c>
      <c r="F32" s="71" t="s">
        <v>447</v>
      </c>
      <c r="G32" s="72">
        <v>69.5</v>
      </c>
      <c r="H32" s="73">
        <v>0</v>
      </c>
      <c r="I32" s="73">
        <v>0</v>
      </c>
      <c r="J32" s="74">
        <v>2</v>
      </c>
      <c r="K32" s="73">
        <f t="shared" si="4"/>
        <v>71.5</v>
      </c>
      <c r="L32" s="75">
        <f t="shared" si="0"/>
        <v>93477.5</v>
      </c>
      <c r="M32" s="76">
        <f t="shared" si="1"/>
        <v>0</v>
      </c>
      <c r="N32" s="77">
        <f t="shared" si="2"/>
        <v>4690</v>
      </c>
      <c r="O32" s="78">
        <f t="shared" si="3"/>
        <v>98167.5</v>
      </c>
    </row>
    <row r="33" spans="1:15">
      <c r="A33" s="70">
        <v>302</v>
      </c>
      <c r="B33" s="42" t="s">
        <v>431</v>
      </c>
      <c r="C33" s="42">
        <v>3022025</v>
      </c>
      <c r="D33" s="93">
        <v>2025</v>
      </c>
      <c r="E33" s="71" t="s">
        <v>62</v>
      </c>
      <c r="F33" s="71" t="s">
        <v>447</v>
      </c>
      <c r="G33" s="72">
        <v>6</v>
      </c>
      <c r="H33" s="73">
        <v>0</v>
      </c>
      <c r="I33" s="73">
        <v>0</v>
      </c>
      <c r="J33" s="74">
        <v>5</v>
      </c>
      <c r="K33" s="73">
        <f t="shared" si="4"/>
        <v>11</v>
      </c>
      <c r="L33" s="75">
        <f t="shared" si="0"/>
        <v>8070</v>
      </c>
      <c r="M33" s="76">
        <f t="shared" si="1"/>
        <v>0</v>
      </c>
      <c r="N33" s="77">
        <f t="shared" si="2"/>
        <v>11725</v>
      </c>
      <c r="O33" s="78">
        <f t="shared" si="3"/>
        <v>19795</v>
      </c>
    </row>
    <row r="34" spans="1:15">
      <c r="A34" s="70">
        <v>302</v>
      </c>
      <c r="B34" s="42" t="s">
        <v>431</v>
      </c>
      <c r="C34" s="42">
        <v>3022026</v>
      </c>
      <c r="D34" s="93">
        <v>2026</v>
      </c>
      <c r="E34" s="71" t="s">
        <v>270</v>
      </c>
      <c r="F34" s="71" t="s">
        <v>447</v>
      </c>
      <c r="G34" s="72">
        <v>80</v>
      </c>
      <c r="H34" s="73">
        <v>0</v>
      </c>
      <c r="I34" s="73">
        <v>0</v>
      </c>
      <c r="J34" s="74">
        <v>0</v>
      </c>
      <c r="K34" s="73">
        <f t="shared" si="4"/>
        <v>80</v>
      </c>
      <c r="L34" s="75">
        <f t="shared" si="0"/>
        <v>107600</v>
      </c>
      <c r="M34" s="76">
        <f t="shared" si="1"/>
        <v>0</v>
      </c>
      <c r="N34" s="77">
        <f t="shared" si="2"/>
        <v>0</v>
      </c>
      <c r="O34" s="78">
        <f t="shared" si="3"/>
        <v>107600</v>
      </c>
    </row>
    <row r="35" spans="1:15">
      <c r="A35" s="70">
        <v>302</v>
      </c>
      <c r="B35" s="42" t="s">
        <v>431</v>
      </c>
      <c r="C35" s="42">
        <v>3022027</v>
      </c>
      <c r="D35" s="93">
        <v>2027</v>
      </c>
      <c r="E35" s="71" t="s">
        <v>65</v>
      </c>
      <c r="F35" s="71" t="s">
        <v>447</v>
      </c>
      <c r="G35" s="72">
        <v>63</v>
      </c>
      <c r="H35" s="73">
        <v>0</v>
      </c>
      <c r="I35" s="73">
        <v>1</v>
      </c>
      <c r="J35" s="74">
        <v>1</v>
      </c>
      <c r="K35" s="73">
        <f t="shared" si="4"/>
        <v>65</v>
      </c>
      <c r="L35" s="75">
        <f t="shared" si="0"/>
        <v>84735</v>
      </c>
      <c r="M35" s="76">
        <f t="shared" si="1"/>
        <v>310</v>
      </c>
      <c r="N35" s="77">
        <f t="shared" si="2"/>
        <v>2345</v>
      </c>
      <c r="O35" s="78">
        <f t="shared" si="3"/>
        <v>87390</v>
      </c>
    </row>
    <row r="36" spans="1:15">
      <c r="A36" s="70">
        <v>302</v>
      </c>
      <c r="B36" s="42" t="s">
        <v>431</v>
      </c>
      <c r="C36" s="42">
        <v>3022028</v>
      </c>
      <c r="D36" s="93">
        <v>2028</v>
      </c>
      <c r="E36" s="71" t="s">
        <v>64</v>
      </c>
      <c r="F36" s="71" t="s">
        <v>447</v>
      </c>
      <c r="G36" s="72">
        <v>34</v>
      </c>
      <c r="H36" s="73">
        <v>0</v>
      </c>
      <c r="I36" s="73">
        <v>0</v>
      </c>
      <c r="J36" s="74">
        <v>2</v>
      </c>
      <c r="K36" s="73">
        <f t="shared" si="4"/>
        <v>36</v>
      </c>
      <c r="L36" s="75">
        <f t="shared" si="0"/>
        <v>45730</v>
      </c>
      <c r="M36" s="76">
        <f t="shared" si="1"/>
        <v>0</v>
      </c>
      <c r="N36" s="77">
        <f t="shared" si="2"/>
        <v>4690</v>
      </c>
      <c r="O36" s="78">
        <f t="shared" si="3"/>
        <v>50420</v>
      </c>
    </row>
    <row r="37" spans="1:15">
      <c r="A37" s="70">
        <v>302</v>
      </c>
      <c r="B37" s="42" t="s">
        <v>431</v>
      </c>
      <c r="C37" s="42">
        <v>3022029</v>
      </c>
      <c r="D37" s="93">
        <v>2029</v>
      </c>
      <c r="E37" s="71" t="s">
        <v>271</v>
      </c>
      <c r="F37" s="71" t="s">
        <v>447</v>
      </c>
      <c r="G37" s="72">
        <v>169</v>
      </c>
      <c r="H37" s="73">
        <v>0</v>
      </c>
      <c r="I37" s="73">
        <v>0</v>
      </c>
      <c r="J37" s="74">
        <v>1</v>
      </c>
      <c r="K37" s="73">
        <f t="shared" si="4"/>
        <v>170</v>
      </c>
      <c r="L37" s="75">
        <f t="shared" si="0"/>
        <v>227305</v>
      </c>
      <c r="M37" s="76">
        <f t="shared" si="1"/>
        <v>0</v>
      </c>
      <c r="N37" s="77">
        <f t="shared" si="2"/>
        <v>2345</v>
      </c>
      <c r="O37" s="78">
        <f t="shared" si="3"/>
        <v>229650</v>
      </c>
    </row>
    <row r="38" spans="1:15">
      <c r="A38" s="70">
        <v>302</v>
      </c>
      <c r="B38" s="42" t="s">
        <v>431</v>
      </c>
      <c r="C38" s="42">
        <v>3022030</v>
      </c>
      <c r="D38" s="93">
        <v>2030</v>
      </c>
      <c r="E38" s="71" t="s">
        <v>67</v>
      </c>
      <c r="F38" s="71" t="s">
        <v>420</v>
      </c>
      <c r="G38" s="72">
        <v>21</v>
      </c>
      <c r="H38" s="73">
        <v>0</v>
      </c>
      <c r="I38" s="73">
        <v>0</v>
      </c>
      <c r="J38" s="74">
        <v>0</v>
      </c>
      <c r="K38" s="73">
        <f t="shared" si="4"/>
        <v>21</v>
      </c>
      <c r="L38" s="75">
        <f t="shared" si="0"/>
        <v>28245</v>
      </c>
      <c r="M38" s="76">
        <f t="shared" si="1"/>
        <v>0</v>
      </c>
      <c r="N38" s="77">
        <f t="shared" si="2"/>
        <v>0</v>
      </c>
      <c r="O38" s="78">
        <f t="shared" si="3"/>
        <v>28245</v>
      </c>
    </row>
    <row r="39" spans="1:15">
      <c r="A39" s="70">
        <v>302</v>
      </c>
      <c r="B39" s="42" t="s">
        <v>431</v>
      </c>
      <c r="C39" s="42">
        <v>3022031</v>
      </c>
      <c r="D39" s="93">
        <v>2031</v>
      </c>
      <c r="E39" s="71" t="s">
        <v>272</v>
      </c>
      <c r="F39" s="71" t="s">
        <v>448</v>
      </c>
      <c r="G39" s="72">
        <v>59</v>
      </c>
      <c r="H39" s="73">
        <v>0</v>
      </c>
      <c r="I39" s="73">
        <v>0</v>
      </c>
      <c r="J39" s="74">
        <v>0</v>
      </c>
      <c r="K39" s="73">
        <f t="shared" si="4"/>
        <v>59</v>
      </c>
      <c r="L39" s="75">
        <f t="shared" si="0"/>
        <v>79355</v>
      </c>
      <c r="M39" s="76">
        <f t="shared" si="1"/>
        <v>0</v>
      </c>
      <c r="N39" s="77">
        <f t="shared" si="2"/>
        <v>0</v>
      </c>
      <c r="O39" s="78">
        <f t="shared" si="3"/>
        <v>79355</v>
      </c>
    </row>
    <row r="40" spans="1:15">
      <c r="A40" s="70">
        <v>302</v>
      </c>
      <c r="B40" s="42" t="s">
        <v>431</v>
      </c>
      <c r="C40" s="42">
        <v>3022032</v>
      </c>
      <c r="D40" s="93">
        <v>2032</v>
      </c>
      <c r="E40" s="71" t="s">
        <v>273</v>
      </c>
      <c r="F40" s="71" t="s">
        <v>447</v>
      </c>
      <c r="G40" s="72">
        <v>83</v>
      </c>
      <c r="H40" s="73">
        <v>0</v>
      </c>
      <c r="I40" s="73">
        <v>0</v>
      </c>
      <c r="J40" s="74">
        <v>2</v>
      </c>
      <c r="K40" s="73">
        <f t="shared" si="4"/>
        <v>85</v>
      </c>
      <c r="L40" s="75">
        <f t="shared" si="0"/>
        <v>111635</v>
      </c>
      <c r="M40" s="76">
        <f t="shared" si="1"/>
        <v>0</v>
      </c>
      <c r="N40" s="77">
        <f t="shared" si="2"/>
        <v>4690</v>
      </c>
      <c r="O40" s="78">
        <f t="shared" si="3"/>
        <v>116325</v>
      </c>
    </row>
    <row r="41" spans="1:15">
      <c r="A41" s="70">
        <v>302</v>
      </c>
      <c r="B41" s="42" t="s">
        <v>431</v>
      </c>
      <c r="C41" s="42">
        <v>3022036</v>
      </c>
      <c r="D41" s="93">
        <v>2036</v>
      </c>
      <c r="E41" s="71" t="s">
        <v>422</v>
      </c>
      <c r="F41" s="71" t="s">
        <v>447</v>
      </c>
      <c r="G41" s="72">
        <v>125</v>
      </c>
      <c r="H41" s="73">
        <v>0</v>
      </c>
      <c r="I41" s="73">
        <v>0</v>
      </c>
      <c r="J41" s="74">
        <v>0</v>
      </c>
      <c r="K41" s="73">
        <f t="shared" si="4"/>
        <v>125</v>
      </c>
      <c r="L41" s="75">
        <f t="shared" si="0"/>
        <v>168125</v>
      </c>
      <c r="M41" s="76">
        <f t="shared" si="1"/>
        <v>0</v>
      </c>
      <c r="N41" s="77">
        <f t="shared" si="2"/>
        <v>0</v>
      </c>
      <c r="O41" s="78">
        <f t="shared" si="3"/>
        <v>168125</v>
      </c>
    </row>
    <row r="42" spans="1:15">
      <c r="A42" s="70">
        <v>302</v>
      </c>
      <c r="B42" s="42" t="s">
        <v>431</v>
      </c>
      <c r="C42" s="42">
        <v>3022037</v>
      </c>
      <c r="D42" s="93">
        <v>2037</v>
      </c>
      <c r="E42" s="71" t="s">
        <v>275</v>
      </c>
      <c r="F42" s="71" t="s">
        <v>447</v>
      </c>
      <c r="G42" s="72">
        <v>37</v>
      </c>
      <c r="H42" s="73">
        <v>0</v>
      </c>
      <c r="I42" s="73">
        <v>0</v>
      </c>
      <c r="J42" s="74">
        <v>0</v>
      </c>
      <c r="K42" s="73">
        <f t="shared" si="4"/>
        <v>37</v>
      </c>
      <c r="L42" s="75">
        <f t="shared" si="0"/>
        <v>49765</v>
      </c>
      <c r="M42" s="76">
        <f t="shared" si="1"/>
        <v>0</v>
      </c>
      <c r="N42" s="77">
        <f t="shared" si="2"/>
        <v>0</v>
      </c>
      <c r="O42" s="78">
        <f t="shared" si="3"/>
        <v>49765</v>
      </c>
    </row>
    <row r="43" spans="1:15">
      <c r="A43" s="70">
        <v>302</v>
      </c>
      <c r="B43" s="42" t="s">
        <v>431</v>
      </c>
      <c r="C43" s="42">
        <v>3022038</v>
      </c>
      <c r="D43" s="93">
        <v>2038</v>
      </c>
      <c r="E43" s="71" t="s">
        <v>283</v>
      </c>
      <c r="F43" s="71" t="s">
        <v>420</v>
      </c>
      <c r="G43" s="72">
        <v>102</v>
      </c>
      <c r="H43" s="73">
        <v>0</v>
      </c>
      <c r="I43" s="73">
        <v>0</v>
      </c>
      <c r="J43" s="74">
        <v>0</v>
      </c>
      <c r="K43" s="73">
        <f t="shared" si="4"/>
        <v>102</v>
      </c>
      <c r="L43" s="75">
        <f t="shared" si="0"/>
        <v>137190</v>
      </c>
      <c r="M43" s="76">
        <f t="shared" si="1"/>
        <v>0</v>
      </c>
      <c r="N43" s="77">
        <f t="shared" si="2"/>
        <v>0</v>
      </c>
      <c r="O43" s="78">
        <f t="shared" si="3"/>
        <v>137190</v>
      </c>
    </row>
    <row r="44" spans="1:15">
      <c r="A44" s="70">
        <v>302</v>
      </c>
      <c r="B44" s="42" t="s">
        <v>431</v>
      </c>
      <c r="C44" s="42">
        <v>3022041</v>
      </c>
      <c r="D44" s="93">
        <v>2041</v>
      </c>
      <c r="E44" s="71" t="s">
        <v>418</v>
      </c>
      <c r="F44" s="71" t="s">
        <v>420</v>
      </c>
      <c r="G44" s="72">
        <v>1</v>
      </c>
      <c r="H44" s="73">
        <v>0</v>
      </c>
      <c r="I44" s="73">
        <v>1</v>
      </c>
      <c r="J44" s="74">
        <v>0</v>
      </c>
      <c r="K44" s="73">
        <f t="shared" si="4"/>
        <v>2</v>
      </c>
      <c r="L44" s="75">
        <f t="shared" si="0"/>
        <v>1345</v>
      </c>
      <c r="M44" s="76">
        <f t="shared" si="1"/>
        <v>310</v>
      </c>
      <c r="N44" s="77">
        <f t="shared" si="2"/>
        <v>0</v>
      </c>
      <c r="O44" s="78">
        <f t="shared" si="3"/>
        <v>1655</v>
      </c>
    </row>
    <row r="45" spans="1:15">
      <c r="A45" s="70">
        <v>302</v>
      </c>
      <c r="B45" s="42" t="s">
        <v>431</v>
      </c>
      <c r="C45" s="42">
        <v>3022042</v>
      </c>
      <c r="D45" s="93">
        <v>2042</v>
      </c>
      <c r="E45" s="71" t="s">
        <v>279</v>
      </c>
      <c r="F45" s="71" t="s">
        <v>447</v>
      </c>
      <c r="G45" s="72">
        <v>34</v>
      </c>
      <c r="H45" s="73">
        <v>0</v>
      </c>
      <c r="I45" s="73">
        <v>0</v>
      </c>
      <c r="J45" s="74">
        <v>2</v>
      </c>
      <c r="K45" s="73">
        <f t="shared" si="4"/>
        <v>36</v>
      </c>
      <c r="L45" s="75">
        <f t="shared" si="0"/>
        <v>45730</v>
      </c>
      <c r="M45" s="76">
        <f t="shared" si="1"/>
        <v>0</v>
      </c>
      <c r="N45" s="77">
        <f t="shared" si="2"/>
        <v>4690</v>
      </c>
      <c r="O45" s="78">
        <f t="shared" si="3"/>
        <v>50420</v>
      </c>
    </row>
    <row r="46" spans="1:15">
      <c r="A46" s="70">
        <v>302</v>
      </c>
      <c r="B46" s="42" t="s">
        <v>431</v>
      </c>
      <c r="C46" s="42">
        <v>3022043</v>
      </c>
      <c r="D46" s="93">
        <v>2043</v>
      </c>
      <c r="E46" s="71" t="s">
        <v>81</v>
      </c>
      <c r="F46" s="71" t="s">
        <v>447</v>
      </c>
      <c r="G46" s="72">
        <v>87</v>
      </c>
      <c r="H46" s="73">
        <v>0</v>
      </c>
      <c r="I46" s="73">
        <v>0</v>
      </c>
      <c r="J46" s="74">
        <v>3</v>
      </c>
      <c r="K46" s="73">
        <f t="shared" si="4"/>
        <v>90</v>
      </c>
      <c r="L46" s="75">
        <f t="shared" si="0"/>
        <v>117015</v>
      </c>
      <c r="M46" s="76">
        <f t="shared" si="1"/>
        <v>0</v>
      </c>
      <c r="N46" s="77">
        <f t="shared" si="2"/>
        <v>7035</v>
      </c>
      <c r="O46" s="78">
        <f t="shared" si="3"/>
        <v>124050</v>
      </c>
    </row>
    <row r="47" spans="1:15">
      <c r="A47" s="70">
        <v>302</v>
      </c>
      <c r="B47" s="42" t="s">
        <v>431</v>
      </c>
      <c r="C47" s="42">
        <v>3022044</v>
      </c>
      <c r="D47" s="93">
        <v>2044</v>
      </c>
      <c r="E47" s="71" t="s">
        <v>80</v>
      </c>
      <c r="F47" s="71" t="s">
        <v>447</v>
      </c>
      <c r="G47" s="72">
        <v>43</v>
      </c>
      <c r="H47" s="73">
        <v>0</v>
      </c>
      <c r="I47" s="73">
        <v>0</v>
      </c>
      <c r="J47" s="74">
        <v>2</v>
      </c>
      <c r="K47" s="73">
        <f t="shared" si="4"/>
        <v>45</v>
      </c>
      <c r="L47" s="75">
        <f t="shared" si="0"/>
        <v>57835</v>
      </c>
      <c r="M47" s="76">
        <f t="shared" si="1"/>
        <v>0</v>
      </c>
      <c r="N47" s="77">
        <f t="shared" si="2"/>
        <v>4690</v>
      </c>
      <c r="O47" s="78">
        <f t="shared" si="3"/>
        <v>62525</v>
      </c>
    </row>
    <row r="48" spans="1:15">
      <c r="A48" s="70">
        <v>302</v>
      </c>
      <c r="B48" s="42" t="s">
        <v>431</v>
      </c>
      <c r="C48" s="42">
        <v>3022045</v>
      </c>
      <c r="D48" s="93">
        <v>2045</v>
      </c>
      <c r="E48" s="71" t="s">
        <v>280</v>
      </c>
      <c r="F48" s="71" t="s">
        <v>447</v>
      </c>
      <c r="G48" s="72">
        <v>55</v>
      </c>
      <c r="H48" s="73">
        <v>0</v>
      </c>
      <c r="I48" s="73">
        <v>0</v>
      </c>
      <c r="J48" s="74">
        <v>1</v>
      </c>
      <c r="K48" s="73">
        <f t="shared" si="4"/>
        <v>56</v>
      </c>
      <c r="L48" s="75">
        <f t="shared" si="0"/>
        <v>73975</v>
      </c>
      <c r="M48" s="76">
        <f t="shared" si="1"/>
        <v>0</v>
      </c>
      <c r="N48" s="77">
        <f t="shared" si="2"/>
        <v>2345</v>
      </c>
      <c r="O48" s="78">
        <f t="shared" si="3"/>
        <v>76320</v>
      </c>
    </row>
    <row r="49" spans="1:15">
      <c r="A49" s="70">
        <v>302</v>
      </c>
      <c r="B49" s="42" t="s">
        <v>431</v>
      </c>
      <c r="C49" s="42">
        <v>3022047</v>
      </c>
      <c r="D49" s="93">
        <v>2047</v>
      </c>
      <c r="E49" s="71" t="s">
        <v>292</v>
      </c>
      <c r="F49" s="71" t="s">
        <v>420</v>
      </c>
      <c r="G49" s="72">
        <v>111</v>
      </c>
      <c r="H49" s="73">
        <v>0</v>
      </c>
      <c r="I49" s="73">
        <v>0</v>
      </c>
      <c r="J49" s="74">
        <v>0</v>
      </c>
      <c r="K49" s="73">
        <f t="shared" si="4"/>
        <v>111</v>
      </c>
      <c r="L49" s="75">
        <f t="shared" si="0"/>
        <v>149295</v>
      </c>
      <c r="M49" s="76">
        <f t="shared" si="1"/>
        <v>0</v>
      </c>
      <c r="N49" s="77">
        <f t="shared" si="2"/>
        <v>0</v>
      </c>
      <c r="O49" s="78">
        <f t="shared" si="3"/>
        <v>149295</v>
      </c>
    </row>
    <row r="50" spans="1:15">
      <c r="A50" s="70">
        <v>302</v>
      </c>
      <c r="B50" s="42" t="s">
        <v>431</v>
      </c>
      <c r="C50" s="42">
        <v>3022048</v>
      </c>
      <c r="D50" s="93">
        <v>2048</v>
      </c>
      <c r="E50" s="71" t="s">
        <v>406</v>
      </c>
      <c r="F50" s="71" t="s">
        <v>420</v>
      </c>
      <c r="G50" s="72">
        <v>90</v>
      </c>
      <c r="H50" s="73">
        <v>0</v>
      </c>
      <c r="I50" s="73">
        <v>0</v>
      </c>
      <c r="J50" s="74">
        <v>1</v>
      </c>
      <c r="K50" s="73">
        <f t="shared" si="4"/>
        <v>91</v>
      </c>
      <c r="L50" s="75">
        <f t="shared" si="0"/>
        <v>121050</v>
      </c>
      <c r="M50" s="76">
        <f t="shared" si="1"/>
        <v>0</v>
      </c>
      <c r="N50" s="77">
        <f t="shared" si="2"/>
        <v>2345</v>
      </c>
      <c r="O50" s="78">
        <f t="shared" si="3"/>
        <v>123395</v>
      </c>
    </row>
    <row r="51" spans="1:15">
      <c r="A51" s="70">
        <v>302</v>
      </c>
      <c r="B51" s="42" t="s">
        <v>431</v>
      </c>
      <c r="C51" s="42">
        <v>3022049</v>
      </c>
      <c r="D51" s="93">
        <v>2049</v>
      </c>
      <c r="E51" s="71" t="s">
        <v>437</v>
      </c>
      <c r="F51" s="71" t="s">
        <v>436</v>
      </c>
      <c r="G51" s="72">
        <v>125</v>
      </c>
      <c r="H51" s="73">
        <v>0</v>
      </c>
      <c r="I51" s="73">
        <v>0</v>
      </c>
      <c r="J51" s="74">
        <v>2</v>
      </c>
      <c r="K51" s="73">
        <f t="shared" si="4"/>
        <v>127</v>
      </c>
      <c r="L51" s="75">
        <f t="shared" si="0"/>
        <v>168125</v>
      </c>
      <c r="M51" s="76">
        <f t="shared" si="1"/>
        <v>0</v>
      </c>
      <c r="N51" s="77">
        <f t="shared" si="2"/>
        <v>4690</v>
      </c>
      <c r="O51" s="78">
        <f t="shared" si="3"/>
        <v>172815</v>
      </c>
    </row>
    <row r="52" spans="1:15">
      <c r="A52" s="70">
        <v>302</v>
      </c>
      <c r="B52" s="42" t="s">
        <v>431</v>
      </c>
      <c r="C52" s="42">
        <v>3022050</v>
      </c>
      <c r="D52" s="93">
        <v>2050</v>
      </c>
      <c r="E52" s="71" t="s">
        <v>438</v>
      </c>
      <c r="F52" s="71" t="s">
        <v>436</v>
      </c>
      <c r="G52" s="72">
        <v>8</v>
      </c>
      <c r="H52" s="73">
        <v>0</v>
      </c>
      <c r="I52" s="73">
        <v>0</v>
      </c>
      <c r="J52" s="74">
        <v>1</v>
      </c>
      <c r="K52" s="73">
        <f t="shared" si="4"/>
        <v>9</v>
      </c>
      <c r="L52" s="75">
        <f t="shared" si="0"/>
        <v>10760</v>
      </c>
      <c r="M52" s="76">
        <f t="shared" si="1"/>
        <v>0</v>
      </c>
      <c r="N52" s="77">
        <f t="shared" si="2"/>
        <v>2345</v>
      </c>
      <c r="O52" s="78">
        <f t="shared" si="3"/>
        <v>13105</v>
      </c>
    </row>
    <row r="53" spans="1:15">
      <c r="A53" s="70">
        <v>302</v>
      </c>
      <c r="B53" s="42" t="s">
        <v>431</v>
      </c>
      <c r="C53" s="42">
        <v>3022051</v>
      </c>
      <c r="D53" s="93">
        <v>2051</v>
      </c>
      <c r="E53" s="71" t="s">
        <v>450</v>
      </c>
      <c r="F53" s="71" t="s">
        <v>420</v>
      </c>
      <c r="G53" s="72">
        <v>130</v>
      </c>
      <c r="H53" s="73">
        <v>0</v>
      </c>
      <c r="I53" s="73">
        <v>0</v>
      </c>
      <c r="J53" s="74">
        <v>0</v>
      </c>
      <c r="K53" s="73">
        <f t="shared" si="4"/>
        <v>130</v>
      </c>
      <c r="L53" s="75">
        <f t="shared" si="0"/>
        <v>174850</v>
      </c>
      <c r="M53" s="76">
        <f t="shared" si="1"/>
        <v>0</v>
      </c>
      <c r="N53" s="77">
        <f t="shared" si="2"/>
        <v>0</v>
      </c>
      <c r="O53" s="78">
        <f t="shared" si="3"/>
        <v>174850</v>
      </c>
    </row>
    <row r="54" spans="1:15">
      <c r="A54" s="70">
        <v>302</v>
      </c>
      <c r="B54" s="42" t="s">
        <v>431</v>
      </c>
      <c r="C54" s="42">
        <v>3022053</v>
      </c>
      <c r="D54" s="93">
        <v>2053</v>
      </c>
      <c r="E54" s="71" t="s">
        <v>481</v>
      </c>
      <c r="F54" s="71" t="s">
        <v>449</v>
      </c>
      <c r="G54" s="72">
        <v>1</v>
      </c>
      <c r="H54" s="73">
        <v>0</v>
      </c>
      <c r="I54" s="73">
        <v>0</v>
      </c>
      <c r="J54" s="74">
        <v>0</v>
      </c>
      <c r="K54" s="73">
        <f t="shared" si="4"/>
        <v>1</v>
      </c>
      <c r="L54" s="75">
        <f t="shared" si="0"/>
        <v>1345</v>
      </c>
      <c r="M54" s="76">
        <f t="shared" si="1"/>
        <v>0</v>
      </c>
      <c r="N54" s="77">
        <f t="shared" si="2"/>
        <v>0</v>
      </c>
      <c r="O54" s="78">
        <f t="shared" si="3"/>
        <v>1345</v>
      </c>
    </row>
    <row r="55" spans="1:15">
      <c r="A55" s="70">
        <v>302</v>
      </c>
      <c r="B55" s="42" t="s">
        <v>431</v>
      </c>
      <c r="C55" s="42">
        <v>3022054</v>
      </c>
      <c r="D55" s="93">
        <v>2054</v>
      </c>
      <c r="E55" s="71" t="s">
        <v>298</v>
      </c>
      <c r="F55" s="71" t="s">
        <v>447</v>
      </c>
      <c r="G55" s="72">
        <v>13</v>
      </c>
      <c r="H55" s="73">
        <v>0</v>
      </c>
      <c r="I55" s="73">
        <v>0</v>
      </c>
      <c r="J55" s="74">
        <v>0</v>
      </c>
      <c r="K55" s="73">
        <f t="shared" si="4"/>
        <v>13</v>
      </c>
      <c r="L55" s="75">
        <f t="shared" si="0"/>
        <v>17485</v>
      </c>
      <c r="M55" s="76">
        <f t="shared" si="1"/>
        <v>0</v>
      </c>
      <c r="N55" s="77">
        <f t="shared" si="2"/>
        <v>0</v>
      </c>
      <c r="O55" s="78">
        <f t="shared" si="3"/>
        <v>17485</v>
      </c>
    </row>
    <row r="56" spans="1:15">
      <c r="A56" s="70">
        <v>302</v>
      </c>
      <c r="B56" s="42" t="s">
        <v>431</v>
      </c>
      <c r="C56" s="42">
        <v>3022055</v>
      </c>
      <c r="D56" s="93">
        <v>2055</v>
      </c>
      <c r="E56" s="71" t="s">
        <v>295</v>
      </c>
      <c r="F56" s="71" t="s">
        <v>447</v>
      </c>
      <c r="G56" s="72">
        <v>77</v>
      </c>
      <c r="H56" s="73">
        <v>0</v>
      </c>
      <c r="I56" s="73">
        <v>0</v>
      </c>
      <c r="J56" s="74">
        <v>0</v>
      </c>
      <c r="K56" s="73">
        <f t="shared" si="4"/>
        <v>77</v>
      </c>
      <c r="L56" s="75">
        <f t="shared" si="0"/>
        <v>103565</v>
      </c>
      <c r="M56" s="76">
        <f t="shared" si="1"/>
        <v>0</v>
      </c>
      <c r="N56" s="77">
        <f t="shared" si="2"/>
        <v>0</v>
      </c>
      <c r="O56" s="78">
        <f t="shared" si="3"/>
        <v>103565</v>
      </c>
    </row>
    <row r="57" spans="1:15">
      <c r="A57" s="70">
        <v>302</v>
      </c>
      <c r="B57" s="42" t="s">
        <v>431</v>
      </c>
      <c r="C57" s="42">
        <v>3022057</v>
      </c>
      <c r="D57" s="93">
        <v>2057</v>
      </c>
      <c r="E57" s="71" t="s">
        <v>433</v>
      </c>
      <c r="F57" s="71" t="s">
        <v>447</v>
      </c>
      <c r="G57" s="72">
        <v>177</v>
      </c>
      <c r="H57" s="73">
        <v>0</v>
      </c>
      <c r="I57" s="73">
        <v>0</v>
      </c>
      <c r="J57" s="74">
        <v>1</v>
      </c>
      <c r="K57" s="73">
        <f t="shared" si="4"/>
        <v>178</v>
      </c>
      <c r="L57" s="75">
        <f t="shared" si="0"/>
        <v>238065</v>
      </c>
      <c r="M57" s="76">
        <f t="shared" si="1"/>
        <v>0</v>
      </c>
      <c r="N57" s="77">
        <f t="shared" si="2"/>
        <v>2345</v>
      </c>
      <c r="O57" s="78">
        <f t="shared" si="3"/>
        <v>240410</v>
      </c>
    </row>
    <row r="58" spans="1:15">
      <c r="A58" s="70">
        <v>302</v>
      </c>
      <c r="B58" s="42" t="s">
        <v>431</v>
      </c>
      <c r="C58" s="42">
        <v>3022060</v>
      </c>
      <c r="D58" s="93">
        <v>2060</v>
      </c>
      <c r="E58" s="71" t="s">
        <v>297</v>
      </c>
      <c r="F58" s="71" t="s">
        <v>447</v>
      </c>
      <c r="G58" s="72">
        <v>129</v>
      </c>
      <c r="H58" s="73">
        <v>0</v>
      </c>
      <c r="I58" s="73">
        <v>0</v>
      </c>
      <c r="J58" s="74">
        <v>2</v>
      </c>
      <c r="K58" s="73">
        <f t="shared" si="4"/>
        <v>131</v>
      </c>
      <c r="L58" s="75">
        <f t="shared" si="0"/>
        <v>173505</v>
      </c>
      <c r="M58" s="76">
        <f t="shared" si="1"/>
        <v>0</v>
      </c>
      <c r="N58" s="77">
        <f t="shared" si="2"/>
        <v>4690</v>
      </c>
      <c r="O58" s="78">
        <f t="shared" si="3"/>
        <v>178195</v>
      </c>
    </row>
    <row r="59" spans="1:15">
      <c r="A59" s="70">
        <v>302</v>
      </c>
      <c r="B59" s="42" t="s">
        <v>431</v>
      </c>
      <c r="C59" s="42">
        <v>3022067</v>
      </c>
      <c r="D59" s="93">
        <v>2067</v>
      </c>
      <c r="E59" s="71" t="s">
        <v>263</v>
      </c>
      <c r="F59" s="71" t="s">
        <v>447</v>
      </c>
      <c r="G59" s="72">
        <v>53</v>
      </c>
      <c r="H59" s="73">
        <v>0</v>
      </c>
      <c r="I59" s="73">
        <v>0</v>
      </c>
      <c r="J59" s="74">
        <v>0</v>
      </c>
      <c r="K59" s="73">
        <f t="shared" si="4"/>
        <v>53</v>
      </c>
      <c r="L59" s="75">
        <f t="shared" si="0"/>
        <v>71285</v>
      </c>
      <c r="M59" s="76">
        <f t="shared" si="1"/>
        <v>0</v>
      </c>
      <c r="N59" s="77">
        <f t="shared" si="2"/>
        <v>0</v>
      </c>
      <c r="O59" s="78">
        <f t="shared" si="3"/>
        <v>71285</v>
      </c>
    </row>
    <row r="60" spans="1:15">
      <c r="A60" s="70">
        <v>302</v>
      </c>
      <c r="B60" s="42" t="s">
        <v>431</v>
      </c>
      <c r="C60" s="42">
        <v>3022070</v>
      </c>
      <c r="D60" s="93">
        <v>2070</v>
      </c>
      <c r="E60" s="71" t="s">
        <v>290</v>
      </c>
      <c r="F60" s="71" t="s">
        <v>447</v>
      </c>
      <c r="G60" s="72">
        <v>84</v>
      </c>
      <c r="H60" s="73">
        <v>0</v>
      </c>
      <c r="I60" s="73">
        <v>0</v>
      </c>
      <c r="J60" s="74">
        <v>0</v>
      </c>
      <c r="K60" s="73">
        <f t="shared" si="4"/>
        <v>84</v>
      </c>
      <c r="L60" s="75">
        <f t="shared" si="0"/>
        <v>112980</v>
      </c>
      <c r="M60" s="76">
        <f t="shared" si="1"/>
        <v>0</v>
      </c>
      <c r="N60" s="77">
        <f t="shared" si="2"/>
        <v>0</v>
      </c>
      <c r="O60" s="78">
        <f t="shared" si="3"/>
        <v>112980</v>
      </c>
    </row>
    <row r="61" spans="1:15">
      <c r="A61" s="70">
        <v>302</v>
      </c>
      <c r="B61" s="42" t="s">
        <v>431</v>
      </c>
      <c r="C61" s="42">
        <v>3022071</v>
      </c>
      <c r="D61" s="93">
        <v>2071</v>
      </c>
      <c r="E61" s="71" t="s">
        <v>423</v>
      </c>
      <c r="F61" s="71" t="s">
        <v>447</v>
      </c>
      <c r="G61" s="72">
        <v>35</v>
      </c>
      <c r="H61" s="73">
        <v>0</v>
      </c>
      <c r="I61" s="73">
        <v>1</v>
      </c>
      <c r="J61" s="74">
        <v>0</v>
      </c>
      <c r="K61" s="73">
        <f t="shared" si="4"/>
        <v>36</v>
      </c>
      <c r="L61" s="75">
        <f t="shared" si="0"/>
        <v>47075</v>
      </c>
      <c r="M61" s="76">
        <f t="shared" si="1"/>
        <v>310</v>
      </c>
      <c r="N61" s="77">
        <f t="shared" si="2"/>
        <v>0</v>
      </c>
      <c r="O61" s="78">
        <f t="shared" si="3"/>
        <v>47385</v>
      </c>
    </row>
    <row r="62" spans="1:15">
      <c r="A62" s="70">
        <v>302</v>
      </c>
      <c r="B62" s="42" t="s">
        <v>431</v>
      </c>
      <c r="C62" s="42">
        <v>3022072</v>
      </c>
      <c r="D62" s="93">
        <v>2072</v>
      </c>
      <c r="E62" s="71" t="s">
        <v>88</v>
      </c>
      <c r="F62" s="71" t="s">
        <v>447</v>
      </c>
      <c r="G62" s="72">
        <v>112</v>
      </c>
      <c r="H62" s="73">
        <v>0</v>
      </c>
      <c r="I62" s="73">
        <v>0</v>
      </c>
      <c r="J62" s="74">
        <v>4</v>
      </c>
      <c r="K62" s="73">
        <f t="shared" si="4"/>
        <v>116</v>
      </c>
      <c r="L62" s="75">
        <f t="shared" si="0"/>
        <v>150640</v>
      </c>
      <c r="M62" s="76">
        <f t="shared" si="1"/>
        <v>0</v>
      </c>
      <c r="N62" s="77">
        <f t="shared" si="2"/>
        <v>9380</v>
      </c>
      <c r="O62" s="78">
        <f t="shared" si="3"/>
        <v>160020</v>
      </c>
    </row>
    <row r="63" spans="1:15">
      <c r="A63" s="70">
        <v>302</v>
      </c>
      <c r="B63" s="42" t="s">
        <v>431</v>
      </c>
      <c r="C63" s="42">
        <v>3022073</v>
      </c>
      <c r="D63" s="93">
        <v>2073</v>
      </c>
      <c r="E63" s="71" t="s">
        <v>269</v>
      </c>
      <c r="F63" s="71" t="s">
        <v>447</v>
      </c>
      <c r="G63" s="72">
        <v>172</v>
      </c>
      <c r="H63" s="73">
        <v>0</v>
      </c>
      <c r="I63" s="73">
        <v>0</v>
      </c>
      <c r="J63" s="74">
        <v>2</v>
      </c>
      <c r="K63" s="73">
        <f t="shared" si="4"/>
        <v>174</v>
      </c>
      <c r="L63" s="75">
        <f t="shared" si="0"/>
        <v>231340</v>
      </c>
      <c r="M63" s="76">
        <f t="shared" si="1"/>
        <v>0</v>
      </c>
      <c r="N63" s="77">
        <f t="shared" si="2"/>
        <v>4690</v>
      </c>
      <c r="O63" s="78">
        <f t="shared" si="3"/>
        <v>236030</v>
      </c>
    </row>
    <row r="64" spans="1:15">
      <c r="A64" s="70">
        <v>302</v>
      </c>
      <c r="B64" s="42" t="s">
        <v>431</v>
      </c>
      <c r="C64" s="42">
        <v>3022076</v>
      </c>
      <c r="D64" s="93">
        <v>2076</v>
      </c>
      <c r="E64" s="71" t="s">
        <v>296</v>
      </c>
      <c r="F64" s="71" t="s">
        <v>447</v>
      </c>
      <c r="G64" s="72">
        <v>122</v>
      </c>
      <c r="H64" s="73">
        <v>0</v>
      </c>
      <c r="I64" s="73">
        <v>0</v>
      </c>
      <c r="J64" s="74">
        <v>0</v>
      </c>
      <c r="K64" s="73">
        <f t="shared" si="4"/>
        <v>122</v>
      </c>
      <c r="L64" s="75">
        <f t="shared" si="0"/>
        <v>164090</v>
      </c>
      <c r="M64" s="76">
        <f t="shared" si="1"/>
        <v>0</v>
      </c>
      <c r="N64" s="77">
        <f t="shared" si="2"/>
        <v>0</v>
      </c>
      <c r="O64" s="78">
        <f t="shared" si="3"/>
        <v>164090</v>
      </c>
    </row>
    <row r="65" spans="1:15">
      <c r="A65" s="70">
        <v>302</v>
      </c>
      <c r="B65" s="42" t="s">
        <v>431</v>
      </c>
      <c r="C65" s="42">
        <v>3022077</v>
      </c>
      <c r="D65" s="93">
        <v>2077</v>
      </c>
      <c r="E65" s="71" t="s">
        <v>293</v>
      </c>
      <c r="F65" s="71" t="s">
        <v>447</v>
      </c>
      <c r="G65" s="72">
        <v>434</v>
      </c>
      <c r="H65" s="73">
        <v>0</v>
      </c>
      <c r="I65" s="73">
        <v>0</v>
      </c>
      <c r="J65" s="74">
        <v>0</v>
      </c>
      <c r="K65" s="73">
        <f t="shared" si="4"/>
        <v>434</v>
      </c>
      <c r="L65" s="75">
        <f t="shared" si="0"/>
        <v>583730</v>
      </c>
      <c r="M65" s="76">
        <f t="shared" si="1"/>
        <v>0</v>
      </c>
      <c r="N65" s="77">
        <f t="shared" si="2"/>
        <v>0</v>
      </c>
      <c r="O65" s="78">
        <f t="shared" si="3"/>
        <v>583730</v>
      </c>
    </row>
    <row r="66" spans="1:15">
      <c r="A66" s="70">
        <v>302</v>
      </c>
      <c r="B66" s="42" t="s">
        <v>431</v>
      </c>
      <c r="C66" s="42">
        <v>3022078</v>
      </c>
      <c r="D66" s="93">
        <v>2078</v>
      </c>
      <c r="E66" s="71" t="s">
        <v>282</v>
      </c>
      <c r="F66" s="71" t="s">
        <v>449</v>
      </c>
      <c r="G66" s="72">
        <v>31</v>
      </c>
      <c r="H66" s="73">
        <v>0</v>
      </c>
      <c r="I66" s="73">
        <v>0</v>
      </c>
      <c r="J66" s="74">
        <v>0</v>
      </c>
      <c r="K66" s="73">
        <f t="shared" si="4"/>
        <v>31</v>
      </c>
      <c r="L66" s="75">
        <f t="shared" si="0"/>
        <v>41695</v>
      </c>
      <c r="M66" s="76">
        <f t="shared" si="1"/>
        <v>0</v>
      </c>
      <c r="N66" s="77">
        <f t="shared" si="2"/>
        <v>0</v>
      </c>
      <c r="O66" s="78">
        <f t="shared" si="3"/>
        <v>41695</v>
      </c>
    </row>
    <row r="67" spans="1:15">
      <c r="A67" s="70">
        <v>302</v>
      </c>
      <c r="B67" s="42" t="s">
        <v>431</v>
      </c>
      <c r="C67" s="42">
        <v>3022079</v>
      </c>
      <c r="D67" s="93">
        <v>2079</v>
      </c>
      <c r="E67" s="71" t="s">
        <v>259</v>
      </c>
      <c r="F67" s="71" t="s">
        <v>449</v>
      </c>
      <c r="G67" s="72">
        <v>33</v>
      </c>
      <c r="H67" s="73">
        <v>0</v>
      </c>
      <c r="I67" s="73">
        <v>0</v>
      </c>
      <c r="J67" s="74">
        <v>0</v>
      </c>
      <c r="K67" s="73">
        <f t="shared" si="4"/>
        <v>33</v>
      </c>
      <c r="L67" s="75">
        <f t="shared" si="0"/>
        <v>44385</v>
      </c>
      <c r="M67" s="76">
        <f t="shared" si="1"/>
        <v>0</v>
      </c>
      <c r="N67" s="77">
        <f t="shared" si="2"/>
        <v>0</v>
      </c>
      <c r="O67" s="78">
        <f t="shared" si="3"/>
        <v>44385</v>
      </c>
    </row>
    <row r="68" spans="1:15">
      <c r="A68" s="70">
        <v>302</v>
      </c>
      <c r="B68" s="42" t="s">
        <v>431</v>
      </c>
      <c r="C68" s="42">
        <v>3023300</v>
      </c>
      <c r="D68" s="93">
        <v>3300</v>
      </c>
      <c r="E68" s="71" t="s">
        <v>424</v>
      </c>
      <c r="F68" s="71" t="s">
        <v>449</v>
      </c>
      <c r="G68" s="72">
        <v>88</v>
      </c>
      <c r="H68" s="73">
        <v>0</v>
      </c>
      <c r="I68" s="73">
        <v>0</v>
      </c>
      <c r="J68" s="74">
        <v>0</v>
      </c>
      <c r="K68" s="73">
        <f t="shared" si="4"/>
        <v>88</v>
      </c>
      <c r="L68" s="75">
        <f t="shared" si="0"/>
        <v>118360</v>
      </c>
      <c r="M68" s="76">
        <f t="shared" si="1"/>
        <v>0</v>
      </c>
      <c r="N68" s="77">
        <f t="shared" si="2"/>
        <v>0</v>
      </c>
      <c r="O68" s="78">
        <f t="shared" si="3"/>
        <v>118360</v>
      </c>
    </row>
    <row r="69" spans="1:15">
      <c r="A69" s="70">
        <v>302</v>
      </c>
      <c r="B69" s="42" t="s">
        <v>431</v>
      </c>
      <c r="C69" s="42">
        <v>3023302</v>
      </c>
      <c r="D69" s="93">
        <v>3302</v>
      </c>
      <c r="E69" s="71" t="s">
        <v>264</v>
      </c>
      <c r="F69" s="71" t="s">
        <v>449</v>
      </c>
      <c r="G69" s="72">
        <v>18</v>
      </c>
      <c r="H69" s="73">
        <v>0</v>
      </c>
      <c r="I69" s="73">
        <v>0</v>
      </c>
      <c r="J69" s="74">
        <v>2</v>
      </c>
      <c r="K69" s="73">
        <f t="shared" si="4"/>
        <v>20</v>
      </c>
      <c r="L69" s="75">
        <f t="shared" si="0"/>
        <v>24210</v>
      </c>
      <c r="M69" s="76">
        <f t="shared" si="1"/>
        <v>0</v>
      </c>
      <c r="N69" s="77">
        <f t="shared" si="2"/>
        <v>4690</v>
      </c>
      <c r="O69" s="78">
        <f t="shared" si="3"/>
        <v>28900</v>
      </c>
    </row>
    <row r="70" spans="1:15">
      <c r="A70" s="70">
        <v>302</v>
      </c>
      <c r="B70" s="42" t="s">
        <v>431</v>
      </c>
      <c r="C70" s="42">
        <v>3023304</v>
      </c>
      <c r="D70" s="93">
        <v>3304</v>
      </c>
      <c r="E70" s="71" t="s">
        <v>274</v>
      </c>
      <c r="F70" s="71" t="s">
        <v>449</v>
      </c>
      <c r="G70" s="72">
        <v>64</v>
      </c>
      <c r="H70" s="73">
        <v>0</v>
      </c>
      <c r="I70" s="73">
        <v>0</v>
      </c>
      <c r="J70" s="74">
        <v>3</v>
      </c>
      <c r="K70" s="73">
        <f t="shared" si="4"/>
        <v>67</v>
      </c>
      <c r="L70" s="75">
        <f t="shared" si="0"/>
        <v>86080</v>
      </c>
      <c r="M70" s="76">
        <f t="shared" si="1"/>
        <v>0</v>
      </c>
      <c r="N70" s="77">
        <f t="shared" si="2"/>
        <v>7035</v>
      </c>
      <c r="O70" s="78">
        <f t="shared" si="3"/>
        <v>93115</v>
      </c>
    </row>
    <row r="71" spans="1:15">
      <c r="A71" s="70">
        <v>302</v>
      </c>
      <c r="B71" s="42" t="s">
        <v>431</v>
      </c>
      <c r="C71" s="42">
        <v>3023305</v>
      </c>
      <c r="D71" s="93">
        <v>3305</v>
      </c>
      <c r="E71" s="71" t="s">
        <v>278</v>
      </c>
      <c r="F71" s="71" t="s">
        <v>449</v>
      </c>
      <c r="G71" s="72">
        <v>14</v>
      </c>
      <c r="H71" s="73">
        <v>0</v>
      </c>
      <c r="I71" s="73">
        <v>0</v>
      </c>
      <c r="J71" s="74">
        <v>2</v>
      </c>
      <c r="K71" s="73">
        <f t="shared" si="4"/>
        <v>16</v>
      </c>
      <c r="L71" s="75">
        <f t="shared" si="0"/>
        <v>18830</v>
      </c>
      <c r="M71" s="76">
        <f t="shared" si="1"/>
        <v>0</v>
      </c>
      <c r="N71" s="77">
        <f t="shared" si="2"/>
        <v>4690</v>
      </c>
      <c r="O71" s="78">
        <f t="shared" si="3"/>
        <v>23520</v>
      </c>
    </row>
    <row r="72" spans="1:15">
      <c r="A72" s="70">
        <v>302</v>
      </c>
      <c r="B72" s="42" t="s">
        <v>431</v>
      </c>
      <c r="C72" s="42">
        <v>3023307</v>
      </c>
      <c r="D72" s="93">
        <v>3307</v>
      </c>
      <c r="E72" s="71" t="s">
        <v>425</v>
      </c>
      <c r="F72" s="71" t="s">
        <v>449</v>
      </c>
      <c r="G72" s="72">
        <v>23</v>
      </c>
      <c r="H72" s="73">
        <v>0</v>
      </c>
      <c r="I72" s="73">
        <v>0</v>
      </c>
      <c r="J72" s="74">
        <v>4</v>
      </c>
      <c r="K72" s="73">
        <f t="shared" si="4"/>
        <v>27</v>
      </c>
      <c r="L72" s="75">
        <f t="shared" si="0"/>
        <v>30935</v>
      </c>
      <c r="M72" s="76">
        <f t="shared" si="1"/>
        <v>0</v>
      </c>
      <c r="N72" s="77">
        <f t="shared" si="2"/>
        <v>9380</v>
      </c>
      <c r="O72" s="78">
        <f t="shared" si="3"/>
        <v>40315</v>
      </c>
    </row>
    <row r="73" spans="1:15">
      <c r="A73" s="70">
        <v>302</v>
      </c>
      <c r="B73" s="42" t="s">
        <v>431</v>
      </c>
      <c r="C73" s="42">
        <v>3023309</v>
      </c>
      <c r="D73" s="93">
        <v>3309</v>
      </c>
      <c r="E73" s="71" t="s">
        <v>426</v>
      </c>
      <c r="F73" s="71" t="s">
        <v>449</v>
      </c>
      <c r="G73" s="72">
        <v>16</v>
      </c>
      <c r="H73" s="73">
        <v>0</v>
      </c>
      <c r="I73" s="73">
        <v>3</v>
      </c>
      <c r="J73" s="74">
        <v>4</v>
      </c>
      <c r="K73" s="73">
        <f t="shared" si="4"/>
        <v>23</v>
      </c>
      <c r="L73" s="75">
        <f t="shared" si="0"/>
        <v>21520</v>
      </c>
      <c r="M73" s="76">
        <f t="shared" si="1"/>
        <v>930</v>
      </c>
      <c r="N73" s="77">
        <f t="shared" si="2"/>
        <v>9380</v>
      </c>
      <c r="O73" s="78">
        <f t="shared" si="3"/>
        <v>31830</v>
      </c>
    </row>
    <row r="74" spans="1:15">
      <c r="A74" s="70">
        <v>302</v>
      </c>
      <c r="B74" s="42" t="s">
        <v>431</v>
      </c>
      <c r="C74" s="42">
        <v>3023311</v>
      </c>
      <c r="D74" s="93">
        <v>3311</v>
      </c>
      <c r="E74" s="71" t="s">
        <v>427</v>
      </c>
      <c r="F74" s="71" t="s">
        <v>449</v>
      </c>
      <c r="G74" s="72">
        <v>62</v>
      </c>
      <c r="H74" s="73">
        <v>0</v>
      </c>
      <c r="I74" s="73">
        <v>0</v>
      </c>
      <c r="J74" s="74">
        <v>8</v>
      </c>
      <c r="K74" s="73">
        <f t="shared" si="4"/>
        <v>70</v>
      </c>
      <c r="L74" s="75">
        <f t="shared" si="0"/>
        <v>83390</v>
      </c>
      <c r="M74" s="76">
        <f t="shared" si="1"/>
        <v>0</v>
      </c>
      <c r="N74" s="77">
        <f t="shared" si="2"/>
        <v>18760</v>
      </c>
      <c r="O74" s="78">
        <f t="shared" si="3"/>
        <v>102150</v>
      </c>
    </row>
    <row r="75" spans="1:15">
      <c r="A75" s="70">
        <v>302</v>
      </c>
      <c r="B75" s="42" t="s">
        <v>431</v>
      </c>
      <c r="C75" s="42">
        <v>3023312</v>
      </c>
      <c r="D75" s="93">
        <v>3312</v>
      </c>
      <c r="E75" s="71" t="s">
        <v>288</v>
      </c>
      <c r="F75" s="71" t="s">
        <v>449</v>
      </c>
      <c r="G75" s="72">
        <v>26</v>
      </c>
      <c r="H75" s="73">
        <v>0</v>
      </c>
      <c r="I75" s="73">
        <v>0</v>
      </c>
      <c r="J75" s="74">
        <v>1</v>
      </c>
      <c r="K75" s="73">
        <f t="shared" si="4"/>
        <v>27</v>
      </c>
      <c r="L75" s="75">
        <f t="shared" si="0"/>
        <v>34970</v>
      </c>
      <c r="M75" s="76">
        <f t="shared" si="1"/>
        <v>0</v>
      </c>
      <c r="N75" s="77">
        <f t="shared" si="2"/>
        <v>2345</v>
      </c>
      <c r="O75" s="78">
        <f t="shared" si="3"/>
        <v>37315</v>
      </c>
    </row>
    <row r="76" spans="1:15">
      <c r="A76" s="70">
        <v>302</v>
      </c>
      <c r="B76" s="42" t="s">
        <v>431</v>
      </c>
      <c r="C76" s="42">
        <v>3023313</v>
      </c>
      <c r="D76" s="93">
        <v>3313</v>
      </c>
      <c r="E76" s="71" t="s">
        <v>289</v>
      </c>
      <c r="F76" s="71" t="s">
        <v>449</v>
      </c>
      <c r="G76" s="72">
        <v>49</v>
      </c>
      <c r="H76" s="73">
        <v>0</v>
      </c>
      <c r="I76" s="73">
        <v>0</v>
      </c>
      <c r="J76" s="74">
        <v>2</v>
      </c>
      <c r="K76" s="73">
        <f t="shared" si="4"/>
        <v>51</v>
      </c>
      <c r="L76" s="75">
        <f t="shared" ref="L76:L137" si="5">1345*G76+955*H76</f>
        <v>65905</v>
      </c>
      <c r="M76" s="76">
        <f t="shared" ref="M76:M137" si="6">310*I76</f>
        <v>0</v>
      </c>
      <c r="N76" s="77">
        <f t="shared" ref="N76:N137" si="7">2345*J76</f>
        <v>4690</v>
      </c>
      <c r="O76" s="78">
        <f t="shared" ref="O76:O137" si="8">L76+M76+N76</f>
        <v>70595</v>
      </c>
    </row>
    <row r="77" spans="1:15">
      <c r="A77" s="70">
        <v>302</v>
      </c>
      <c r="B77" s="42" t="s">
        <v>431</v>
      </c>
      <c r="C77" s="42">
        <v>3023314</v>
      </c>
      <c r="D77" s="93">
        <v>3314</v>
      </c>
      <c r="E77" s="71" t="s">
        <v>338</v>
      </c>
      <c r="F77" s="71" t="s">
        <v>449</v>
      </c>
      <c r="G77" s="72">
        <v>32</v>
      </c>
      <c r="H77" s="73">
        <v>0</v>
      </c>
      <c r="I77" s="73">
        <v>2</v>
      </c>
      <c r="J77" s="74">
        <v>1</v>
      </c>
      <c r="K77" s="73">
        <f t="shared" ref="K77:K137" si="9">SUM(G77:J77)</f>
        <v>35</v>
      </c>
      <c r="L77" s="75">
        <f t="shared" si="5"/>
        <v>43040</v>
      </c>
      <c r="M77" s="76">
        <f t="shared" si="6"/>
        <v>620</v>
      </c>
      <c r="N77" s="77">
        <f t="shared" si="7"/>
        <v>2345</v>
      </c>
      <c r="O77" s="78">
        <f t="shared" si="8"/>
        <v>46005</v>
      </c>
    </row>
    <row r="78" spans="1:15">
      <c r="A78" s="70">
        <v>302</v>
      </c>
      <c r="B78" s="42" t="s">
        <v>431</v>
      </c>
      <c r="C78" s="42">
        <v>3023315</v>
      </c>
      <c r="D78" s="93">
        <v>3315</v>
      </c>
      <c r="E78" s="71" t="s">
        <v>428</v>
      </c>
      <c r="F78" s="71" t="s">
        <v>449</v>
      </c>
      <c r="G78" s="72">
        <v>14</v>
      </c>
      <c r="H78" s="73">
        <v>0</v>
      </c>
      <c r="I78" s="73">
        <v>0</v>
      </c>
      <c r="J78" s="74">
        <v>0</v>
      </c>
      <c r="K78" s="73">
        <f t="shared" si="9"/>
        <v>14</v>
      </c>
      <c r="L78" s="75">
        <f t="shared" si="5"/>
        <v>18830</v>
      </c>
      <c r="M78" s="76">
        <f t="shared" si="6"/>
        <v>0</v>
      </c>
      <c r="N78" s="77">
        <f t="shared" si="7"/>
        <v>0</v>
      </c>
      <c r="O78" s="78">
        <f t="shared" si="8"/>
        <v>18830</v>
      </c>
    </row>
    <row r="79" spans="1:15">
      <c r="A79" s="70">
        <v>302</v>
      </c>
      <c r="B79" s="42" t="s">
        <v>431</v>
      </c>
      <c r="C79" s="42">
        <v>3023316</v>
      </c>
      <c r="D79" s="93">
        <v>3316</v>
      </c>
      <c r="E79" s="71" t="s">
        <v>294</v>
      </c>
      <c r="F79" s="71" t="s">
        <v>449</v>
      </c>
      <c r="G79" s="72">
        <v>19</v>
      </c>
      <c r="H79" s="73">
        <v>0</v>
      </c>
      <c r="I79" s="73">
        <v>2</v>
      </c>
      <c r="J79" s="74">
        <v>2</v>
      </c>
      <c r="K79" s="73">
        <f t="shared" si="9"/>
        <v>23</v>
      </c>
      <c r="L79" s="75">
        <f t="shared" si="5"/>
        <v>25555</v>
      </c>
      <c r="M79" s="76">
        <f t="shared" si="6"/>
        <v>620</v>
      </c>
      <c r="N79" s="77">
        <f t="shared" si="7"/>
        <v>4690</v>
      </c>
      <c r="O79" s="78">
        <f t="shared" si="8"/>
        <v>30865</v>
      </c>
    </row>
    <row r="80" spans="1:15">
      <c r="A80" s="70">
        <v>302</v>
      </c>
      <c r="B80" s="42" t="s">
        <v>431</v>
      </c>
      <c r="C80" s="42">
        <v>3023317</v>
      </c>
      <c r="D80" s="93">
        <v>3317</v>
      </c>
      <c r="E80" s="71" t="s">
        <v>257</v>
      </c>
      <c r="F80" s="71" t="s">
        <v>449</v>
      </c>
      <c r="G80" s="72">
        <v>50</v>
      </c>
      <c r="H80" s="73">
        <v>0</v>
      </c>
      <c r="I80" s="73">
        <v>1</v>
      </c>
      <c r="J80" s="74">
        <v>2</v>
      </c>
      <c r="K80" s="73">
        <f t="shared" si="9"/>
        <v>53</v>
      </c>
      <c r="L80" s="75">
        <f t="shared" si="5"/>
        <v>67250</v>
      </c>
      <c r="M80" s="76">
        <f t="shared" si="6"/>
        <v>310</v>
      </c>
      <c r="N80" s="77">
        <f t="shared" si="7"/>
        <v>4690</v>
      </c>
      <c r="O80" s="78">
        <f t="shared" si="8"/>
        <v>72250</v>
      </c>
    </row>
    <row r="81" spans="1:15">
      <c r="A81" s="70">
        <v>302</v>
      </c>
      <c r="B81" s="42" t="s">
        <v>431</v>
      </c>
      <c r="C81" s="42">
        <v>3023500</v>
      </c>
      <c r="D81" s="93">
        <v>3500</v>
      </c>
      <c r="E81" s="71" t="s">
        <v>382</v>
      </c>
      <c r="F81" s="71" t="s">
        <v>449</v>
      </c>
      <c r="G81" s="72">
        <v>22</v>
      </c>
      <c r="H81" s="73">
        <v>0</v>
      </c>
      <c r="I81" s="73">
        <v>0</v>
      </c>
      <c r="J81" s="74">
        <v>0</v>
      </c>
      <c r="K81" s="73">
        <f t="shared" si="9"/>
        <v>22</v>
      </c>
      <c r="L81" s="75">
        <f t="shared" si="5"/>
        <v>29590</v>
      </c>
      <c r="M81" s="76">
        <f t="shared" si="6"/>
        <v>0</v>
      </c>
      <c r="N81" s="77">
        <f t="shared" si="7"/>
        <v>0</v>
      </c>
      <c r="O81" s="78">
        <f t="shared" si="8"/>
        <v>29590</v>
      </c>
    </row>
    <row r="82" spans="1:15">
      <c r="A82" s="70">
        <v>302</v>
      </c>
      <c r="B82" s="42" t="s">
        <v>431</v>
      </c>
      <c r="C82" s="42">
        <v>3023501</v>
      </c>
      <c r="D82" s="93">
        <v>3501</v>
      </c>
      <c r="E82" s="71" t="s">
        <v>85</v>
      </c>
      <c r="F82" s="71" t="s">
        <v>449</v>
      </c>
      <c r="G82" s="72">
        <v>34</v>
      </c>
      <c r="H82" s="73">
        <v>0</v>
      </c>
      <c r="I82" s="73">
        <v>0</v>
      </c>
      <c r="J82" s="74">
        <v>2</v>
      </c>
      <c r="K82" s="73">
        <f t="shared" si="9"/>
        <v>36</v>
      </c>
      <c r="L82" s="75">
        <f t="shared" si="5"/>
        <v>45730</v>
      </c>
      <c r="M82" s="76">
        <f t="shared" si="6"/>
        <v>0</v>
      </c>
      <c r="N82" s="77">
        <f t="shared" si="7"/>
        <v>4690</v>
      </c>
      <c r="O82" s="78">
        <f t="shared" si="8"/>
        <v>50420</v>
      </c>
    </row>
    <row r="83" spans="1:15">
      <c r="A83" s="70">
        <v>302</v>
      </c>
      <c r="B83" s="42" t="s">
        <v>431</v>
      </c>
      <c r="C83" s="42">
        <v>3023502</v>
      </c>
      <c r="D83" s="93">
        <v>3502</v>
      </c>
      <c r="E83" s="71" t="s">
        <v>286</v>
      </c>
      <c r="F83" s="71" t="s">
        <v>449</v>
      </c>
      <c r="G83" s="72">
        <v>86</v>
      </c>
      <c r="H83" s="73">
        <v>0</v>
      </c>
      <c r="I83" s="73">
        <v>0</v>
      </c>
      <c r="J83" s="74">
        <v>0</v>
      </c>
      <c r="K83" s="73">
        <f t="shared" si="9"/>
        <v>86</v>
      </c>
      <c r="L83" s="75">
        <f t="shared" si="5"/>
        <v>115670</v>
      </c>
      <c r="M83" s="76">
        <f t="shared" si="6"/>
        <v>0</v>
      </c>
      <c r="N83" s="77">
        <f t="shared" si="7"/>
        <v>0</v>
      </c>
      <c r="O83" s="78">
        <f t="shared" si="8"/>
        <v>115670</v>
      </c>
    </row>
    <row r="84" spans="1:15">
      <c r="A84" s="70">
        <v>302</v>
      </c>
      <c r="B84" s="42" t="s">
        <v>431</v>
      </c>
      <c r="C84" s="42">
        <v>3023504</v>
      </c>
      <c r="D84" s="93">
        <v>3504</v>
      </c>
      <c r="E84" s="71" t="s">
        <v>287</v>
      </c>
      <c r="F84" s="71" t="s">
        <v>449</v>
      </c>
      <c r="G84" s="72">
        <v>49</v>
      </c>
      <c r="H84" s="73">
        <v>0</v>
      </c>
      <c r="I84" s="73">
        <v>0</v>
      </c>
      <c r="J84" s="74">
        <v>3</v>
      </c>
      <c r="K84" s="73">
        <f t="shared" si="9"/>
        <v>52</v>
      </c>
      <c r="L84" s="75">
        <f t="shared" si="5"/>
        <v>65905</v>
      </c>
      <c r="M84" s="76">
        <f t="shared" si="6"/>
        <v>0</v>
      </c>
      <c r="N84" s="77">
        <f t="shared" si="7"/>
        <v>7035</v>
      </c>
      <c r="O84" s="78">
        <f t="shared" si="8"/>
        <v>72940</v>
      </c>
    </row>
    <row r="85" spans="1:15">
      <c r="A85" s="70">
        <v>302</v>
      </c>
      <c r="B85" s="42" t="s">
        <v>431</v>
      </c>
      <c r="C85" s="42">
        <v>3023506</v>
      </c>
      <c r="D85" s="93">
        <v>3506</v>
      </c>
      <c r="E85" s="71" t="s">
        <v>386</v>
      </c>
      <c r="F85" s="71" t="s">
        <v>449</v>
      </c>
      <c r="G85" s="72">
        <v>20</v>
      </c>
      <c r="H85" s="73">
        <v>0</v>
      </c>
      <c r="I85" s="73">
        <v>0</v>
      </c>
      <c r="J85" s="74">
        <v>2</v>
      </c>
      <c r="K85" s="73">
        <f t="shared" si="9"/>
        <v>22</v>
      </c>
      <c r="L85" s="75">
        <f t="shared" si="5"/>
        <v>26900</v>
      </c>
      <c r="M85" s="76">
        <f t="shared" si="6"/>
        <v>0</v>
      </c>
      <c r="N85" s="77">
        <f t="shared" si="7"/>
        <v>4690</v>
      </c>
      <c r="O85" s="78">
        <f t="shared" si="8"/>
        <v>31590</v>
      </c>
    </row>
    <row r="86" spans="1:15">
      <c r="A86" s="70">
        <v>302</v>
      </c>
      <c r="B86" s="42" t="s">
        <v>431</v>
      </c>
      <c r="C86" s="42">
        <v>3023507</v>
      </c>
      <c r="D86" s="93">
        <v>3507</v>
      </c>
      <c r="E86" s="71" t="s">
        <v>429</v>
      </c>
      <c r="F86" s="71" t="s">
        <v>449</v>
      </c>
      <c r="G86" s="72">
        <v>21</v>
      </c>
      <c r="H86" s="73">
        <v>0</v>
      </c>
      <c r="I86" s="73">
        <v>2</v>
      </c>
      <c r="J86" s="74">
        <v>1</v>
      </c>
      <c r="K86" s="73">
        <f t="shared" si="9"/>
        <v>24</v>
      </c>
      <c r="L86" s="75">
        <f t="shared" si="5"/>
        <v>28245</v>
      </c>
      <c r="M86" s="76">
        <f t="shared" si="6"/>
        <v>620</v>
      </c>
      <c r="N86" s="77">
        <f t="shared" si="7"/>
        <v>2345</v>
      </c>
      <c r="O86" s="78">
        <f t="shared" si="8"/>
        <v>31210</v>
      </c>
    </row>
    <row r="87" spans="1:15">
      <c r="A87" s="70">
        <v>302</v>
      </c>
      <c r="B87" s="42" t="s">
        <v>431</v>
      </c>
      <c r="C87" s="42">
        <v>3023509</v>
      </c>
      <c r="D87" s="93">
        <v>3509</v>
      </c>
      <c r="E87" s="71" t="s">
        <v>414</v>
      </c>
      <c r="F87" s="71" t="s">
        <v>449</v>
      </c>
      <c r="G87" s="72">
        <v>85</v>
      </c>
      <c r="H87" s="73">
        <v>0</v>
      </c>
      <c r="I87" s="73">
        <v>0</v>
      </c>
      <c r="J87" s="74">
        <v>0</v>
      </c>
      <c r="K87" s="73">
        <f t="shared" si="9"/>
        <v>85</v>
      </c>
      <c r="L87" s="75">
        <f t="shared" si="5"/>
        <v>114325</v>
      </c>
      <c r="M87" s="76">
        <f t="shared" si="6"/>
        <v>0</v>
      </c>
      <c r="N87" s="77">
        <f t="shared" si="7"/>
        <v>0</v>
      </c>
      <c r="O87" s="78">
        <f t="shared" si="8"/>
        <v>114325</v>
      </c>
    </row>
    <row r="88" spans="1:15">
      <c r="A88" s="70">
        <v>302</v>
      </c>
      <c r="B88" s="42" t="s">
        <v>431</v>
      </c>
      <c r="C88" s="42">
        <v>3023510</v>
      </c>
      <c r="D88" s="93">
        <v>3510</v>
      </c>
      <c r="E88" s="71" t="s">
        <v>285</v>
      </c>
      <c r="F88" s="71" t="s">
        <v>449</v>
      </c>
      <c r="G88" s="72">
        <v>42</v>
      </c>
      <c r="H88" s="73">
        <v>0</v>
      </c>
      <c r="I88" s="73">
        <v>0</v>
      </c>
      <c r="J88" s="74">
        <v>2</v>
      </c>
      <c r="K88" s="73">
        <f t="shared" si="9"/>
        <v>44</v>
      </c>
      <c r="L88" s="75">
        <f t="shared" si="5"/>
        <v>56490</v>
      </c>
      <c r="M88" s="76">
        <f t="shared" si="6"/>
        <v>0</v>
      </c>
      <c r="N88" s="77">
        <f t="shared" si="7"/>
        <v>4690</v>
      </c>
      <c r="O88" s="78">
        <f t="shared" si="8"/>
        <v>61180</v>
      </c>
    </row>
    <row r="89" spans="1:15">
      <c r="A89" s="70">
        <v>302</v>
      </c>
      <c r="B89" s="42" t="s">
        <v>431</v>
      </c>
      <c r="C89" s="42">
        <v>3023511</v>
      </c>
      <c r="D89" s="93">
        <v>3511</v>
      </c>
      <c r="E89" s="71" t="s">
        <v>439</v>
      </c>
      <c r="F89" s="71" t="s">
        <v>449</v>
      </c>
      <c r="G89" s="72">
        <v>106</v>
      </c>
      <c r="H89" s="73">
        <v>0</v>
      </c>
      <c r="I89" s="73">
        <v>0</v>
      </c>
      <c r="J89" s="74">
        <v>5</v>
      </c>
      <c r="K89" s="73">
        <f t="shared" si="9"/>
        <v>111</v>
      </c>
      <c r="L89" s="75">
        <f t="shared" si="5"/>
        <v>142570</v>
      </c>
      <c r="M89" s="76">
        <f t="shared" si="6"/>
        <v>0</v>
      </c>
      <c r="N89" s="77">
        <f t="shared" si="7"/>
        <v>11725</v>
      </c>
      <c r="O89" s="78">
        <f t="shared" si="8"/>
        <v>154295</v>
      </c>
    </row>
    <row r="90" spans="1:15">
      <c r="A90" s="70">
        <v>302</v>
      </c>
      <c r="B90" s="42" t="s">
        <v>431</v>
      </c>
      <c r="C90" s="42">
        <v>3023512</v>
      </c>
      <c r="D90" s="93">
        <v>3512</v>
      </c>
      <c r="E90" s="71" t="s">
        <v>284</v>
      </c>
      <c r="F90" s="71" t="s">
        <v>449</v>
      </c>
      <c r="G90" s="72">
        <v>7</v>
      </c>
      <c r="H90" s="73">
        <v>0</v>
      </c>
      <c r="I90" s="73">
        <v>0</v>
      </c>
      <c r="J90" s="74">
        <v>0</v>
      </c>
      <c r="K90" s="73">
        <f t="shared" si="9"/>
        <v>7</v>
      </c>
      <c r="L90" s="75">
        <f t="shared" si="5"/>
        <v>9415</v>
      </c>
      <c r="M90" s="76">
        <f t="shared" si="6"/>
        <v>0</v>
      </c>
      <c r="N90" s="77">
        <f t="shared" si="7"/>
        <v>0</v>
      </c>
      <c r="O90" s="78">
        <f t="shared" si="8"/>
        <v>9415</v>
      </c>
    </row>
    <row r="91" spans="1:15">
      <c r="A91" s="70">
        <v>302</v>
      </c>
      <c r="B91" s="42" t="s">
        <v>431</v>
      </c>
      <c r="C91" s="42">
        <v>3023513</v>
      </c>
      <c r="D91" s="93">
        <v>3513</v>
      </c>
      <c r="E91" s="71" t="s">
        <v>77</v>
      </c>
      <c r="F91" s="71" t="s">
        <v>449</v>
      </c>
      <c r="G91" s="72">
        <v>16</v>
      </c>
      <c r="H91" s="73">
        <v>0</v>
      </c>
      <c r="I91" s="73">
        <v>0</v>
      </c>
      <c r="J91" s="74">
        <v>0</v>
      </c>
      <c r="K91" s="73">
        <f t="shared" si="9"/>
        <v>16</v>
      </c>
      <c r="L91" s="75">
        <f t="shared" si="5"/>
        <v>21520</v>
      </c>
      <c r="M91" s="76">
        <f t="shared" si="6"/>
        <v>0</v>
      </c>
      <c r="N91" s="77">
        <f t="shared" si="7"/>
        <v>0</v>
      </c>
      <c r="O91" s="78">
        <f t="shared" si="8"/>
        <v>21520</v>
      </c>
    </row>
    <row r="92" spans="1:15">
      <c r="A92" s="70">
        <v>302</v>
      </c>
      <c r="B92" s="42" t="s">
        <v>431</v>
      </c>
      <c r="C92" s="42">
        <v>3023514</v>
      </c>
      <c r="D92" s="93">
        <v>3514</v>
      </c>
      <c r="E92" s="71" t="s">
        <v>291</v>
      </c>
      <c r="F92" s="71" t="s">
        <v>449</v>
      </c>
      <c r="G92" s="72">
        <v>56</v>
      </c>
      <c r="H92" s="73">
        <v>0</v>
      </c>
      <c r="I92" s="73">
        <v>0</v>
      </c>
      <c r="J92" s="74">
        <v>0</v>
      </c>
      <c r="K92" s="73">
        <f t="shared" si="9"/>
        <v>56</v>
      </c>
      <c r="L92" s="75">
        <f t="shared" si="5"/>
        <v>75320</v>
      </c>
      <c r="M92" s="76">
        <f t="shared" si="6"/>
        <v>0</v>
      </c>
      <c r="N92" s="77">
        <f t="shared" si="7"/>
        <v>0</v>
      </c>
      <c r="O92" s="78">
        <f t="shared" si="8"/>
        <v>75320</v>
      </c>
    </row>
    <row r="93" spans="1:15">
      <c r="A93" s="70">
        <v>302</v>
      </c>
      <c r="B93" s="42" t="s">
        <v>431</v>
      </c>
      <c r="C93" s="42">
        <v>3023515</v>
      </c>
      <c r="D93" s="93">
        <v>3515</v>
      </c>
      <c r="E93" s="71" t="s">
        <v>392</v>
      </c>
      <c r="F93" s="71" t="s">
        <v>420</v>
      </c>
      <c r="G93" s="72">
        <v>3</v>
      </c>
      <c r="H93" s="73">
        <v>0</v>
      </c>
      <c r="I93" s="73">
        <v>0</v>
      </c>
      <c r="J93" s="74">
        <v>0</v>
      </c>
      <c r="K93" s="73">
        <f t="shared" si="9"/>
        <v>3</v>
      </c>
      <c r="L93" s="75">
        <f t="shared" si="5"/>
        <v>4035</v>
      </c>
      <c r="M93" s="76">
        <f t="shared" si="6"/>
        <v>0</v>
      </c>
      <c r="N93" s="77">
        <f t="shared" si="7"/>
        <v>0</v>
      </c>
      <c r="O93" s="78">
        <f t="shared" si="8"/>
        <v>4035</v>
      </c>
    </row>
    <row r="94" spans="1:15">
      <c r="A94" s="70">
        <v>302</v>
      </c>
      <c r="B94" s="42" t="s">
        <v>431</v>
      </c>
      <c r="C94" s="42">
        <v>3023516</v>
      </c>
      <c r="D94" s="93">
        <v>3516</v>
      </c>
      <c r="E94" s="71" t="s">
        <v>68</v>
      </c>
      <c r="F94" s="71" t="s">
        <v>449</v>
      </c>
      <c r="G94" s="72">
        <v>18</v>
      </c>
      <c r="H94" s="73">
        <v>0</v>
      </c>
      <c r="I94" s="73">
        <v>0</v>
      </c>
      <c r="J94" s="74">
        <v>0</v>
      </c>
      <c r="K94" s="73">
        <f t="shared" si="9"/>
        <v>18</v>
      </c>
      <c r="L94" s="75">
        <f t="shared" si="5"/>
        <v>24210</v>
      </c>
      <c r="M94" s="76">
        <f t="shared" si="6"/>
        <v>0</v>
      </c>
      <c r="N94" s="77">
        <f t="shared" si="7"/>
        <v>0</v>
      </c>
      <c r="O94" s="78">
        <f t="shared" si="8"/>
        <v>24210</v>
      </c>
    </row>
    <row r="95" spans="1:15">
      <c r="A95" s="70">
        <v>302</v>
      </c>
      <c r="B95" s="42" t="s">
        <v>431</v>
      </c>
      <c r="C95" s="42">
        <v>3023518</v>
      </c>
      <c r="D95" s="93">
        <v>3518</v>
      </c>
      <c r="E95" s="71" t="s">
        <v>112</v>
      </c>
      <c r="F95" s="71" t="s">
        <v>447</v>
      </c>
      <c r="G95" s="72">
        <v>147</v>
      </c>
      <c r="H95" s="73">
        <v>0</v>
      </c>
      <c r="I95" s="73">
        <v>0</v>
      </c>
      <c r="J95" s="74">
        <v>0</v>
      </c>
      <c r="K95" s="73">
        <f t="shared" si="9"/>
        <v>147</v>
      </c>
      <c r="L95" s="75">
        <f t="shared" si="5"/>
        <v>197715</v>
      </c>
      <c r="M95" s="76">
        <f t="shared" si="6"/>
        <v>0</v>
      </c>
      <c r="N95" s="77">
        <f t="shared" si="7"/>
        <v>0</v>
      </c>
      <c r="O95" s="78">
        <f t="shared" si="8"/>
        <v>197715</v>
      </c>
    </row>
    <row r="96" spans="1:15">
      <c r="A96" s="70">
        <v>302</v>
      </c>
      <c r="B96" s="42" t="s">
        <v>431</v>
      </c>
      <c r="C96" s="42">
        <v>3023519</v>
      </c>
      <c r="D96" s="93">
        <v>3519</v>
      </c>
      <c r="E96" s="71" t="s">
        <v>40</v>
      </c>
      <c r="F96" s="71" t="s">
        <v>420</v>
      </c>
      <c r="G96" s="72">
        <v>161</v>
      </c>
      <c r="H96" s="73">
        <v>0</v>
      </c>
      <c r="I96" s="73">
        <v>0</v>
      </c>
      <c r="J96" s="74">
        <v>3</v>
      </c>
      <c r="K96" s="73">
        <f t="shared" si="9"/>
        <v>164</v>
      </c>
      <c r="L96" s="75">
        <f t="shared" si="5"/>
        <v>216545</v>
      </c>
      <c r="M96" s="76">
        <f t="shared" si="6"/>
        <v>0</v>
      </c>
      <c r="N96" s="77">
        <f t="shared" si="7"/>
        <v>7035</v>
      </c>
      <c r="O96" s="78">
        <f t="shared" si="8"/>
        <v>223580</v>
      </c>
    </row>
    <row r="97" spans="1:15">
      <c r="A97" s="70">
        <v>302</v>
      </c>
      <c r="B97" s="42" t="s">
        <v>431</v>
      </c>
      <c r="C97" s="42">
        <v>3023520</v>
      </c>
      <c r="D97" s="93">
        <v>3520</v>
      </c>
      <c r="E97" s="71" t="s">
        <v>256</v>
      </c>
      <c r="F97" s="71" t="s">
        <v>449</v>
      </c>
      <c r="G97" s="72">
        <v>1</v>
      </c>
      <c r="H97" s="73">
        <v>0</v>
      </c>
      <c r="I97" s="73">
        <v>0</v>
      </c>
      <c r="J97" s="74">
        <v>1</v>
      </c>
      <c r="K97" s="73">
        <f t="shared" si="9"/>
        <v>2</v>
      </c>
      <c r="L97" s="75">
        <f t="shared" si="5"/>
        <v>1345</v>
      </c>
      <c r="M97" s="76">
        <f t="shared" si="6"/>
        <v>0</v>
      </c>
      <c r="N97" s="77">
        <f t="shared" si="7"/>
        <v>2345</v>
      </c>
      <c r="O97" s="78">
        <f t="shared" si="8"/>
        <v>3690</v>
      </c>
    </row>
    <row r="98" spans="1:15">
      <c r="A98" s="70">
        <v>302</v>
      </c>
      <c r="B98" s="42" t="s">
        <v>431</v>
      </c>
      <c r="C98" s="42">
        <v>3023521</v>
      </c>
      <c r="D98" s="93">
        <v>3521</v>
      </c>
      <c r="E98" s="71" t="s">
        <v>440</v>
      </c>
      <c r="F98" s="71" t="s">
        <v>449</v>
      </c>
      <c r="G98" s="72">
        <v>163</v>
      </c>
      <c r="H98" s="73">
        <v>281.5</v>
      </c>
      <c r="I98" s="73">
        <v>0</v>
      </c>
      <c r="J98" s="74">
        <v>9</v>
      </c>
      <c r="K98" s="73">
        <f t="shared" si="9"/>
        <v>453.5</v>
      </c>
      <c r="L98" s="75">
        <f t="shared" si="5"/>
        <v>488067.5</v>
      </c>
      <c r="M98" s="76">
        <f t="shared" si="6"/>
        <v>0</v>
      </c>
      <c r="N98" s="77">
        <f t="shared" si="7"/>
        <v>21105</v>
      </c>
      <c r="O98" s="78">
        <f t="shared" si="8"/>
        <v>509172.5</v>
      </c>
    </row>
    <row r="99" spans="1:15">
      <c r="A99" s="70">
        <v>302</v>
      </c>
      <c r="B99" s="42" t="s">
        <v>431</v>
      </c>
      <c r="C99" s="42">
        <v>3023522</v>
      </c>
      <c r="D99" s="93">
        <v>3522</v>
      </c>
      <c r="E99" s="71" t="s">
        <v>265</v>
      </c>
      <c r="F99" s="71" t="s">
        <v>420</v>
      </c>
      <c r="G99" s="72">
        <v>161</v>
      </c>
      <c r="H99" s="73">
        <v>0</v>
      </c>
      <c r="I99" s="73">
        <v>0</v>
      </c>
      <c r="J99" s="74">
        <v>0</v>
      </c>
      <c r="K99" s="73">
        <f t="shared" si="9"/>
        <v>161</v>
      </c>
      <c r="L99" s="75">
        <f t="shared" si="5"/>
        <v>216545</v>
      </c>
      <c r="M99" s="76">
        <f t="shared" si="6"/>
        <v>0</v>
      </c>
      <c r="N99" s="77">
        <f t="shared" si="7"/>
        <v>0</v>
      </c>
      <c r="O99" s="78">
        <f t="shared" si="8"/>
        <v>216545</v>
      </c>
    </row>
    <row r="100" spans="1:15">
      <c r="A100" s="70">
        <v>302</v>
      </c>
      <c r="B100" s="42" t="s">
        <v>431</v>
      </c>
      <c r="C100" s="42">
        <v>3023523</v>
      </c>
      <c r="D100" s="93">
        <v>3523</v>
      </c>
      <c r="E100" s="71" t="s">
        <v>276</v>
      </c>
      <c r="F100" s="71" t="s">
        <v>447</v>
      </c>
      <c r="G100" s="72">
        <v>115</v>
      </c>
      <c r="H100" s="73">
        <v>0</v>
      </c>
      <c r="I100" s="73">
        <v>0</v>
      </c>
      <c r="J100" s="74">
        <v>3</v>
      </c>
      <c r="K100" s="73">
        <f t="shared" si="9"/>
        <v>118</v>
      </c>
      <c r="L100" s="75">
        <f t="shared" si="5"/>
        <v>154675</v>
      </c>
      <c r="M100" s="76">
        <f t="shared" si="6"/>
        <v>0</v>
      </c>
      <c r="N100" s="77">
        <f t="shared" si="7"/>
        <v>7035</v>
      </c>
      <c r="O100" s="78">
        <f t="shared" si="8"/>
        <v>161710</v>
      </c>
    </row>
    <row r="101" spans="1:15">
      <c r="A101" s="70">
        <v>302</v>
      </c>
      <c r="B101" s="42" t="s">
        <v>431</v>
      </c>
      <c r="C101" s="42">
        <v>3023524</v>
      </c>
      <c r="D101" s="93">
        <v>3524</v>
      </c>
      <c r="E101" s="71" t="s">
        <v>393</v>
      </c>
      <c r="F101" s="71" t="s">
        <v>449</v>
      </c>
      <c r="G101" s="72">
        <v>12</v>
      </c>
      <c r="H101" s="73">
        <v>0</v>
      </c>
      <c r="I101" s="73">
        <v>0</v>
      </c>
      <c r="J101" s="74">
        <v>0</v>
      </c>
      <c r="K101" s="73">
        <f t="shared" si="9"/>
        <v>12</v>
      </c>
      <c r="L101" s="75">
        <f t="shared" si="5"/>
        <v>16140</v>
      </c>
      <c r="M101" s="76">
        <f t="shared" si="6"/>
        <v>0</v>
      </c>
      <c r="N101" s="77">
        <f t="shared" si="7"/>
        <v>0</v>
      </c>
      <c r="O101" s="78">
        <f t="shared" si="8"/>
        <v>16140</v>
      </c>
    </row>
    <row r="102" spans="1:15">
      <c r="A102" s="70">
        <v>302</v>
      </c>
      <c r="B102" s="42" t="s">
        <v>431</v>
      </c>
      <c r="C102" s="42">
        <v>3024000</v>
      </c>
      <c r="D102" s="93">
        <v>4000</v>
      </c>
      <c r="E102" s="71" t="s">
        <v>394</v>
      </c>
      <c r="F102" s="71" t="s">
        <v>436</v>
      </c>
      <c r="G102" s="72">
        <v>0</v>
      </c>
      <c r="H102" s="73">
        <v>170</v>
      </c>
      <c r="I102" s="73">
        <v>0</v>
      </c>
      <c r="J102" s="74">
        <v>0</v>
      </c>
      <c r="K102" s="73">
        <f t="shared" si="9"/>
        <v>170</v>
      </c>
      <c r="L102" s="75">
        <f t="shared" si="5"/>
        <v>162350</v>
      </c>
      <c r="M102" s="76">
        <f t="shared" si="6"/>
        <v>0</v>
      </c>
      <c r="N102" s="77">
        <f t="shared" si="7"/>
        <v>0</v>
      </c>
      <c r="O102" s="78">
        <f t="shared" si="8"/>
        <v>162350</v>
      </c>
    </row>
    <row r="103" spans="1:15">
      <c r="A103" s="70">
        <v>302</v>
      </c>
      <c r="B103" s="42" t="s">
        <v>431</v>
      </c>
      <c r="C103" s="42">
        <v>3024001</v>
      </c>
      <c r="D103" s="93">
        <v>4001</v>
      </c>
      <c r="E103" s="71" t="s">
        <v>395</v>
      </c>
      <c r="F103" s="71" t="s">
        <v>436</v>
      </c>
      <c r="G103" s="72">
        <v>0</v>
      </c>
      <c r="H103" s="73">
        <v>160.5</v>
      </c>
      <c r="I103" s="73">
        <v>0</v>
      </c>
      <c r="J103" s="74">
        <v>11</v>
      </c>
      <c r="K103" s="73">
        <f t="shared" si="9"/>
        <v>171.5</v>
      </c>
      <c r="L103" s="75">
        <f t="shared" si="5"/>
        <v>153277.5</v>
      </c>
      <c r="M103" s="76">
        <f t="shared" si="6"/>
        <v>0</v>
      </c>
      <c r="N103" s="77">
        <f t="shared" si="7"/>
        <v>25795</v>
      </c>
      <c r="O103" s="78">
        <f t="shared" si="8"/>
        <v>179072.5</v>
      </c>
    </row>
    <row r="104" spans="1:15">
      <c r="A104" s="70">
        <v>302</v>
      </c>
      <c r="B104" s="42" t="s">
        <v>431</v>
      </c>
      <c r="C104" s="42">
        <v>3024003</v>
      </c>
      <c r="D104" s="93">
        <v>4003</v>
      </c>
      <c r="E104" s="71" t="s">
        <v>116</v>
      </c>
      <c r="F104" s="71" t="s">
        <v>447</v>
      </c>
      <c r="G104" s="72">
        <v>0</v>
      </c>
      <c r="H104" s="73">
        <v>326</v>
      </c>
      <c r="I104" s="73">
        <v>2</v>
      </c>
      <c r="J104" s="74">
        <v>0</v>
      </c>
      <c r="K104" s="73">
        <f t="shared" si="9"/>
        <v>328</v>
      </c>
      <c r="L104" s="75">
        <f t="shared" si="5"/>
        <v>311330</v>
      </c>
      <c r="M104" s="76">
        <f t="shared" si="6"/>
        <v>620</v>
      </c>
      <c r="N104" s="77">
        <f t="shared" si="7"/>
        <v>0</v>
      </c>
      <c r="O104" s="78">
        <f t="shared" si="8"/>
        <v>311950</v>
      </c>
    </row>
    <row r="105" spans="1:15">
      <c r="A105" s="70">
        <v>302</v>
      </c>
      <c r="B105" s="42" t="s">
        <v>431</v>
      </c>
      <c r="C105" s="42">
        <v>3024004</v>
      </c>
      <c r="D105" s="93">
        <v>4004</v>
      </c>
      <c r="E105" s="71" t="s">
        <v>432</v>
      </c>
      <c r="F105" s="71" t="s">
        <v>449</v>
      </c>
      <c r="G105" s="72">
        <v>0</v>
      </c>
      <c r="H105" s="73">
        <v>12</v>
      </c>
      <c r="I105" s="73">
        <v>0</v>
      </c>
      <c r="J105" s="74">
        <v>0</v>
      </c>
      <c r="K105" s="73">
        <f t="shared" si="9"/>
        <v>12</v>
      </c>
      <c r="L105" s="75">
        <f t="shared" si="5"/>
        <v>11460</v>
      </c>
      <c r="M105" s="76">
        <f t="shared" si="6"/>
        <v>0</v>
      </c>
      <c r="N105" s="77">
        <f t="shared" si="7"/>
        <v>0</v>
      </c>
      <c r="O105" s="78">
        <f t="shared" si="8"/>
        <v>11460</v>
      </c>
    </row>
    <row r="106" spans="1:15">
      <c r="A106" s="70">
        <v>302</v>
      </c>
      <c r="B106" s="42" t="s">
        <v>431</v>
      </c>
      <c r="C106" s="42">
        <v>3024010</v>
      </c>
      <c r="D106" s="93">
        <v>4010</v>
      </c>
      <c r="E106" s="71" t="s">
        <v>318</v>
      </c>
      <c r="F106" s="71" t="s">
        <v>420</v>
      </c>
      <c r="G106" s="72">
        <v>0</v>
      </c>
      <c r="H106" s="73">
        <v>244</v>
      </c>
      <c r="I106" s="73">
        <v>1</v>
      </c>
      <c r="J106" s="74">
        <v>7</v>
      </c>
      <c r="K106" s="73">
        <f t="shared" si="9"/>
        <v>252</v>
      </c>
      <c r="L106" s="75">
        <f t="shared" si="5"/>
        <v>233020</v>
      </c>
      <c r="M106" s="76">
        <f t="shared" si="6"/>
        <v>310</v>
      </c>
      <c r="N106" s="77">
        <f t="shared" si="7"/>
        <v>16415</v>
      </c>
      <c r="O106" s="78">
        <f t="shared" si="8"/>
        <v>249745</v>
      </c>
    </row>
    <row r="107" spans="1:15">
      <c r="A107" s="70">
        <v>302</v>
      </c>
      <c r="B107" s="42" t="s">
        <v>431</v>
      </c>
      <c r="C107" s="42">
        <v>3024011</v>
      </c>
      <c r="D107" s="93">
        <v>4011</v>
      </c>
      <c r="E107" s="71" t="s">
        <v>465</v>
      </c>
      <c r="F107" s="71" t="s">
        <v>436</v>
      </c>
      <c r="G107" s="72">
        <v>0</v>
      </c>
      <c r="H107" s="73">
        <v>188</v>
      </c>
      <c r="I107" s="73">
        <v>0</v>
      </c>
      <c r="J107" s="74">
        <v>1</v>
      </c>
      <c r="K107" s="73">
        <f t="shared" si="9"/>
        <v>189</v>
      </c>
      <c r="L107" s="75">
        <f t="shared" si="5"/>
        <v>179540</v>
      </c>
      <c r="M107" s="76">
        <f t="shared" si="6"/>
        <v>0</v>
      </c>
      <c r="N107" s="77">
        <f t="shared" si="7"/>
        <v>2345</v>
      </c>
      <c r="O107" s="78">
        <f t="shared" si="8"/>
        <v>181885</v>
      </c>
    </row>
    <row r="108" spans="1:15">
      <c r="A108" s="70">
        <v>302</v>
      </c>
      <c r="B108" s="42" t="s">
        <v>431</v>
      </c>
      <c r="C108" s="42">
        <v>3024012</v>
      </c>
      <c r="D108" s="93">
        <v>4012</v>
      </c>
      <c r="E108" s="71" t="s">
        <v>123</v>
      </c>
      <c r="F108" s="71" t="s">
        <v>420</v>
      </c>
      <c r="G108" s="72">
        <v>0</v>
      </c>
      <c r="H108" s="73">
        <v>332</v>
      </c>
      <c r="I108" s="73">
        <v>0</v>
      </c>
      <c r="J108" s="74">
        <v>0</v>
      </c>
      <c r="K108" s="73">
        <f t="shared" si="9"/>
        <v>332</v>
      </c>
      <c r="L108" s="75">
        <f t="shared" si="5"/>
        <v>317060</v>
      </c>
      <c r="M108" s="76">
        <f t="shared" si="6"/>
        <v>0</v>
      </c>
      <c r="N108" s="77">
        <f t="shared" si="7"/>
        <v>0</v>
      </c>
      <c r="O108" s="78">
        <f t="shared" si="8"/>
        <v>317060</v>
      </c>
    </row>
    <row r="109" spans="1:15">
      <c r="A109" s="70">
        <v>302</v>
      </c>
      <c r="B109" s="42" t="s">
        <v>431</v>
      </c>
      <c r="C109" s="42">
        <v>3024013</v>
      </c>
      <c r="D109" s="93">
        <v>4013</v>
      </c>
      <c r="E109" s="71" t="s">
        <v>514</v>
      </c>
      <c r="F109" s="71" t="s">
        <v>436</v>
      </c>
      <c r="G109" s="72">
        <v>0</v>
      </c>
      <c r="H109" s="73">
        <v>65</v>
      </c>
      <c r="I109" s="73">
        <v>1</v>
      </c>
      <c r="J109" s="74">
        <v>0</v>
      </c>
      <c r="K109" s="73">
        <f t="shared" si="9"/>
        <v>66</v>
      </c>
      <c r="L109" s="75">
        <f t="shared" si="5"/>
        <v>62075</v>
      </c>
      <c r="M109" s="76">
        <f t="shared" si="6"/>
        <v>310</v>
      </c>
      <c r="N109" s="77">
        <f t="shared" si="7"/>
        <v>0</v>
      </c>
      <c r="O109" s="78">
        <f t="shared" si="8"/>
        <v>62385</v>
      </c>
    </row>
    <row r="110" spans="1:15">
      <c r="A110" s="70">
        <v>302</v>
      </c>
      <c r="B110" s="42" t="s">
        <v>431</v>
      </c>
      <c r="C110" s="42">
        <v>3024014</v>
      </c>
      <c r="D110" s="93">
        <v>4014</v>
      </c>
      <c r="E110" s="71" t="s">
        <v>479</v>
      </c>
      <c r="F110" s="71" t="s">
        <v>420</v>
      </c>
      <c r="G110" s="72">
        <v>0</v>
      </c>
      <c r="H110" s="73">
        <v>37</v>
      </c>
      <c r="I110" s="73">
        <v>0</v>
      </c>
      <c r="J110" s="74">
        <v>0</v>
      </c>
      <c r="K110" s="73">
        <f t="shared" si="9"/>
        <v>37</v>
      </c>
      <c r="L110" s="75">
        <f t="shared" si="5"/>
        <v>35335</v>
      </c>
      <c r="M110" s="76">
        <f t="shared" si="6"/>
        <v>0</v>
      </c>
      <c r="N110" s="77">
        <f t="shared" si="7"/>
        <v>0</v>
      </c>
      <c r="O110" s="78">
        <f t="shared" si="8"/>
        <v>35335</v>
      </c>
    </row>
    <row r="111" spans="1:15">
      <c r="A111" s="70">
        <v>302</v>
      </c>
      <c r="B111" s="42" t="s">
        <v>431</v>
      </c>
      <c r="C111" s="42">
        <v>3024208</v>
      </c>
      <c r="D111" s="93">
        <v>4208</v>
      </c>
      <c r="E111" s="71" t="s">
        <v>118</v>
      </c>
      <c r="F111" s="71" t="s">
        <v>420</v>
      </c>
      <c r="G111" s="72">
        <v>0</v>
      </c>
      <c r="H111" s="73">
        <v>268</v>
      </c>
      <c r="I111" s="73">
        <v>2</v>
      </c>
      <c r="J111" s="74">
        <v>1</v>
      </c>
      <c r="K111" s="73">
        <f t="shared" si="9"/>
        <v>271</v>
      </c>
      <c r="L111" s="75">
        <f t="shared" si="5"/>
        <v>255940</v>
      </c>
      <c r="M111" s="76">
        <f t="shared" si="6"/>
        <v>620</v>
      </c>
      <c r="N111" s="77">
        <f t="shared" si="7"/>
        <v>2345</v>
      </c>
      <c r="O111" s="78">
        <f t="shared" si="8"/>
        <v>258905</v>
      </c>
    </row>
    <row r="112" spans="1:15">
      <c r="A112" s="70">
        <v>302</v>
      </c>
      <c r="B112" s="42" t="s">
        <v>431</v>
      </c>
      <c r="C112" s="42">
        <v>3024210</v>
      </c>
      <c r="D112" s="93">
        <v>4210</v>
      </c>
      <c r="E112" s="71" t="s">
        <v>51</v>
      </c>
      <c r="F112" s="71" t="s">
        <v>420</v>
      </c>
      <c r="G112" s="72">
        <v>0</v>
      </c>
      <c r="H112" s="73">
        <v>297</v>
      </c>
      <c r="I112" s="73">
        <v>1</v>
      </c>
      <c r="J112" s="74">
        <v>0</v>
      </c>
      <c r="K112" s="73">
        <f t="shared" si="9"/>
        <v>298</v>
      </c>
      <c r="L112" s="75">
        <f t="shared" si="5"/>
        <v>283635</v>
      </c>
      <c r="M112" s="76">
        <f t="shared" si="6"/>
        <v>310</v>
      </c>
      <c r="N112" s="77">
        <f t="shared" si="7"/>
        <v>0</v>
      </c>
      <c r="O112" s="78">
        <f t="shared" si="8"/>
        <v>283945</v>
      </c>
    </row>
    <row r="113" spans="1:15">
      <c r="A113" s="70">
        <v>302</v>
      </c>
      <c r="B113" s="42" t="s">
        <v>431</v>
      </c>
      <c r="C113" s="42">
        <v>3024211</v>
      </c>
      <c r="D113" s="93">
        <v>4211</v>
      </c>
      <c r="E113" s="71" t="s">
        <v>300</v>
      </c>
      <c r="F113" s="71" t="s">
        <v>420</v>
      </c>
      <c r="G113" s="72">
        <v>0</v>
      </c>
      <c r="H113" s="73">
        <v>236</v>
      </c>
      <c r="I113" s="73">
        <v>0</v>
      </c>
      <c r="J113" s="74">
        <v>0</v>
      </c>
      <c r="K113" s="73">
        <f t="shared" si="9"/>
        <v>236</v>
      </c>
      <c r="L113" s="75">
        <f t="shared" si="5"/>
        <v>225380</v>
      </c>
      <c r="M113" s="76">
        <f t="shared" si="6"/>
        <v>0</v>
      </c>
      <c r="N113" s="77">
        <f t="shared" si="7"/>
        <v>0</v>
      </c>
      <c r="O113" s="78">
        <f t="shared" si="8"/>
        <v>225380</v>
      </c>
    </row>
    <row r="114" spans="1:15">
      <c r="A114" s="70">
        <v>302</v>
      </c>
      <c r="B114" s="42" t="s">
        <v>431</v>
      </c>
      <c r="C114" s="42">
        <v>3024212</v>
      </c>
      <c r="D114" s="93">
        <v>4212</v>
      </c>
      <c r="E114" s="71" t="s">
        <v>397</v>
      </c>
      <c r="F114" s="71" t="s">
        <v>420</v>
      </c>
      <c r="G114" s="72">
        <v>0</v>
      </c>
      <c r="H114" s="73">
        <v>246</v>
      </c>
      <c r="I114" s="73">
        <v>1</v>
      </c>
      <c r="J114" s="74">
        <v>7</v>
      </c>
      <c r="K114" s="73">
        <f t="shared" si="9"/>
        <v>254</v>
      </c>
      <c r="L114" s="75">
        <f t="shared" si="5"/>
        <v>234930</v>
      </c>
      <c r="M114" s="76">
        <f t="shared" si="6"/>
        <v>310</v>
      </c>
      <c r="N114" s="77">
        <f t="shared" si="7"/>
        <v>16415</v>
      </c>
      <c r="O114" s="78">
        <f t="shared" si="8"/>
        <v>251655</v>
      </c>
    </row>
    <row r="115" spans="1:15">
      <c r="A115" s="70">
        <v>302</v>
      </c>
      <c r="B115" s="42" t="s">
        <v>431</v>
      </c>
      <c r="C115" s="42">
        <v>3024215</v>
      </c>
      <c r="D115" s="93">
        <v>4215</v>
      </c>
      <c r="E115" s="71" t="s">
        <v>398</v>
      </c>
      <c r="F115" s="71" t="s">
        <v>420</v>
      </c>
      <c r="G115" s="72">
        <v>0</v>
      </c>
      <c r="H115" s="73">
        <v>325.5</v>
      </c>
      <c r="I115" s="73">
        <v>0</v>
      </c>
      <c r="J115" s="74">
        <v>2</v>
      </c>
      <c r="K115" s="73">
        <f t="shared" si="9"/>
        <v>327.5</v>
      </c>
      <c r="L115" s="75">
        <f t="shared" si="5"/>
        <v>310852.5</v>
      </c>
      <c r="M115" s="76">
        <f t="shared" si="6"/>
        <v>0</v>
      </c>
      <c r="N115" s="77">
        <f t="shared" si="7"/>
        <v>4690</v>
      </c>
      <c r="O115" s="78">
        <f t="shared" si="8"/>
        <v>315542.5</v>
      </c>
    </row>
    <row r="116" spans="1:15">
      <c r="A116" s="70">
        <v>302</v>
      </c>
      <c r="B116" s="42" t="s">
        <v>431</v>
      </c>
      <c r="C116" s="42">
        <v>3024752</v>
      </c>
      <c r="D116" s="93">
        <v>4752</v>
      </c>
      <c r="E116" s="71" t="s">
        <v>302</v>
      </c>
      <c r="F116" s="71" t="s">
        <v>420</v>
      </c>
      <c r="G116" s="72">
        <v>0</v>
      </c>
      <c r="H116" s="73">
        <v>14</v>
      </c>
      <c r="I116" s="73">
        <v>0</v>
      </c>
      <c r="J116" s="74">
        <v>0</v>
      </c>
      <c r="K116" s="73">
        <f t="shared" si="9"/>
        <v>14</v>
      </c>
      <c r="L116" s="75">
        <f t="shared" si="5"/>
        <v>13370</v>
      </c>
      <c r="M116" s="76">
        <f t="shared" si="6"/>
        <v>0</v>
      </c>
      <c r="N116" s="77">
        <f t="shared" si="7"/>
        <v>0</v>
      </c>
      <c r="O116" s="78">
        <f t="shared" si="8"/>
        <v>13370</v>
      </c>
    </row>
    <row r="117" spans="1:15">
      <c r="A117" s="70">
        <v>302</v>
      </c>
      <c r="B117" s="42" t="s">
        <v>431</v>
      </c>
      <c r="C117" s="42">
        <v>3025201</v>
      </c>
      <c r="D117" s="93">
        <v>5201</v>
      </c>
      <c r="E117" s="71" t="s">
        <v>281</v>
      </c>
      <c r="F117" s="71" t="s">
        <v>448</v>
      </c>
      <c r="G117" s="72">
        <v>71</v>
      </c>
      <c r="H117" s="73">
        <v>0</v>
      </c>
      <c r="I117" s="73">
        <v>0</v>
      </c>
      <c r="J117" s="74">
        <v>2</v>
      </c>
      <c r="K117" s="73">
        <f t="shared" si="9"/>
        <v>73</v>
      </c>
      <c r="L117" s="75">
        <f t="shared" si="5"/>
        <v>95495</v>
      </c>
      <c r="M117" s="76">
        <f t="shared" si="6"/>
        <v>0</v>
      </c>
      <c r="N117" s="77">
        <f t="shared" si="7"/>
        <v>4690</v>
      </c>
      <c r="O117" s="78">
        <f t="shared" si="8"/>
        <v>100185</v>
      </c>
    </row>
    <row r="118" spans="1:15">
      <c r="A118" s="70">
        <v>302</v>
      </c>
      <c r="B118" s="42" t="s">
        <v>431</v>
      </c>
      <c r="C118" s="42">
        <v>3025400</v>
      </c>
      <c r="D118" s="93">
        <v>5400</v>
      </c>
      <c r="E118" s="71" t="s">
        <v>117</v>
      </c>
      <c r="F118" s="71" t="s">
        <v>420</v>
      </c>
      <c r="G118" s="72">
        <v>0</v>
      </c>
      <c r="H118" s="73">
        <v>470</v>
      </c>
      <c r="I118" s="73">
        <v>0</v>
      </c>
      <c r="J118" s="74">
        <v>0</v>
      </c>
      <c r="K118" s="73">
        <f t="shared" si="9"/>
        <v>470</v>
      </c>
      <c r="L118" s="75">
        <f t="shared" si="5"/>
        <v>448850</v>
      </c>
      <c r="M118" s="76">
        <f t="shared" si="6"/>
        <v>0</v>
      </c>
      <c r="N118" s="77">
        <f t="shared" si="7"/>
        <v>0</v>
      </c>
      <c r="O118" s="78">
        <f t="shared" si="8"/>
        <v>448850</v>
      </c>
    </row>
    <row r="119" spans="1:15">
      <c r="A119" s="70">
        <v>302</v>
      </c>
      <c r="B119" s="42" t="s">
        <v>431</v>
      </c>
      <c r="C119" s="42">
        <v>3025401</v>
      </c>
      <c r="D119" s="93">
        <v>5401</v>
      </c>
      <c r="E119" s="71" t="s">
        <v>119</v>
      </c>
      <c r="F119" s="71" t="s">
        <v>420</v>
      </c>
      <c r="G119" s="72">
        <v>0</v>
      </c>
      <c r="H119" s="73">
        <v>42</v>
      </c>
      <c r="I119" s="73">
        <v>0</v>
      </c>
      <c r="J119" s="74">
        <v>0</v>
      </c>
      <c r="K119" s="73">
        <f t="shared" si="9"/>
        <v>42</v>
      </c>
      <c r="L119" s="75">
        <f t="shared" si="5"/>
        <v>40110</v>
      </c>
      <c r="M119" s="76">
        <f t="shared" si="6"/>
        <v>0</v>
      </c>
      <c r="N119" s="77">
        <f t="shared" si="7"/>
        <v>0</v>
      </c>
      <c r="O119" s="78">
        <f t="shared" si="8"/>
        <v>40110</v>
      </c>
    </row>
    <row r="120" spans="1:15">
      <c r="A120" s="70">
        <v>302</v>
      </c>
      <c r="B120" s="42" t="s">
        <v>431</v>
      </c>
      <c r="C120" s="42">
        <v>3025402</v>
      </c>
      <c r="D120" s="93">
        <v>5402</v>
      </c>
      <c r="E120" s="71" t="s">
        <v>319</v>
      </c>
      <c r="F120" s="71" t="s">
        <v>420</v>
      </c>
      <c r="G120" s="72">
        <v>0</v>
      </c>
      <c r="H120" s="73">
        <v>262</v>
      </c>
      <c r="I120" s="73">
        <v>1</v>
      </c>
      <c r="J120" s="74">
        <v>9</v>
      </c>
      <c r="K120" s="73">
        <f t="shared" si="9"/>
        <v>272</v>
      </c>
      <c r="L120" s="75">
        <f t="shared" si="5"/>
        <v>250210</v>
      </c>
      <c r="M120" s="76">
        <f t="shared" si="6"/>
        <v>310</v>
      </c>
      <c r="N120" s="77">
        <f t="shared" si="7"/>
        <v>21105</v>
      </c>
      <c r="O120" s="78">
        <f t="shared" si="8"/>
        <v>271625</v>
      </c>
    </row>
    <row r="121" spans="1:15">
      <c r="A121" s="70">
        <v>302</v>
      </c>
      <c r="B121" s="42" t="s">
        <v>431</v>
      </c>
      <c r="C121" s="42">
        <v>3025404</v>
      </c>
      <c r="D121" s="93">
        <v>5404</v>
      </c>
      <c r="E121" s="71" t="s">
        <v>301</v>
      </c>
      <c r="F121" s="71" t="s">
        <v>449</v>
      </c>
      <c r="G121" s="72">
        <v>0</v>
      </c>
      <c r="H121" s="73">
        <v>43</v>
      </c>
      <c r="I121" s="73">
        <v>0</v>
      </c>
      <c r="J121" s="74">
        <v>0</v>
      </c>
      <c r="K121" s="73">
        <f t="shared" si="9"/>
        <v>43</v>
      </c>
      <c r="L121" s="75">
        <f t="shared" si="5"/>
        <v>41065</v>
      </c>
      <c r="M121" s="76">
        <f t="shared" si="6"/>
        <v>0</v>
      </c>
      <c r="N121" s="77">
        <f t="shared" si="7"/>
        <v>0</v>
      </c>
      <c r="O121" s="78">
        <f t="shared" si="8"/>
        <v>41065</v>
      </c>
    </row>
    <row r="122" spans="1:15">
      <c r="A122" s="70">
        <v>302</v>
      </c>
      <c r="B122" s="42" t="s">
        <v>431</v>
      </c>
      <c r="C122" s="42">
        <v>3025405</v>
      </c>
      <c r="D122" s="93">
        <v>5405</v>
      </c>
      <c r="E122" s="71" t="s">
        <v>115</v>
      </c>
      <c r="F122" s="71" t="s">
        <v>449</v>
      </c>
      <c r="G122" s="72">
        <v>0</v>
      </c>
      <c r="H122" s="73">
        <v>113</v>
      </c>
      <c r="I122" s="73">
        <v>0</v>
      </c>
      <c r="J122" s="74">
        <v>3</v>
      </c>
      <c r="K122" s="73">
        <f t="shared" si="9"/>
        <v>116</v>
      </c>
      <c r="L122" s="75">
        <f t="shared" si="5"/>
        <v>107915</v>
      </c>
      <c r="M122" s="76">
        <f t="shared" si="6"/>
        <v>0</v>
      </c>
      <c r="N122" s="77">
        <f t="shared" si="7"/>
        <v>7035</v>
      </c>
      <c r="O122" s="78">
        <f t="shared" si="8"/>
        <v>114950</v>
      </c>
    </row>
    <row r="123" spans="1:15">
      <c r="A123" s="70">
        <v>302</v>
      </c>
      <c r="B123" s="42" t="s">
        <v>431</v>
      </c>
      <c r="C123" s="42">
        <v>3025406</v>
      </c>
      <c r="D123" s="93">
        <v>5406</v>
      </c>
      <c r="E123" s="71" t="s">
        <v>320</v>
      </c>
      <c r="F123" s="71" t="s">
        <v>420</v>
      </c>
      <c r="G123" s="72">
        <v>0</v>
      </c>
      <c r="H123" s="73">
        <v>178</v>
      </c>
      <c r="I123" s="73">
        <v>0</v>
      </c>
      <c r="J123" s="74">
        <v>0</v>
      </c>
      <c r="K123" s="73">
        <f t="shared" si="9"/>
        <v>178</v>
      </c>
      <c r="L123" s="75">
        <f t="shared" si="5"/>
        <v>169990</v>
      </c>
      <c r="M123" s="76">
        <f t="shared" si="6"/>
        <v>0</v>
      </c>
      <c r="N123" s="77">
        <f t="shared" si="7"/>
        <v>0</v>
      </c>
      <c r="O123" s="78">
        <f t="shared" si="8"/>
        <v>169990</v>
      </c>
    </row>
    <row r="124" spans="1:15">
      <c r="A124" s="70">
        <v>302</v>
      </c>
      <c r="B124" s="42" t="s">
        <v>431</v>
      </c>
      <c r="C124" s="42">
        <v>3025407</v>
      </c>
      <c r="D124" s="93">
        <v>5407</v>
      </c>
      <c r="E124" s="71" t="s">
        <v>120</v>
      </c>
      <c r="F124" s="71" t="s">
        <v>449</v>
      </c>
      <c r="G124" s="72">
        <v>0</v>
      </c>
      <c r="H124" s="73">
        <v>235</v>
      </c>
      <c r="I124" s="73">
        <v>0</v>
      </c>
      <c r="J124" s="74">
        <v>2</v>
      </c>
      <c r="K124" s="73">
        <f t="shared" si="9"/>
        <v>237</v>
      </c>
      <c r="L124" s="75">
        <f t="shared" si="5"/>
        <v>224425</v>
      </c>
      <c r="M124" s="76">
        <f t="shared" si="6"/>
        <v>0</v>
      </c>
      <c r="N124" s="77">
        <f t="shared" si="7"/>
        <v>4690</v>
      </c>
      <c r="O124" s="78">
        <f t="shared" si="8"/>
        <v>229115</v>
      </c>
    </row>
    <row r="125" spans="1:15">
      <c r="A125" s="70">
        <v>302</v>
      </c>
      <c r="B125" s="42" t="s">
        <v>431</v>
      </c>
      <c r="C125" s="42">
        <v>3025408</v>
      </c>
      <c r="D125" s="93">
        <v>5408</v>
      </c>
      <c r="E125" s="71" t="s">
        <v>299</v>
      </c>
      <c r="F125" s="71" t="s">
        <v>420</v>
      </c>
      <c r="G125" s="72">
        <v>0</v>
      </c>
      <c r="H125" s="73">
        <v>188</v>
      </c>
      <c r="I125" s="73">
        <v>0</v>
      </c>
      <c r="J125" s="74">
        <v>2</v>
      </c>
      <c r="K125" s="73">
        <f t="shared" si="9"/>
        <v>190</v>
      </c>
      <c r="L125" s="75">
        <f t="shared" si="5"/>
        <v>179540</v>
      </c>
      <c r="M125" s="76">
        <f t="shared" si="6"/>
        <v>0</v>
      </c>
      <c r="N125" s="77">
        <f t="shared" si="7"/>
        <v>4690</v>
      </c>
      <c r="O125" s="78">
        <f t="shared" si="8"/>
        <v>184230</v>
      </c>
    </row>
    <row r="126" spans="1:15">
      <c r="A126" s="70">
        <v>302</v>
      </c>
      <c r="B126" s="42" t="s">
        <v>431</v>
      </c>
      <c r="C126" s="42">
        <v>3025409</v>
      </c>
      <c r="D126" s="93">
        <v>5409</v>
      </c>
      <c r="E126" s="71" t="s">
        <v>512</v>
      </c>
      <c r="F126" s="71" t="s">
        <v>420</v>
      </c>
      <c r="G126" s="72">
        <v>0</v>
      </c>
      <c r="H126" s="73">
        <v>34</v>
      </c>
      <c r="I126" s="73">
        <v>1</v>
      </c>
      <c r="J126" s="74">
        <v>2</v>
      </c>
      <c r="K126" s="73">
        <f t="shared" si="9"/>
        <v>37</v>
      </c>
      <c r="L126" s="75">
        <f t="shared" si="5"/>
        <v>32470</v>
      </c>
      <c r="M126" s="76">
        <f t="shared" si="6"/>
        <v>310</v>
      </c>
      <c r="N126" s="77">
        <f t="shared" si="7"/>
        <v>4690</v>
      </c>
      <c r="O126" s="78">
        <f t="shared" si="8"/>
        <v>37470</v>
      </c>
    </row>
    <row r="127" spans="1:15">
      <c r="A127" s="70">
        <v>302</v>
      </c>
      <c r="B127" s="42" t="s">
        <v>431</v>
      </c>
      <c r="C127" s="42">
        <v>3025427</v>
      </c>
      <c r="D127" s="93">
        <v>5427</v>
      </c>
      <c r="E127" s="71" t="s">
        <v>315</v>
      </c>
      <c r="F127" s="71" t="s">
        <v>449</v>
      </c>
      <c r="G127" s="72">
        <v>0</v>
      </c>
      <c r="H127" s="73">
        <v>64</v>
      </c>
      <c r="I127" s="73">
        <v>0</v>
      </c>
      <c r="J127" s="74">
        <v>1</v>
      </c>
      <c r="K127" s="73">
        <f t="shared" si="9"/>
        <v>65</v>
      </c>
      <c r="L127" s="75">
        <f t="shared" si="5"/>
        <v>61120</v>
      </c>
      <c r="M127" s="76">
        <f t="shared" si="6"/>
        <v>0</v>
      </c>
      <c r="N127" s="77">
        <f t="shared" si="7"/>
        <v>2345</v>
      </c>
      <c r="O127" s="78">
        <f t="shared" si="8"/>
        <v>63465</v>
      </c>
    </row>
    <row r="128" spans="1:15">
      <c r="A128" s="70">
        <v>302</v>
      </c>
      <c r="B128" s="42" t="s">
        <v>431</v>
      </c>
      <c r="C128" s="42">
        <v>3025948</v>
      </c>
      <c r="D128" s="93">
        <v>5948</v>
      </c>
      <c r="E128" s="71" t="s">
        <v>277</v>
      </c>
      <c r="F128" s="71" t="s">
        <v>449</v>
      </c>
      <c r="G128" s="72">
        <v>9</v>
      </c>
      <c r="H128" s="73">
        <v>0</v>
      </c>
      <c r="I128" s="73">
        <v>0</v>
      </c>
      <c r="J128" s="74">
        <v>0</v>
      </c>
      <c r="K128" s="73">
        <f t="shared" si="9"/>
        <v>9</v>
      </c>
      <c r="L128" s="75">
        <f t="shared" si="5"/>
        <v>12105</v>
      </c>
      <c r="M128" s="76">
        <f t="shared" si="6"/>
        <v>0</v>
      </c>
      <c r="N128" s="77">
        <f t="shared" si="7"/>
        <v>0</v>
      </c>
      <c r="O128" s="78">
        <f t="shared" si="8"/>
        <v>12105</v>
      </c>
    </row>
    <row r="129" spans="1:15">
      <c r="A129" s="70">
        <v>302</v>
      </c>
      <c r="B129" s="42" t="s">
        <v>431</v>
      </c>
      <c r="C129" s="42">
        <v>3025949</v>
      </c>
      <c r="D129" s="93">
        <v>5949</v>
      </c>
      <c r="E129" s="71" t="s">
        <v>76</v>
      </c>
      <c r="F129" s="71" t="s">
        <v>449</v>
      </c>
      <c r="G129" s="72">
        <v>20</v>
      </c>
      <c r="H129" s="73">
        <v>0</v>
      </c>
      <c r="I129" s="73">
        <v>0</v>
      </c>
      <c r="J129" s="74">
        <v>0</v>
      </c>
      <c r="K129" s="73">
        <f t="shared" si="9"/>
        <v>20</v>
      </c>
      <c r="L129" s="75">
        <f t="shared" si="5"/>
        <v>26900</v>
      </c>
      <c r="M129" s="76">
        <f t="shared" si="6"/>
        <v>0</v>
      </c>
      <c r="N129" s="77">
        <f t="shared" si="7"/>
        <v>0</v>
      </c>
      <c r="O129" s="78">
        <f t="shared" si="8"/>
        <v>26900</v>
      </c>
    </row>
    <row r="130" spans="1:15">
      <c r="A130" s="70">
        <v>302</v>
      </c>
      <c r="B130" s="42" t="s">
        <v>431</v>
      </c>
      <c r="C130" s="42">
        <v>3025950</v>
      </c>
      <c r="D130" s="93">
        <v>5950</v>
      </c>
      <c r="E130" s="71" t="s">
        <v>451</v>
      </c>
      <c r="F130" s="71" t="s">
        <v>441</v>
      </c>
      <c r="G130" s="72">
        <v>0</v>
      </c>
      <c r="H130" s="73">
        <v>28</v>
      </c>
      <c r="I130" s="73">
        <v>0</v>
      </c>
      <c r="J130" s="74">
        <v>1</v>
      </c>
      <c r="K130" s="73">
        <f t="shared" si="9"/>
        <v>29</v>
      </c>
      <c r="L130" s="75">
        <f t="shared" si="5"/>
        <v>26740</v>
      </c>
      <c r="M130" s="76">
        <f t="shared" si="6"/>
        <v>0</v>
      </c>
      <c r="N130" s="77">
        <f t="shared" si="7"/>
        <v>2345</v>
      </c>
      <c r="O130" s="78">
        <f t="shared" si="8"/>
        <v>29085</v>
      </c>
    </row>
    <row r="131" spans="1:15">
      <c r="A131" s="70">
        <v>302</v>
      </c>
      <c r="B131" s="42" t="s">
        <v>431</v>
      </c>
      <c r="C131" s="42">
        <v>3026085</v>
      </c>
      <c r="D131" s="93">
        <v>6085</v>
      </c>
      <c r="E131" s="71" t="s">
        <v>480</v>
      </c>
      <c r="F131" s="71" t="s">
        <v>513</v>
      </c>
      <c r="G131" s="72">
        <v>3</v>
      </c>
      <c r="H131" s="73">
        <v>4</v>
      </c>
      <c r="I131" s="73">
        <v>0</v>
      </c>
      <c r="J131" s="74">
        <v>1</v>
      </c>
      <c r="K131" s="73">
        <f t="shared" si="9"/>
        <v>8</v>
      </c>
      <c r="L131" s="75">
        <f t="shared" si="5"/>
        <v>7855</v>
      </c>
      <c r="M131" s="76">
        <f t="shared" si="6"/>
        <v>0</v>
      </c>
      <c r="N131" s="77">
        <f t="shared" si="7"/>
        <v>2345</v>
      </c>
      <c r="O131" s="78">
        <f t="shared" si="8"/>
        <v>10200</v>
      </c>
    </row>
    <row r="132" spans="1:15">
      <c r="A132" s="70">
        <v>302</v>
      </c>
      <c r="B132" s="42" t="s">
        <v>431</v>
      </c>
      <c r="C132" s="42">
        <v>3026905</v>
      </c>
      <c r="D132" s="93">
        <v>6905</v>
      </c>
      <c r="E132" s="71" t="s">
        <v>325</v>
      </c>
      <c r="F132" s="71" t="s">
        <v>420</v>
      </c>
      <c r="G132" s="72">
        <v>81</v>
      </c>
      <c r="H132" s="73">
        <v>457.5</v>
      </c>
      <c r="I132" s="73">
        <v>0</v>
      </c>
      <c r="J132" s="74">
        <v>0</v>
      </c>
      <c r="K132" s="73">
        <f t="shared" si="9"/>
        <v>538.5</v>
      </c>
      <c r="L132" s="75">
        <f t="shared" si="5"/>
        <v>545857.5</v>
      </c>
      <c r="M132" s="76">
        <f t="shared" si="6"/>
        <v>0</v>
      </c>
      <c r="N132" s="77">
        <f t="shared" si="7"/>
        <v>0</v>
      </c>
      <c r="O132" s="78">
        <f t="shared" si="8"/>
        <v>545857.5</v>
      </c>
    </row>
    <row r="133" spans="1:15">
      <c r="A133" s="70">
        <v>302</v>
      </c>
      <c r="B133" s="42" t="s">
        <v>431</v>
      </c>
      <c r="C133" s="42">
        <v>3026906</v>
      </c>
      <c r="D133" s="93">
        <v>6906</v>
      </c>
      <c r="E133" s="71" t="s">
        <v>326</v>
      </c>
      <c r="F133" s="71" t="s">
        <v>420</v>
      </c>
      <c r="G133" s="72">
        <v>37</v>
      </c>
      <c r="H133" s="73">
        <v>152</v>
      </c>
      <c r="I133" s="73">
        <v>1</v>
      </c>
      <c r="J133" s="74">
        <v>9</v>
      </c>
      <c r="K133" s="73">
        <f t="shared" si="9"/>
        <v>199</v>
      </c>
      <c r="L133" s="75">
        <f t="shared" si="5"/>
        <v>194925</v>
      </c>
      <c r="M133" s="76">
        <f t="shared" si="6"/>
        <v>310</v>
      </c>
      <c r="N133" s="77">
        <f t="shared" si="7"/>
        <v>21105</v>
      </c>
      <c r="O133" s="78">
        <f t="shared" si="8"/>
        <v>216340</v>
      </c>
    </row>
    <row r="134" spans="1:15">
      <c r="A134" s="70">
        <v>302</v>
      </c>
      <c r="B134" s="42" t="s">
        <v>431</v>
      </c>
      <c r="C134" s="42">
        <v>3027000</v>
      </c>
      <c r="D134" s="93">
        <v>7000</v>
      </c>
      <c r="E134" s="71" t="s">
        <v>126</v>
      </c>
      <c r="F134" s="71" t="s">
        <v>441</v>
      </c>
      <c r="G134" s="72">
        <v>0</v>
      </c>
      <c r="H134" s="73">
        <v>74</v>
      </c>
      <c r="I134" s="73">
        <v>0</v>
      </c>
      <c r="J134" s="74">
        <v>1</v>
      </c>
      <c r="K134" s="73">
        <f t="shared" si="9"/>
        <v>75</v>
      </c>
      <c r="L134" s="75">
        <f t="shared" si="5"/>
        <v>70670</v>
      </c>
      <c r="M134" s="76">
        <f t="shared" si="6"/>
        <v>0</v>
      </c>
      <c r="N134" s="77">
        <f t="shared" si="7"/>
        <v>2345</v>
      </c>
      <c r="O134" s="78">
        <f t="shared" si="8"/>
        <v>73015</v>
      </c>
    </row>
    <row r="135" spans="1:15">
      <c r="A135" s="70">
        <v>302</v>
      </c>
      <c r="B135" s="42" t="s">
        <v>431</v>
      </c>
      <c r="C135" s="42">
        <v>3027005</v>
      </c>
      <c r="D135" s="93">
        <v>7005</v>
      </c>
      <c r="E135" s="71" t="s">
        <v>125</v>
      </c>
      <c r="F135" s="71" t="s">
        <v>452</v>
      </c>
      <c r="G135" s="72">
        <v>45</v>
      </c>
      <c r="H135" s="73">
        <v>0</v>
      </c>
      <c r="I135" s="73">
        <v>0</v>
      </c>
      <c r="J135" s="74">
        <v>0</v>
      </c>
      <c r="K135" s="73">
        <f t="shared" si="9"/>
        <v>45</v>
      </c>
      <c r="L135" s="75">
        <f t="shared" si="5"/>
        <v>60525</v>
      </c>
      <c r="M135" s="76">
        <f t="shared" si="6"/>
        <v>0</v>
      </c>
      <c r="N135" s="77">
        <f t="shared" si="7"/>
        <v>0</v>
      </c>
      <c r="O135" s="78">
        <f t="shared" si="8"/>
        <v>60525</v>
      </c>
    </row>
    <row r="136" spans="1:15">
      <c r="A136" s="70">
        <v>302</v>
      </c>
      <c r="B136" s="42" t="s">
        <v>431</v>
      </c>
      <c r="C136" s="42">
        <v>3027009</v>
      </c>
      <c r="D136" s="93">
        <v>7009</v>
      </c>
      <c r="E136" s="71" t="s">
        <v>430</v>
      </c>
      <c r="F136" s="71" t="s">
        <v>452</v>
      </c>
      <c r="G136" s="72">
        <v>44</v>
      </c>
      <c r="H136" s="73">
        <v>0</v>
      </c>
      <c r="I136" s="73">
        <v>0</v>
      </c>
      <c r="J136" s="74">
        <v>0</v>
      </c>
      <c r="K136" s="73">
        <f t="shared" si="9"/>
        <v>44</v>
      </c>
      <c r="L136" s="75">
        <f t="shared" si="5"/>
        <v>59180</v>
      </c>
      <c r="M136" s="76">
        <f t="shared" si="6"/>
        <v>0</v>
      </c>
      <c r="N136" s="77">
        <f t="shared" si="7"/>
        <v>0</v>
      </c>
      <c r="O136" s="78">
        <f t="shared" si="8"/>
        <v>59180</v>
      </c>
    </row>
    <row r="137" spans="1:15">
      <c r="A137" s="79">
        <v>302</v>
      </c>
      <c r="B137" s="80" t="s">
        <v>431</v>
      </c>
      <c r="C137" s="80">
        <v>3027010</v>
      </c>
      <c r="D137" s="93">
        <v>7010</v>
      </c>
      <c r="E137" s="81" t="s">
        <v>124</v>
      </c>
      <c r="F137" s="81" t="s">
        <v>452</v>
      </c>
      <c r="G137" s="82">
        <v>0</v>
      </c>
      <c r="H137" s="83">
        <v>28</v>
      </c>
      <c r="I137" s="83">
        <v>0</v>
      </c>
      <c r="J137" s="84">
        <v>0</v>
      </c>
      <c r="K137" s="73">
        <f t="shared" si="9"/>
        <v>28</v>
      </c>
      <c r="L137" s="85">
        <f t="shared" si="5"/>
        <v>26740</v>
      </c>
      <c r="M137" s="86">
        <f t="shared" si="6"/>
        <v>0</v>
      </c>
      <c r="N137" s="87">
        <f t="shared" si="7"/>
        <v>0</v>
      </c>
      <c r="O137" s="88">
        <f t="shared" si="8"/>
        <v>26740</v>
      </c>
    </row>
    <row r="138" spans="1:15">
      <c r="A138" s="70"/>
      <c r="G138" s="89"/>
      <c r="H138" s="89"/>
      <c r="I138" s="90"/>
      <c r="J138" s="89"/>
      <c r="K138" s="89"/>
    </row>
    <row r="139" spans="1:15">
      <c r="A139" s="70"/>
      <c r="G139" s="89"/>
      <c r="H139" s="89"/>
      <c r="I139" s="90"/>
      <c r="J139" s="89"/>
      <c r="K139" s="89"/>
    </row>
    <row r="140" spans="1:15">
      <c r="A140" s="70"/>
      <c r="G140" s="89"/>
      <c r="H140" s="89"/>
      <c r="I140" s="90"/>
      <c r="J140" s="89"/>
      <c r="K140" s="89"/>
    </row>
    <row r="141" spans="1:15">
      <c r="A141" s="70"/>
      <c r="G141" s="89"/>
      <c r="H141" s="89"/>
      <c r="I141" s="90"/>
      <c r="J141" s="89"/>
      <c r="K141" s="89"/>
    </row>
    <row r="142" spans="1:15">
      <c r="A142" s="70"/>
      <c r="G142" s="89"/>
      <c r="H142" s="89"/>
      <c r="I142" s="90"/>
      <c r="J142" s="89"/>
      <c r="K142" s="89"/>
    </row>
    <row r="143" spans="1:15">
      <c r="A143" s="70"/>
      <c r="G143" s="89"/>
      <c r="H143" s="89"/>
      <c r="I143" s="90"/>
      <c r="J143" s="89"/>
      <c r="K143" s="89"/>
    </row>
    <row r="144" spans="1:15">
      <c r="A144" s="70"/>
      <c r="G144" s="89"/>
      <c r="H144" s="89"/>
      <c r="I144" s="90"/>
      <c r="J144" s="89"/>
      <c r="K144" s="89"/>
    </row>
    <row r="145" spans="1:11">
      <c r="A145" s="70"/>
      <c r="G145" s="89"/>
      <c r="H145" s="89"/>
      <c r="I145" s="90"/>
      <c r="J145" s="89"/>
      <c r="K145" s="89"/>
    </row>
    <row r="146" spans="1:11">
      <c r="A146" s="70"/>
      <c r="G146" s="89"/>
      <c r="H146" s="89"/>
      <c r="I146" s="90"/>
      <c r="J146" s="89"/>
      <c r="K146" s="89"/>
    </row>
    <row r="147" spans="1:11">
      <c r="A147" s="70"/>
      <c r="G147" s="89"/>
      <c r="H147" s="89"/>
      <c r="I147" s="90"/>
      <c r="J147" s="89"/>
      <c r="K147" s="89"/>
    </row>
    <row r="148" spans="1:11">
      <c r="A148" s="70"/>
      <c r="G148" s="89"/>
      <c r="H148" s="89"/>
      <c r="I148" s="90"/>
      <c r="J148" s="89"/>
      <c r="K148" s="89"/>
    </row>
    <row r="149" spans="1:11">
      <c r="A149" s="70"/>
      <c r="G149" s="89"/>
      <c r="H149" s="89"/>
      <c r="I149" s="90"/>
      <c r="J149" s="89"/>
      <c r="K149" s="89"/>
    </row>
    <row r="150" spans="1:11">
      <c r="A150" s="70"/>
      <c r="G150" s="89"/>
      <c r="H150" s="89"/>
      <c r="I150" s="90"/>
      <c r="J150" s="89"/>
      <c r="K150" s="89"/>
    </row>
    <row r="151" spans="1:11">
      <c r="A151" s="70"/>
      <c r="G151" s="89"/>
      <c r="H151" s="89"/>
      <c r="I151" s="90"/>
      <c r="J151" s="89"/>
      <c r="K151" s="89"/>
    </row>
  </sheetData>
  <mergeCells count="3">
    <mergeCell ref="A6:F6"/>
    <mergeCell ref="A7:J7"/>
    <mergeCell ref="G10:J10"/>
  </mergeCells>
  <hyperlinks>
    <hyperlink ref="A1" r:id="rId1" xr:uid="{00000000-0004-0000-05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Q101"/>
  <sheetViews>
    <sheetView workbookViewId="0">
      <pane xSplit="2" ySplit="3" topLeftCell="C4" activePane="bottomRight" state="frozen"/>
      <selection activeCell="A57" sqref="A57:IV57"/>
      <selection pane="topRight" activeCell="A57" sqref="A57:IV57"/>
      <selection pane="bottomLeft" activeCell="A57" sqref="A57:IV57"/>
      <selection pane="bottomRight" activeCell="A57" sqref="A57:IV57"/>
    </sheetView>
  </sheetViews>
  <sheetFormatPr defaultRowHeight="13.2"/>
  <cols>
    <col min="1" max="1" width="37" bestFit="1" customWidth="1"/>
    <col min="2" max="4" width="10.5546875" bestFit="1" customWidth="1"/>
    <col min="5" max="5" width="13.33203125" bestFit="1" customWidth="1"/>
    <col min="6" max="6" width="14" bestFit="1" customWidth="1"/>
    <col min="7" max="7" width="13.88671875" bestFit="1" customWidth="1"/>
    <col min="8" max="8" width="11.6640625" bestFit="1" customWidth="1"/>
    <col min="9" max="9" width="12.6640625" bestFit="1" customWidth="1"/>
    <col min="10" max="10" width="13.88671875" bestFit="1" customWidth="1"/>
    <col min="11" max="11" width="11.6640625" bestFit="1" customWidth="1"/>
    <col min="12" max="12" width="10.109375" bestFit="1" customWidth="1"/>
    <col min="13" max="13" width="11.6640625" bestFit="1" customWidth="1"/>
    <col min="14" max="14" width="12.6640625" bestFit="1" customWidth="1"/>
    <col min="15" max="15" width="10.109375" bestFit="1" customWidth="1"/>
    <col min="16" max="16" width="13.88671875" bestFit="1" customWidth="1"/>
  </cols>
  <sheetData>
    <row r="1" spans="1:17" s="38" customFormat="1">
      <c r="A1" s="37"/>
      <c r="B1" s="37">
        <v>1</v>
      </c>
      <c r="C1" s="37">
        <v>2</v>
      </c>
      <c r="D1" s="37">
        <v>3</v>
      </c>
      <c r="E1" s="37">
        <v>4</v>
      </c>
      <c r="F1" s="37">
        <v>5</v>
      </c>
      <c r="G1" s="37">
        <v>6</v>
      </c>
      <c r="H1" s="37">
        <v>7</v>
      </c>
      <c r="I1" s="37">
        <v>8</v>
      </c>
      <c r="J1" s="37">
        <v>9</v>
      </c>
      <c r="K1" s="37">
        <v>10</v>
      </c>
      <c r="L1" s="37"/>
      <c r="M1" s="37"/>
      <c r="N1" s="37"/>
      <c r="O1" s="37"/>
      <c r="P1" s="37"/>
      <c r="Q1" s="37"/>
    </row>
    <row r="2" spans="1:17" ht="14.4">
      <c r="A2" s="33" t="s">
        <v>341</v>
      </c>
      <c r="B2" s="34" t="s">
        <v>482</v>
      </c>
      <c r="C2" s="33"/>
      <c r="D2" s="35"/>
      <c r="E2" s="35"/>
      <c r="F2" s="35" t="s">
        <v>453</v>
      </c>
      <c r="G2" s="35"/>
      <c r="H2" s="35"/>
      <c r="I2" s="35"/>
      <c r="J2" s="35" t="s">
        <v>343</v>
      </c>
      <c r="K2" s="35"/>
      <c r="L2" s="35"/>
      <c r="M2" s="35"/>
      <c r="N2" s="35" t="s">
        <v>343</v>
      </c>
      <c r="O2" s="35"/>
      <c r="P2" s="35"/>
      <c r="Q2" s="33"/>
    </row>
    <row r="3" spans="1:17" ht="14.4">
      <c r="A3" s="33" t="s">
        <v>133</v>
      </c>
      <c r="B3" s="33" t="s">
        <v>483</v>
      </c>
      <c r="C3" s="35" t="s">
        <v>225</v>
      </c>
      <c r="D3" s="35" t="s">
        <v>238</v>
      </c>
      <c r="E3" s="35" t="s">
        <v>242</v>
      </c>
      <c r="F3" s="35" t="s">
        <v>484</v>
      </c>
      <c r="G3" s="35" t="s">
        <v>200</v>
      </c>
      <c r="H3" s="35" t="s">
        <v>201</v>
      </c>
      <c r="I3" s="35" t="s">
        <v>202</v>
      </c>
      <c r="J3" s="35" t="s">
        <v>485</v>
      </c>
      <c r="K3" s="35" t="s">
        <v>204</v>
      </c>
      <c r="L3" s="35" t="s">
        <v>205</v>
      </c>
      <c r="M3" s="35" t="s">
        <v>335</v>
      </c>
      <c r="N3" s="35" t="s">
        <v>486</v>
      </c>
      <c r="O3" s="35" t="s">
        <v>308</v>
      </c>
      <c r="P3" s="35" t="s">
        <v>342</v>
      </c>
      <c r="Q3" s="33"/>
    </row>
    <row r="4" spans="1:17">
      <c r="A4" s="31" t="s">
        <v>404</v>
      </c>
      <c r="B4" s="41" t="s">
        <v>490</v>
      </c>
      <c r="C4" s="32"/>
      <c r="D4" s="32"/>
      <c r="E4" s="32"/>
      <c r="F4" s="32">
        <f>SUM(C4:E4)</f>
        <v>0</v>
      </c>
      <c r="G4" s="32">
        <v>449521.47569428588</v>
      </c>
      <c r="H4" s="32"/>
      <c r="I4" s="32">
        <v>5855.25</v>
      </c>
      <c r="J4" s="32">
        <f>SUM(G4:I4)</f>
        <v>455376.72569428588</v>
      </c>
      <c r="K4" s="32"/>
      <c r="L4" s="32"/>
      <c r="M4" s="32"/>
      <c r="N4" s="32">
        <f>SUM(K4:M4)</f>
        <v>0</v>
      </c>
      <c r="O4" s="32">
        <v>5051.6499999999996</v>
      </c>
      <c r="P4" s="32">
        <f>F4+J4+N4+O4</f>
        <v>460428.3756942859</v>
      </c>
      <c r="Q4" s="31"/>
    </row>
    <row r="5" spans="1:17">
      <c r="A5" s="31" t="s">
        <v>352</v>
      </c>
      <c r="B5" s="41" t="s">
        <v>490</v>
      </c>
      <c r="C5" s="32"/>
      <c r="D5" s="32"/>
      <c r="E5" s="32"/>
      <c r="F5" s="32">
        <f>SUM(C5:E5)</f>
        <v>0</v>
      </c>
      <c r="G5" s="32">
        <v>435930.80626000027</v>
      </c>
      <c r="H5" s="32"/>
      <c r="I5" s="32">
        <v>8040.4300000000012</v>
      </c>
      <c r="J5" s="32">
        <f>SUM(G5:I5)</f>
        <v>443971.23626000027</v>
      </c>
      <c r="K5" s="32"/>
      <c r="L5" s="32"/>
      <c r="M5" s="32"/>
      <c r="N5" s="32">
        <f>SUM(K5:M5)</f>
        <v>0</v>
      </c>
      <c r="O5" s="32">
        <v>5008.45</v>
      </c>
      <c r="P5" s="32">
        <f>F5+J5+N5+O5</f>
        <v>448979.68626000028</v>
      </c>
      <c r="Q5" s="31"/>
    </row>
    <row r="6" spans="1:17">
      <c r="A6" s="31" t="s">
        <v>405</v>
      </c>
      <c r="B6" s="41" t="s">
        <v>490</v>
      </c>
      <c r="C6" s="32"/>
      <c r="D6" s="32"/>
      <c r="E6" s="32"/>
      <c r="F6" s="32">
        <f>SUM(C6:E6)</f>
        <v>0</v>
      </c>
      <c r="G6" s="32">
        <v>435748.64589285734</v>
      </c>
      <c r="H6" s="32"/>
      <c r="I6" s="32">
        <v>25335.32</v>
      </c>
      <c r="J6" s="32">
        <f>SUM(G6:I6)</f>
        <v>461083.96589285735</v>
      </c>
      <c r="K6" s="32"/>
      <c r="L6" s="32"/>
      <c r="M6" s="32"/>
      <c r="N6" s="32">
        <f>SUM(K6:M6)</f>
        <v>0</v>
      </c>
      <c r="O6" s="32">
        <v>5021.28</v>
      </c>
      <c r="P6" s="32">
        <f>F6+J6+N6+O6</f>
        <v>466105.24589285738</v>
      </c>
      <c r="Q6" s="31"/>
    </row>
    <row r="7" spans="1:17" s="27" customFormat="1">
      <c r="A7" s="39" t="s">
        <v>442</v>
      </c>
      <c r="B7" s="39">
        <v>10135</v>
      </c>
      <c r="C7" s="40">
        <f>SUM(C4:C6)</f>
        <v>0</v>
      </c>
      <c r="D7" s="40">
        <f t="shared" ref="D7:P7" si="0">SUM(D4:D6)</f>
        <v>0</v>
      </c>
      <c r="E7" s="40">
        <f t="shared" si="0"/>
        <v>0</v>
      </c>
      <c r="F7" s="40">
        <f t="shared" si="0"/>
        <v>0</v>
      </c>
      <c r="G7" s="40">
        <f t="shared" si="0"/>
        <v>1321200.9278471435</v>
      </c>
      <c r="H7" s="40">
        <f t="shared" si="0"/>
        <v>0</v>
      </c>
      <c r="I7" s="40">
        <f t="shared" si="0"/>
        <v>39231</v>
      </c>
      <c r="J7" s="40">
        <f t="shared" si="0"/>
        <v>1360431.9278471435</v>
      </c>
      <c r="K7" s="40">
        <f t="shared" si="0"/>
        <v>0</v>
      </c>
      <c r="L7" s="40">
        <f t="shared" si="0"/>
        <v>0</v>
      </c>
      <c r="M7" s="40">
        <f t="shared" si="0"/>
        <v>0</v>
      </c>
      <c r="N7" s="40">
        <f t="shared" si="0"/>
        <v>0</v>
      </c>
      <c r="O7" s="40">
        <f t="shared" si="0"/>
        <v>15081.379999999997</v>
      </c>
      <c r="P7" s="40">
        <f t="shared" si="0"/>
        <v>1375513.3078471436</v>
      </c>
      <c r="Q7" s="39"/>
    </row>
    <row r="8" spans="1:17">
      <c r="A8" s="31" t="s">
        <v>353</v>
      </c>
      <c r="B8" s="31">
        <v>10132</v>
      </c>
      <c r="C8" s="32"/>
      <c r="D8" s="32"/>
      <c r="E8" s="32"/>
      <c r="F8" s="32">
        <f t="shared" ref="F8:F40" si="1">SUM(C8:E8)</f>
        <v>0</v>
      </c>
      <c r="G8" s="32">
        <v>453891.15700000012</v>
      </c>
      <c r="H8" s="32"/>
      <c r="I8" s="32">
        <v>9159.93</v>
      </c>
      <c r="J8" s="32">
        <f t="shared" ref="J8:J40" si="2">SUM(G8:I8)</f>
        <v>463051.08700000012</v>
      </c>
      <c r="K8" s="32"/>
      <c r="L8" s="32"/>
      <c r="M8" s="32"/>
      <c r="N8" s="32">
        <f t="shared" ref="N8:N40" si="3">SUM(K8:M8)</f>
        <v>0</v>
      </c>
      <c r="O8" s="32">
        <v>5059.75</v>
      </c>
      <c r="P8" s="32">
        <f t="shared" ref="P8:P40" si="4">F8+J8+N8+O8</f>
        <v>468110.83700000012</v>
      </c>
      <c r="Q8" s="31"/>
    </row>
    <row r="9" spans="1:17">
      <c r="A9" s="31" t="s">
        <v>256</v>
      </c>
      <c r="B9" s="31">
        <v>11094</v>
      </c>
      <c r="C9" s="32">
        <v>-695.54</v>
      </c>
      <c r="D9" s="32">
        <v>-838</v>
      </c>
      <c r="E9" s="32">
        <v>-19640.505329460007</v>
      </c>
      <c r="F9" s="32">
        <f t="shared" si="1"/>
        <v>-21174.045329460008</v>
      </c>
      <c r="G9" s="32">
        <v>1596552.2155572006</v>
      </c>
      <c r="H9" s="32"/>
      <c r="I9" s="32">
        <v>92226.26</v>
      </c>
      <c r="J9" s="32">
        <f t="shared" si="2"/>
        <v>1688778.4755572006</v>
      </c>
      <c r="K9" s="32">
        <v>2300</v>
      </c>
      <c r="L9" s="32"/>
      <c r="M9" s="32">
        <v>97725</v>
      </c>
      <c r="N9" s="32">
        <f t="shared" si="3"/>
        <v>100025</v>
      </c>
      <c r="O9" s="32">
        <v>0</v>
      </c>
      <c r="P9" s="32">
        <f t="shared" si="4"/>
        <v>1767629.4302277407</v>
      </c>
      <c r="Q9" s="31"/>
    </row>
    <row r="10" spans="1:17">
      <c r="A10" s="31" t="s">
        <v>455</v>
      </c>
      <c r="B10" s="31">
        <v>10040</v>
      </c>
      <c r="C10" s="32">
        <v>-315.39999999999998</v>
      </c>
      <c r="D10" s="32">
        <v>-380</v>
      </c>
      <c r="E10" s="32">
        <v>-9585.8754960274382</v>
      </c>
      <c r="F10" s="32">
        <f t="shared" si="1"/>
        <v>-10281.275496027438</v>
      </c>
      <c r="G10" s="32">
        <v>936534.13268912956</v>
      </c>
      <c r="H10" s="32"/>
      <c r="I10" s="32">
        <v>24985.33</v>
      </c>
      <c r="J10" s="32">
        <f t="shared" si="2"/>
        <v>961519.46268912952</v>
      </c>
      <c r="K10" s="32">
        <v>104280</v>
      </c>
      <c r="L10" s="32"/>
      <c r="M10" s="32">
        <v>43207</v>
      </c>
      <c r="N10" s="32">
        <f t="shared" si="3"/>
        <v>147487</v>
      </c>
      <c r="O10" s="32">
        <v>0</v>
      </c>
      <c r="P10" s="32">
        <f t="shared" si="4"/>
        <v>1098725.1871931022</v>
      </c>
      <c r="Q10" s="31"/>
    </row>
    <row r="11" spans="1:17">
      <c r="A11" s="31" t="s">
        <v>458</v>
      </c>
      <c r="B11" s="31">
        <v>10042</v>
      </c>
      <c r="C11" s="32">
        <v>-396.74</v>
      </c>
      <c r="D11" s="32">
        <v>-478</v>
      </c>
      <c r="E11" s="32">
        <v>-11751.52233447662</v>
      </c>
      <c r="F11" s="32">
        <f t="shared" si="1"/>
        <v>-12626.26233447662</v>
      </c>
      <c r="G11" s="32">
        <v>1194708.3159043912</v>
      </c>
      <c r="H11" s="32"/>
      <c r="I11" s="32">
        <v>59451.49</v>
      </c>
      <c r="J11" s="32">
        <f t="shared" si="2"/>
        <v>1254159.8059043912</v>
      </c>
      <c r="K11" s="32">
        <v>73240</v>
      </c>
      <c r="L11" s="32"/>
      <c r="M11" s="32">
        <v>52579</v>
      </c>
      <c r="N11" s="32">
        <f t="shared" si="3"/>
        <v>125819</v>
      </c>
      <c r="O11" s="32">
        <v>0</v>
      </c>
      <c r="P11" s="32">
        <f t="shared" si="4"/>
        <v>1367352.5435699145</v>
      </c>
      <c r="Q11" s="31"/>
    </row>
    <row r="12" spans="1:17">
      <c r="A12" s="31" t="s">
        <v>459</v>
      </c>
      <c r="B12" s="31">
        <v>10043</v>
      </c>
      <c r="C12" s="32">
        <v>-255.64</v>
      </c>
      <c r="D12" s="32">
        <v>-308</v>
      </c>
      <c r="E12" s="32">
        <v>-7441.4658878732516</v>
      </c>
      <c r="F12" s="32">
        <f t="shared" si="1"/>
        <v>-8005.105887873252</v>
      </c>
      <c r="G12" s="32">
        <v>886498.25636464427</v>
      </c>
      <c r="H12" s="32"/>
      <c r="I12" s="32">
        <v>16523.09</v>
      </c>
      <c r="J12" s="32">
        <f t="shared" si="2"/>
        <v>903021.34636464424</v>
      </c>
      <c r="K12" s="32">
        <v>27720</v>
      </c>
      <c r="L12" s="32"/>
      <c r="M12" s="32">
        <v>71084</v>
      </c>
      <c r="N12" s="32">
        <f t="shared" si="3"/>
        <v>98804</v>
      </c>
      <c r="O12" s="32">
        <v>0</v>
      </c>
      <c r="P12" s="32">
        <f t="shared" si="4"/>
        <v>993820.24047677102</v>
      </c>
      <c r="Q12" s="31"/>
    </row>
    <row r="13" spans="1:17">
      <c r="A13" s="31" t="s">
        <v>462</v>
      </c>
      <c r="B13" s="31">
        <v>10117</v>
      </c>
      <c r="C13" s="32">
        <v>-366.85999999999996</v>
      </c>
      <c r="D13" s="32">
        <v>-442</v>
      </c>
      <c r="E13" s="32">
        <v>-10893.970779433597</v>
      </c>
      <c r="F13" s="32">
        <f t="shared" si="1"/>
        <v>-11702.830779433598</v>
      </c>
      <c r="G13" s="32">
        <v>1004279.5156120801</v>
      </c>
      <c r="H13" s="32"/>
      <c r="I13" s="32">
        <v>17463.75</v>
      </c>
      <c r="J13" s="32">
        <f t="shared" si="2"/>
        <v>1021743.2656120801</v>
      </c>
      <c r="K13" s="32">
        <v>76860</v>
      </c>
      <c r="L13" s="32"/>
      <c r="M13" s="32">
        <v>23440</v>
      </c>
      <c r="N13" s="32">
        <f t="shared" si="3"/>
        <v>100300</v>
      </c>
      <c r="O13" s="32">
        <v>0</v>
      </c>
      <c r="P13" s="32">
        <f t="shared" si="4"/>
        <v>1110340.4348326465</v>
      </c>
      <c r="Q13" s="31"/>
    </row>
    <row r="14" spans="1:17">
      <c r="A14" s="31" t="s">
        <v>36</v>
      </c>
      <c r="B14" s="31">
        <v>10044</v>
      </c>
      <c r="C14" s="32">
        <v>-692.21999999999991</v>
      </c>
      <c r="D14" s="32">
        <v>-834</v>
      </c>
      <c r="E14" s="32">
        <v>-21386.222329251195</v>
      </c>
      <c r="F14" s="32">
        <f t="shared" si="1"/>
        <v>-22912.442329251196</v>
      </c>
      <c r="G14" s="32">
        <v>2275033.94319493</v>
      </c>
      <c r="H14" s="32"/>
      <c r="I14" s="32">
        <v>84233.585000000006</v>
      </c>
      <c r="J14" s="32">
        <f t="shared" si="2"/>
        <v>2359267.5281949299</v>
      </c>
      <c r="K14" s="32">
        <v>222400</v>
      </c>
      <c r="L14" s="32"/>
      <c r="M14" s="32">
        <v>71241</v>
      </c>
      <c r="N14" s="32">
        <f t="shared" si="3"/>
        <v>293641</v>
      </c>
      <c r="O14" s="32">
        <v>9397.75</v>
      </c>
      <c r="P14" s="32">
        <f t="shared" si="4"/>
        <v>2639393.8358656787</v>
      </c>
      <c r="Q14" s="31"/>
    </row>
    <row r="15" spans="1:17">
      <c r="A15" s="31" t="s">
        <v>37</v>
      </c>
      <c r="B15" s="31">
        <v>10128</v>
      </c>
      <c r="C15" s="32">
        <v>-753.64</v>
      </c>
      <c r="D15" s="32">
        <v>-908</v>
      </c>
      <c r="E15" s="32">
        <v>-21728.725103044628</v>
      </c>
      <c r="F15" s="32">
        <f t="shared" si="1"/>
        <v>-23390.365103044627</v>
      </c>
      <c r="G15" s="32">
        <v>2041788.6722333985</v>
      </c>
      <c r="H15" s="32"/>
      <c r="I15" s="32"/>
      <c r="J15" s="32">
        <f t="shared" si="2"/>
        <v>2041788.6722333985</v>
      </c>
      <c r="K15" s="32">
        <v>54120</v>
      </c>
      <c r="L15" s="32"/>
      <c r="M15" s="32">
        <v>92524</v>
      </c>
      <c r="N15" s="32">
        <f t="shared" si="3"/>
        <v>146644</v>
      </c>
      <c r="O15" s="32">
        <v>0</v>
      </c>
      <c r="P15" s="32">
        <f t="shared" si="4"/>
        <v>2165042.307130354</v>
      </c>
      <c r="Q15" s="31"/>
    </row>
    <row r="16" spans="1:17">
      <c r="A16" s="31" t="s">
        <v>393</v>
      </c>
      <c r="B16" s="31">
        <v>11278</v>
      </c>
      <c r="C16" s="32">
        <v>-322.03999999999996</v>
      </c>
      <c r="D16" s="32">
        <v>-388</v>
      </c>
      <c r="E16" s="32">
        <v>-9197.1125017360628</v>
      </c>
      <c r="F16" s="32">
        <f t="shared" si="1"/>
        <v>-9907.1525017360618</v>
      </c>
      <c r="G16" s="32">
        <v>960357.99488284986</v>
      </c>
      <c r="H16" s="32"/>
      <c r="I16" s="32">
        <v>63339</v>
      </c>
      <c r="J16" s="32">
        <f t="shared" si="2"/>
        <v>1023696.9948828499</v>
      </c>
      <c r="K16" s="32">
        <v>17160</v>
      </c>
      <c r="L16" s="32"/>
      <c r="M16" s="32">
        <v>52853</v>
      </c>
      <c r="N16" s="32">
        <f t="shared" si="3"/>
        <v>70013</v>
      </c>
      <c r="O16" s="32">
        <v>0</v>
      </c>
      <c r="P16" s="32">
        <f t="shared" si="4"/>
        <v>1083802.8423811137</v>
      </c>
      <c r="Q16" s="31"/>
    </row>
    <row r="17" spans="1:17">
      <c r="A17" s="31" t="s">
        <v>260</v>
      </c>
      <c r="B17" s="31">
        <v>10045</v>
      </c>
      <c r="C17" s="32">
        <v>-612.54</v>
      </c>
      <c r="D17" s="32">
        <v>-738</v>
      </c>
      <c r="E17" s="32">
        <v>-18962.023052283475</v>
      </c>
      <c r="F17" s="32">
        <f t="shared" si="1"/>
        <v>-20312.563052283476</v>
      </c>
      <c r="G17" s="32">
        <v>1958271.811662409</v>
      </c>
      <c r="H17" s="32"/>
      <c r="I17" s="32">
        <v>91541.33</v>
      </c>
      <c r="J17" s="32">
        <f t="shared" si="2"/>
        <v>2049813.1416624091</v>
      </c>
      <c r="K17" s="32">
        <v>227040</v>
      </c>
      <c r="L17" s="32"/>
      <c r="M17" s="32">
        <v>51088</v>
      </c>
      <c r="N17" s="32">
        <f t="shared" si="3"/>
        <v>278128</v>
      </c>
      <c r="O17" s="32">
        <v>8716</v>
      </c>
      <c r="P17" s="32">
        <f t="shared" si="4"/>
        <v>2316344.5786101259</v>
      </c>
      <c r="Q17" s="31"/>
    </row>
    <row r="18" spans="1:17">
      <c r="A18" s="31" t="s">
        <v>389</v>
      </c>
      <c r="B18" s="31">
        <v>10115</v>
      </c>
      <c r="C18" s="32">
        <v>-654.04</v>
      </c>
      <c r="D18" s="32">
        <v>-788</v>
      </c>
      <c r="E18" s="32">
        <v>-19587.5408768079</v>
      </c>
      <c r="F18" s="32">
        <f t="shared" si="1"/>
        <v>-21029.5808768079</v>
      </c>
      <c r="G18" s="32">
        <v>2059589.6762407136</v>
      </c>
      <c r="H18" s="32"/>
      <c r="I18" s="32">
        <v>57214.999999999993</v>
      </c>
      <c r="J18" s="32">
        <f t="shared" si="2"/>
        <v>2116804.6762407133</v>
      </c>
      <c r="K18" s="32">
        <v>161980</v>
      </c>
      <c r="L18" s="32"/>
      <c r="M18" s="32">
        <v>71168</v>
      </c>
      <c r="N18" s="32">
        <f t="shared" si="3"/>
        <v>233148</v>
      </c>
      <c r="O18" s="32">
        <v>0</v>
      </c>
      <c r="P18" s="32">
        <f t="shared" si="4"/>
        <v>2328923.0953639057</v>
      </c>
      <c r="Q18" s="31"/>
    </row>
    <row r="19" spans="1:17">
      <c r="A19" s="31" t="s">
        <v>357</v>
      </c>
      <c r="B19" s="31">
        <v>10047</v>
      </c>
      <c r="C19" s="32">
        <v>-449.85999999999996</v>
      </c>
      <c r="D19" s="32">
        <v>-542</v>
      </c>
      <c r="E19" s="32">
        <v>-13166.568724060968</v>
      </c>
      <c r="F19" s="32">
        <f t="shared" si="1"/>
        <v>-14158.428724060968</v>
      </c>
      <c r="G19" s="32">
        <v>1406447.0184615001</v>
      </c>
      <c r="H19" s="32"/>
      <c r="I19" s="32">
        <v>115945.02500000001</v>
      </c>
      <c r="J19" s="32">
        <f t="shared" si="2"/>
        <v>1522392.0434615</v>
      </c>
      <c r="K19" s="32">
        <v>57400</v>
      </c>
      <c r="L19" s="32"/>
      <c r="M19" s="32">
        <v>111128</v>
      </c>
      <c r="N19" s="32">
        <f t="shared" si="3"/>
        <v>168528</v>
      </c>
      <c r="O19" s="32">
        <v>7388.5</v>
      </c>
      <c r="P19" s="32">
        <f t="shared" si="4"/>
        <v>1684150.114737439</v>
      </c>
      <c r="Q19" s="31"/>
    </row>
    <row r="20" spans="1:17">
      <c r="A20" s="31" t="s">
        <v>42</v>
      </c>
      <c r="B20" s="31">
        <v>10046</v>
      </c>
      <c r="C20" s="32">
        <v>-590.95999999999992</v>
      </c>
      <c r="D20" s="32">
        <v>-712</v>
      </c>
      <c r="E20" s="32">
        <v>-17397.571166611531</v>
      </c>
      <c r="F20" s="32">
        <f t="shared" si="1"/>
        <v>-18700.53116661153</v>
      </c>
      <c r="G20" s="32">
        <v>1482028.5319576601</v>
      </c>
      <c r="H20" s="32"/>
      <c r="I20" s="32">
        <v>86353.17</v>
      </c>
      <c r="J20" s="32">
        <f t="shared" si="2"/>
        <v>1568381.70195766</v>
      </c>
      <c r="K20" s="32">
        <v>97340</v>
      </c>
      <c r="L20" s="32"/>
      <c r="M20" s="32">
        <v>25740</v>
      </c>
      <c r="N20" s="32">
        <f t="shared" si="3"/>
        <v>123080</v>
      </c>
      <c r="O20" s="32">
        <v>7993.75</v>
      </c>
      <c r="P20" s="32">
        <f t="shared" si="4"/>
        <v>1680754.9207910486</v>
      </c>
      <c r="Q20" s="31"/>
    </row>
    <row r="21" spans="1:17">
      <c r="A21" s="31" t="s">
        <v>358</v>
      </c>
      <c r="B21" s="31">
        <v>10048</v>
      </c>
      <c r="C21" s="32">
        <v>-692.21999999999991</v>
      </c>
      <c r="D21" s="32">
        <v>-834</v>
      </c>
      <c r="E21" s="32">
        <v>-20458.492428218495</v>
      </c>
      <c r="F21" s="32">
        <f t="shared" si="1"/>
        <v>-21984.712428218496</v>
      </c>
      <c r="G21" s="32">
        <v>2064283.0487562662</v>
      </c>
      <c r="H21" s="32"/>
      <c r="I21" s="32">
        <v>77184.5</v>
      </c>
      <c r="J21" s="32">
        <f t="shared" si="2"/>
        <v>2141467.548756266</v>
      </c>
      <c r="K21" s="32">
        <v>116160</v>
      </c>
      <c r="L21" s="32">
        <v>32072</v>
      </c>
      <c r="M21" s="32">
        <v>73182</v>
      </c>
      <c r="N21" s="32">
        <f t="shared" si="3"/>
        <v>221414</v>
      </c>
      <c r="O21" s="32">
        <v>9030.5499999999993</v>
      </c>
      <c r="P21" s="32">
        <f t="shared" si="4"/>
        <v>2349927.3863280471</v>
      </c>
      <c r="Q21" s="31"/>
    </row>
    <row r="22" spans="1:17">
      <c r="A22" s="31" t="s">
        <v>263</v>
      </c>
      <c r="B22" s="31">
        <v>10118</v>
      </c>
      <c r="C22" s="32">
        <v>-410.02</v>
      </c>
      <c r="D22" s="32">
        <v>-494</v>
      </c>
      <c r="E22" s="32">
        <v>-12105.987549597574</v>
      </c>
      <c r="F22" s="32">
        <f t="shared" si="1"/>
        <v>-13010.007549597574</v>
      </c>
      <c r="G22" s="32">
        <v>1232739.2222881883</v>
      </c>
      <c r="H22" s="32"/>
      <c r="I22" s="32">
        <v>118893.82999999999</v>
      </c>
      <c r="J22" s="32">
        <f t="shared" si="2"/>
        <v>1351633.0522881884</v>
      </c>
      <c r="K22" s="32">
        <v>75540</v>
      </c>
      <c r="L22" s="32"/>
      <c r="M22" s="32">
        <v>36744</v>
      </c>
      <c r="N22" s="32">
        <f t="shared" si="3"/>
        <v>112284</v>
      </c>
      <c r="O22" s="32">
        <v>6835</v>
      </c>
      <c r="P22" s="32">
        <f t="shared" si="4"/>
        <v>1457742.0447385907</v>
      </c>
      <c r="Q22" s="31"/>
    </row>
    <row r="23" spans="1:17">
      <c r="A23" s="51" t="s">
        <v>515</v>
      </c>
      <c r="B23" s="51">
        <v>10049</v>
      </c>
      <c r="C23" s="52">
        <v>-484.16666666666669</v>
      </c>
      <c r="D23" s="52">
        <v>-583.33333333333337</v>
      </c>
      <c r="E23" s="52">
        <v>-14809.170169340368</v>
      </c>
      <c r="F23" s="52">
        <f t="shared" si="1"/>
        <v>-15876.670169340368</v>
      </c>
      <c r="G23" s="52">
        <v>1760263.9114589943</v>
      </c>
      <c r="H23" s="52"/>
      <c r="I23" s="52">
        <v>308734.40000000002</v>
      </c>
      <c r="J23" s="52">
        <f t="shared" si="2"/>
        <v>2068998.3114589942</v>
      </c>
      <c r="K23" s="52">
        <v>174240</v>
      </c>
      <c r="L23" s="52"/>
      <c r="M23" s="52">
        <v>72643</v>
      </c>
      <c r="N23" s="52">
        <f t="shared" si="3"/>
        <v>246883</v>
      </c>
      <c r="O23" s="52">
        <v>8232.25</v>
      </c>
      <c r="P23" s="52">
        <f t="shared" si="4"/>
        <v>2308236.8912896537</v>
      </c>
      <c r="Q23" s="51"/>
    </row>
    <row r="24" spans="1:17">
      <c r="A24" s="31" t="s">
        <v>371</v>
      </c>
      <c r="B24" s="31">
        <v>10050</v>
      </c>
      <c r="C24" s="32">
        <v>-348.59999999999997</v>
      </c>
      <c r="D24" s="32">
        <v>-420</v>
      </c>
      <c r="E24" s="32">
        <v>-10050.020285082959</v>
      </c>
      <c r="F24" s="32">
        <f t="shared" si="1"/>
        <v>-10818.62028508296</v>
      </c>
      <c r="G24" s="32">
        <v>989327.22021323023</v>
      </c>
      <c r="H24" s="32"/>
      <c r="I24" s="32">
        <v>60103.08</v>
      </c>
      <c r="J24" s="32">
        <f t="shared" si="2"/>
        <v>1049430.3002132303</v>
      </c>
      <c r="K24" s="32">
        <v>29680</v>
      </c>
      <c r="L24" s="32"/>
      <c r="M24" s="32">
        <v>51200</v>
      </c>
      <c r="N24" s="32">
        <f t="shared" si="3"/>
        <v>80880</v>
      </c>
      <c r="O24" s="32">
        <v>0</v>
      </c>
      <c r="P24" s="32">
        <f t="shared" si="4"/>
        <v>1119491.6799281472</v>
      </c>
      <c r="Q24" s="31"/>
    </row>
    <row r="25" spans="1:17">
      <c r="A25" s="31" t="s">
        <v>359</v>
      </c>
      <c r="B25" s="31">
        <v>10051</v>
      </c>
      <c r="C25" s="32">
        <v>-343.62</v>
      </c>
      <c r="D25" s="32">
        <v>-414</v>
      </c>
      <c r="E25" s="32">
        <v>-10030.674394764559</v>
      </c>
      <c r="F25" s="32">
        <f t="shared" si="1"/>
        <v>-10788.29439476456</v>
      </c>
      <c r="G25" s="32">
        <v>933786.68392325682</v>
      </c>
      <c r="H25" s="32"/>
      <c r="I25" s="32">
        <v>32662.93</v>
      </c>
      <c r="J25" s="32">
        <f t="shared" si="2"/>
        <v>966449.61392325687</v>
      </c>
      <c r="K25" s="32">
        <v>49480</v>
      </c>
      <c r="L25" s="32"/>
      <c r="M25" s="32">
        <v>52828</v>
      </c>
      <c r="N25" s="32">
        <f t="shared" si="3"/>
        <v>102308</v>
      </c>
      <c r="O25" s="32">
        <v>6610</v>
      </c>
      <c r="P25" s="32">
        <f t="shared" si="4"/>
        <v>1064579.3195284922</v>
      </c>
      <c r="Q25" s="31"/>
    </row>
    <row r="26" spans="1:17">
      <c r="A26" s="31" t="s">
        <v>49</v>
      </c>
      <c r="B26" s="31">
        <v>10054</v>
      </c>
      <c r="C26" s="32">
        <v>-1090.6199999999999</v>
      </c>
      <c r="D26" s="32">
        <v>-1314</v>
      </c>
      <c r="E26" s="32">
        <v>-33070.265143062214</v>
      </c>
      <c r="F26" s="32">
        <f t="shared" si="1"/>
        <v>-35474.885143062216</v>
      </c>
      <c r="G26" s="32">
        <v>3245001.2630763003</v>
      </c>
      <c r="H26" s="32"/>
      <c r="I26" s="32">
        <v>328871.13</v>
      </c>
      <c r="J26" s="32">
        <f t="shared" si="2"/>
        <v>3573872.3930763002</v>
      </c>
      <c r="K26" s="32">
        <v>303600</v>
      </c>
      <c r="L26" s="32"/>
      <c r="M26" s="32">
        <v>106772</v>
      </c>
      <c r="N26" s="32">
        <f t="shared" si="3"/>
        <v>410372</v>
      </c>
      <c r="O26" s="32">
        <v>11861.5</v>
      </c>
      <c r="P26" s="32">
        <f t="shared" si="4"/>
        <v>3960631.0079332381</v>
      </c>
      <c r="Q26" s="31"/>
    </row>
    <row r="27" spans="1:17">
      <c r="A27" s="31" t="s">
        <v>360</v>
      </c>
      <c r="B27" s="31">
        <v>10055</v>
      </c>
      <c r="C27" s="32">
        <v>-367.96666666666664</v>
      </c>
      <c r="D27" s="32">
        <v>-443.33333333333331</v>
      </c>
      <c r="E27" s="32">
        <v>-11219.73009847269</v>
      </c>
      <c r="F27" s="32">
        <f t="shared" si="1"/>
        <v>-12031.030098472689</v>
      </c>
      <c r="G27" s="32">
        <v>1444077.2406442142</v>
      </c>
      <c r="H27" s="32"/>
      <c r="I27" s="32">
        <v>127641.71</v>
      </c>
      <c r="J27" s="32">
        <f t="shared" si="2"/>
        <v>1571718.9506442142</v>
      </c>
      <c r="K27" s="32">
        <v>112200</v>
      </c>
      <c r="L27" s="32"/>
      <c r="M27" s="32">
        <v>45755</v>
      </c>
      <c r="N27" s="32">
        <f t="shared" si="3"/>
        <v>157955</v>
      </c>
      <c r="O27" s="32">
        <v>6985.75</v>
      </c>
      <c r="P27" s="32">
        <f t="shared" si="4"/>
        <v>1724628.6705457415</v>
      </c>
      <c r="Q27" s="31"/>
    </row>
    <row r="28" spans="1:17">
      <c r="A28" s="31" t="s">
        <v>52</v>
      </c>
      <c r="B28" s="31">
        <v>10056</v>
      </c>
      <c r="C28" s="32">
        <v>-346.94</v>
      </c>
      <c r="D28" s="32">
        <v>-418</v>
      </c>
      <c r="E28" s="32">
        <v>-10056.928448473784</v>
      </c>
      <c r="F28" s="32">
        <f t="shared" si="1"/>
        <v>-10821.868448473784</v>
      </c>
      <c r="G28" s="32">
        <v>952588.0426678831</v>
      </c>
      <c r="H28" s="32"/>
      <c r="I28" s="32">
        <v>49999.840000000004</v>
      </c>
      <c r="J28" s="32">
        <f t="shared" si="2"/>
        <v>1002587.8826678831</v>
      </c>
      <c r="K28" s="32">
        <v>30020</v>
      </c>
      <c r="L28" s="32"/>
      <c r="M28" s="32">
        <v>58768</v>
      </c>
      <c r="N28" s="32">
        <f t="shared" si="3"/>
        <v>88788</v>
      </c>
      <c r="O28" s="32">
        <v>2373.75</v>
      </c>
      <c r="P28" s="32">
        <f t="shared" si="4"/>
        <v>1082927.7642194093</v>
      </c>
      <c r="Q28" s="31"/>
    </row>
    <row r="29" spans="1:17">
      <c r="A29" s="31" t="s">
        <v>268</v>
      </c>
      <c r="B29" s="31">
        <v>10057</v>
      </c>
      <c r="C29" s="32">
        <v>-687.24</v>
      </c>
      <c r="D29" s="32">
        <v>-828</v>
      </c>
      <c r="E29" s="32">
        <v>-20472.357156669073</v>
      </c>
      <c r="F29" s="32">
        <f t="shared" si="1"/>
        <v>-21987.597156669075</v>
      </c>
      <c r="G29" s="32">
        <v>1812801.9346155177</v>
      </c>
      <c r="H29" s="32"/>
      <c r="I29" s="32">
        <v>28550.66</v>
      </c>
      <c r="J29" s="32">
        <f t="shared" si="2"/>
        <v>1841352.5946155176</v>
      </c>
      <c r="K29" s="32">
        <v>146520</v>
      </c>
      <c r="L29" s="32"/>
      <c r="M29" s="32">
        <v>79946</v>
      </c>
      <c r="N29" s="32">
        <f t="shared" si="3"/>
        <v>226466</v>
      </c>
      <c r="O29" s="32">
        <v>8590</v>
      </c>
      <c r="P29" s="32">
        <f t="shared" si="4"/>
        <v>2054420.9974588486</v>
      </c>
      <c r="Q29" s="31"/>
    </row>
    <row r="30" spans="1:17">
      <c r="A30" s="31" t="s">
        <v>369</v>
      </c>
      <c r="B30" s="31">
        <v>10083</v>
      </c>
      <c r="C30" s="32">
        <v>-1040.82</v>
      </c>
      <c r="D30" s="32">
        <v>-1254</v>
      </c>
      <c r="E30" s="32">
        <v>-30919.070731982571</v>
      </c>
      <c r="F30" s="32">
        <f t="shared" si="1"/>
        <v>-33213.890731982567</v>
      </c>
      <c r="G30" s="32">
        <v>2686549.1211431464</v>
      </c>
      <c r="H30" s="32"/>
      <c r="I30" s="32">
        <v>239446.48000000004</v>
      </c>
      <c r="J30" s="32">
        <f t="shared" si="2"/>
        <v>2925995.6011431464</v>
      </c>
      <c r="K30" s="32">
        <v>232960</v>
      </c>
      <c r="L30" s="32"/>
      <c r="M30" s="32">
        <v>105914</v>
      </c>
      <c r="N30" s="32">
        <f t="shared" si="3"/>
        <v>338874</v>
      </c>
      <c r="O30" s="32">
        <v>11335</v>
      </c>
      <c r="P30" s="32">
        <f t="shared" si="4"/>
        <v>3242990.710411164</v>
      </c>
      <c r="Q30" s="31"/>
    </row>
    <row r="31" spans="1:17">
      <c r="A31" s="31" t="s">
        <v>55</v>
      </c>
      <c r="B31" s="31">
        <v>10059</v>
      </c>
      <c r="C31" s="32">
        <v>-419.97999999999996</v>
      </c>
      <c r="D31" s="32">
        <v>-506</v>
      </c>
      <c r="E31" s="32">
        <v>-12385.463622007941</v>
      </c>
      <c r="F31" s="32">
        <f t="shared" si="1"/>
        <v>-13311.443622007941</v>
      </c>
      <c r="G31" s="32">
        <v>1444698.3723804499</v>
      </c>
      <c r="H31" s="32"/>
      <c r="I31" s="32">
        <v>34829.21</v>
      </c>
      <c r="J31" s="32">
        <f t="shared" si="2"/>
        <v>1479527.5823804499</v>
      </c>
      <c r="K31" s="32">
        <v>62040</v>
      </c>
      <c r="L31" s="32"/>
      <c r="M31" s="32">
        <v>105796</v>
      </c>
      <c r="N31" s="32">
        <f t="shared" si="3"/>
        <v>167836</v>
      </c>
      <c r="O31" s="32">
        <v>7440.25</v>
      </c>
      <c r="P31" s="32">
        <f t="shared" si="4"/>
        <v>1641492.3887584419</v>
      </c>
      <c r="Q31" s="31"/>
    </row>
    <row r="32" spans="1:17">
      <c r="A32" s="31" t="s">
        <v>474</v>
      </c>
      <c r="B32" s="31">
        <v>10061</v>
      </c>
      <c r="C32" s="32">
        <v>-888.09999999999991</v>
      </c>
      <c r="D32" s="32">
        <v>-1070</v>
      </c>
      <c r="E32" s="32">
        <v>-26993.025825224155</v>
      </c>
      <c r="F32" s="32">
        <f t="shared" si="1"/>
        <v>-28951.125825224153</v>
      </c>
      <c r="G32" s="32">
        <v>2990096.357987592</v>
      </c>
      <c r="H32" s="32"/>
      <c r="I32" s="32">
        <v>131688.33000000002</v>
      </c>
      <c r="J32" s="32">
        <f t="shared" si="2"/>
        <v>3121784.6879875921</v>
      </c>
      <c r="K32" s="32">
        <v>228360</v>
      </c>
      <c r="L32" s="32"/>
      <c r="M32" s="32">
        <v>79616</v>
      </c>
      <c r="N32" s="32">
        <f t="shared" si="3"/>
        <v>307976</v>
      </c>
      <c r="O32" s="32">
        <v>14617.25</v>
      </c>
      <c r="P32" s="32">
        <f t="shared" si="4"/>
        <v>3415426.8121623681</v>
      </c>
      <c r="Q32" s="31"/>
    </row>
    <row r="33" spans="1:17">
      <c r="A33" s="31" t="s">
        <v>412</v>
      </c>
      <c r="B33" s="31">
        <v>10063</v>
      </c>
      <c r="C33" s="32">
        <v>-962.8</v>
      </c>
      <c r="D33" s="32">
        <v>-1160</v>
      </c>
      <c r="E33" s="32">
        <v>-29011.011208296084</v>
      </c>
      <c r="F33" s="32">
        <f t="shared" si="1"/>
        <v>-31133.811208296083</v>
      </c>
      <c r="G33" s="32">
        <v>2849942.5934529109</v>
      </c>
      <c r="H33" s="32"/>
      <c r="I33" s="32">
        <v>105427.70999999999</v>
      </c>
      <c r="J33" s="32">
        <f t="shared" si="2"/>
        <v>2955370.3034529109</v>
      </c>
      <c r="K33" s="32">
        <v>247820</v>
      </c>
      <c r="L33" s="32"/>
      <c r="M33" s="32">
        <v>79730</v>
      </c>
      <c r="N33" s="32">
        <f t="shared" si="3"/>
        <v>327550</v>
      </c>
      <c r="O33" s="32">
        <v>11006.5</v>
      </c>
      <c r="P33" s="32">
        <f t="shared" si="4"/>
        <v>3262792.9922446148</v>
      </c>
      <c r="Q33" s="31"/>
    </row>
    <row r="34" spans="1:17">
      <c r="A34" s="31" t="s">
        <v>362</v>
      </c>
      <c r="B34" s="31">
        <v>10064</v>
      </c>
      <c r="C34" s="32">
        <v>-364.23166666666663</v>
      </c>
      <c r="D34" s="32">
        <v>-438.83333333333331</v>
      </c>
      <c r="E34" s="32">
        <v>-11022.788220642789</v>
      </c>
      <c r="F34" s="32">
        <f t="shared" si="1"/>
        <v>-11825.85322064279</v>
      </c>
      <c r="G34" s="32">
        <v>1393270.9629876069</v>
      </c>
      <c r="H34" s="32"/>
      <c r="I34" s="32">
        <v>89238.51999999999</v>
      </c>
      <c r="J34" s="32">
        <f t="shared" si="2"/>
        <v>1482509.4829876069</v>
      </c>
      <c r="K34" s="32">
        <v>107560</v>
      </c>
      <c r="L34" s="32"/>
      <c r="M34" s="32">
        <v>45162</v>
      </c>
      <c r="N34" s="32">
        <f t="shared" si="3"/>
        <v>152722</v>
      </c>
      <c r="O34" s="32">
        <v>7400.2</v>
      </c>
      <c r="P34" s="32">
        <f t="shared" si="4"/>
        <v>1630805.8297669641</v>
      </c>
      <c r="Q34" s="31"/>
    </row>
    <row r="35" spans="1:17">
      <c r="A35" s="31" t="s">
        <v>363</v>
      </c>
      <c r="B35" s="31">
        <v>10065</v>
      </c>
      <c r="C35" s="32">
        <v>-524.55999999999995</v>
      </c>
      <c r="D35" s="32">
        <v>-632</v>
      </c>
      <c r="E35" s="32">
        <v>-14938.924509182476</v>
      </c>
      <c r="F35" s="32">
        <f t="shared" si="1"/>
        <v>-16095.484509182475</v>
      </c>
      <c r="G35" s="32">
        <v>1293074.4485638095</v>
      </c>
      <c r="H35" s="32"/>
      <c r="I35" s="32">
        <v>56996.67</v>
      </c>
      <c r="J35" s="32">
        <f t="shared" si="2"/>
        <v>1350071.1185638094</v>
      </c>
      <c r="K35" s="32">
        <v>30280</v>
      </c>
      <c r="L35" s="32"/>
      <c r="M35" s="32">
        <v>80242</v>
      </c>
      <c r="N35" s="32">
        <f t="shared" si="3"/>
        <v>110522</v>
      </c>
      <c r="O35" s="32">
        <v>7555</v>
      </c>
      <c r="P35" s="32">
        <f t="shared" si="4"/>
        <v>1452052.634054627</v>
      </c>
      <c r="Q35" s="31"/>
    </row>
    <row r="36" spans="1:17">
      <c r="A36" s="31" t="s">
        <v>63</v>
      </c>
      <c r="B36" s="31">
        <v>10066</v>
      </c>
      <c r="C36" s="32">
        <v>-927.93999999999994</v>
      </c>
      <c r="D36" s="32">
        <v>-1118</v>
      </c>
      <c r="E36" s="32">
        <v>-27185.401351626078</v>
      </c>
      <c r="F36" s="32">
        <f t="shared" si="1"/>
        <v>-29231.341351626077</v>
      </c>
      <c r="G36" s="32">
        <v>2543089.2637032494</v>
      </c>
      <c r="H36" s="32"/>
      <c r="I36" s="32">
        <v>56482.25</v>
      </c>
      <c r="J36" s="32">
        <f t="shared" si="2"/>
        <v>2599571.5137032494</v>
      </c>
      <c r="K36" s="32">
        <v>118800</v>
      </c>
      <c r="L36" s="32"/>
      <c r="M36" s="32">
        <v>86201</v>
      </c>
      <c r="N36" s="32">
        <f t="shared" si="3"/>
        <v>205001</v>
      </c>
      <c r="O36" s="32">
        <v>10828.75</v>
      </c>
      <c r="P36" s="32">
        <f t="shared" si="4"/>
        <v>2786169.9223516234</v>
      </c>
      <c r="Q36" s="31"/>
    </row>
    <row r="37" spans="1:17">
      <c r="A37" s="31" t="s">
        <v>64</v>
      </c>
      <c r="B37" s="31">
        <v>10068</v>
      </c>
      <c r="C37" s="32">
        <v>-423.29999999999995</v>
      </c>
      <c r="D37" s="32">
        <v>-510</v>
      </c>
      <c r="E37" s="32">
        <v>-12224.20395519472</v>
      </c>
      <c r="F37" s="32">
        <f t="shared" si="1"/>
        <v>-13157.503955194719</v>
      </c>
      <c r="G37" s="32">
        <v>1142654.6654016855</v>
      </c>
      <c r="H37" s="32"/>
      <c r="I37" s="32">
        <v>38492.1</v>
      </c>
      <c r="J37" s="32">
        <f t="shared" si="2"/>
        <v>1181146.7654016856</v>
      </c>
      <c r="K37" s="32">
        <v>53440</v>
      </c>
      <c r="L37" s="32"/>
      <c r="M37" s="32">
        <v>101706</v>
      </c>
      <c r="N37" s="32">
        <f t="shared" si="3"/>
        <v>155146</v>
      </c>
      <c r="O37" s="32">
        <v>7003.75</v>
      </c>
      <c r="P37" s="32">
        <f t="shared" si="4"/>
        <v>1330139.0114464909</v>
      </c>
      <c r="Q37" s="31"/>
    </row>
    <row r="38" spans="1:17">
      <c r="A38" s="31" t="s">
        <v>364</v>
      </c>
      <c r="B38" s="31">
        <v>10067</v>
      </c>
      <c r="C38" s="32">
        <v>-589.29999999999995</v>
      </c>
      <c r="D38" s="32">
        <v>-710</v>
      </c>
      <c r="E38" s="32">
        <v>-17397.679441825701</v>
      </c>
      <c r="F38" s="32">
        <f t="shared" si="1"/>
        <v>-18696.979441825701</v>
      </c>
      <c r="G38" s="32">
        <v>1530739.1256548294</v>
      </c>
      <c r="H38" s="32"/>
      <c r="I38" s="32">
        <v>41707.33</v>
      </c>
      <c r="J38" s="32">
        <f t="shared" si="2"/>
        <v>1572446.4556548295</v>
      </c>
      <c r="K38" s="32">
        <v>97980</v>
      </c>
      <c r="L38" s="32"/>
      <c r="M38" s="32">
        <v>23500</v>
      </c>
      <c r="N38" s="32">
        <f t="shared" si="3"/>
        <v>121480</v>
      </c>
      <c r="O38" s="32">
        <v>7937.5</v>
      </c>
      <c r="P38" s="32">
        <f t="shared" si="4"/>
        <v>1683166.9762130037</v>
      </c>
      <c r="Q38" s="31"/>
    </row>
    <row r="39" spans="1:17">
      <c r="A39" s="31" t="s">
        <v>271</v>
      </c>
      <c r="B39" s="31">
        <v>10069</v>
      </c>
      <c r="C39" s="32">
        <v>-703.83999999999992</v>
      </c>
      <c r="D39" s="32">
        <v>-848</v>
      </c>
      <c r="E39" s="32">
        <v>-21746.58794902965</v>
      </c>
      <c r="F39" s="32">
        <f t="shared" si="1"/>
        <v>-23298.42794902965</v>
      </c>
      <c r="G39" s="32">
        <v>2358422.3724696212</v>
      </c>
      <c r="H39" s="32"/>
      <c r="I39" s="32">
        <v>118706.63999999998</v>
      </c>
      <c r="J39" s="32">
        <f t="shared" si="2"/>
        <v>2477129.0124696214</v>
      </c>
      <c r="K39" s="32">
        <v>249440</v>
      </c>
      <c r="L39" s="32"/>
      <c r="M39" s="32">
        <v>72302</v>
      </c>
      <c r="N39" s="32">
        <f t="shared" si="3"/>
        <v>321742</v>
      </c>
      <c r="O39" s="32">
        <v>9181.75</v>
      </c>
      <c r="P39" s="32">
        <f t="shared" si="4"/>
        <v>2784754.3345205919</v>
      </c>
      <c r="Q39" s="31"/>
    </row>
    <row r="40" spans="1:17">
      <c r="A40" s="31" t="s">
        <v>68</v>
      </c>
      <c r="B40" s="31">
        <v>10121</v>
      </c>
      <c r="C40" s="32">
        <v>-348.59999999999997</v>
      </c>
      <c r="D40" s="32">
        <v>-420</v>
      </c>
      <c r="E40" s="32">
        <v>-10001.265021925063</v>
      </c>
      <c r="F40" s="32">
        <f t="shared" si="1"/>
        <v>-10769.865021925063</v>
      </c>
      <c r="G40" s="32">
        <v>1027248.9521608928</v>
      </c>
      <c r="H40" s="32"/>
      <c r="I40" s="32">
        <v>44524.160000000003</v>
      </c>
      <c r="J40" s="32">
        <f t="shared" si="2"/>
        <v>1071773.1121608927</v>
      </c>
      <c r="K40" s="32">
        <v>23760</v>
      </c>
      <c r="L40" s="32"/>
      <c r="M40" s="32">
        <v>48981</v>
      </c>
      <c r="N40" s="32">
        <f t="shared" si="3"/>
        <v>72741</v>
      </c>
      <c r="O40" s="32">
        <v>0</v>
      </c>
      <c r="P40" s="32">
        <f t="shared" si="4"/>
        <v>1133744.2471389677</v>
      </c>
      <c r="Q40" s="31"/>
    </row>
    <row r="41" spans="1:17">
      <c r="A41" s="31" t="s">
        <v>366</v>
      </c>
      <c r="B41" s="31">
        <v>10071</v>
      </c>
      <c r="C41" s="32">
        <v>-298.8</v>
      </c>
      <c r="D41" s="32">
        <v>-360</v>
      </c>
      <c r="E41" s="32">
        <v>-9243.3557330786261</v>
      </c>
      <c r="F41" s="32">
        <f t="shared" ref="F41:F72" si="5">SUM(C41:E41)</f>
        <v>-9902.1557330786254</v>
      </c>
      <c r="G41" s="32">
        <v>1104843.4331800244</v>
      </c>
      <c r="H41" s="32"/>
      <c r="I41" s="32">
        <v>51333.31</v>
      </c>
      <c r="J41" s="32">
        <f t="shared" ref="J41:J72" si="6">SUM(G41:I41)</f>
        <v>1156176.7431800244</v>
      </c>
      <c r="K41" s="32">
        <v>92400</v>
      </c>
      <c r="L41" s="32"/>
      <c r="M41" s="32">
        <v>38448</v>
      </c>
      <c r="N41" s="32">
        <f t="shared" ref="N41:N72" si="7">SUM(K41:M41)</f>
        <v>130848</v>
      </c>
      <c r="O41" s="32">
        <v>6374.2</v>
      </c>
      <c r="P41" s="32">
        <f t="shared" ref="P41:P72" si="8">F41+J41+N41+O41</f>
        <v>1283496.7874469457</v>
      </c>
      <c r="Q41" s="31"/>
    </row>
    <row r="42" spans="1:17">
      <c r="A42" s="31" t="s">
        <v>70</v>
      </c>
      <c r="B42" s="31">
        <v>10072</v>
      </c>
      <c r="C42" s="32">
        <v>-764.43</v>
      </c>
      <c r="D42" s="32">
        <v>-921</v>
      </c>
      <c r="E42" s="32">
        <v>-22540.247742020663</v>
      </c>
      <c r="F42" s="32">
        <f t="shared" si="5"/>
        <v>-24225.677742020664</v>
      </c>
      <c r="G42" s="32">
        <v>2253225.8237128952</v>
      </c>
      <c r="H42" s="32"/>
      <c r="I42" s="32">
        <v>95149.09</v>
      </c>
      <c r="J42" s="32">
        <f t="shared" si="6"/>
        <v>2348374.913712895</v>
      </c>
      <c r="K42" s="32">
        <v>139240</v>
      </c>
      <c r="L42" s="32"/>
      <c r="M42" s="32">
        <v>86594</v>
      </c>
      <c r="N42" s="32">
        <f t="shared" si="7"/>
        <v>225834</v>
      </c>
      <c r="O42" s="32">
        <v>9987.25</v>
      </c>
      <c r="P42" s="32">
        <f t="shared" si="8"/>
        <v>2559970.4859708743</v>
      </c>
      <c r="Q42" s="31"/>
    </row>
    <row r="43" spans="1:17">
      <c r="A43" s="31" t="s">
        <v>372</v>
      </c>
      <c r="B43" s="31">
        <v>10073</v>
      </c>
      <c r="C43" s="32">
        <v>-393.41999999999996</v>
      </c>
      <c r="D43" s="32">
        <v>-474</v>
      </c>
      <c r="E43" s="32">
        <v>-11729.951360610261</v>
      </c>
      <c r="F43" s="32">
        <f t="shared" si="5"/>
        <v>-12597.371360610261</v>
      </c>
      <c r="G43" s="32">
        <v>1230313.2642770291</v>
      </c>
      <c r="H43" s="32"/>
      <c r="I43" s="32">
        <v>51568.375</v>
      </c>
      <c r="J43" s="32">
        <f t="shared" si="6"/>
        <v>1281881.6392770291</v>
      </c>
      <c r="K43" s="32">
        <v>88740</v>
      </c>
      <c r="L43" s="32"/>
      <c r="M43" s="32">
        <v>51805</v>
      </c>
      <c r="N43" s="32">
        <f t="shared" si="7"/>
        <v>140545</v>
      </c>
      <c r="O43" s="32">
        <v>0</v>
      </c>
      <c r="P43" s="32">
        <f t="shared" si="8"/>
        <v>1409829.2679164188</v>
      </c>
      <c r="Q43" s="31"/>
    </row>
    <row r="44" spans="1:17">
      <c r="A44" s="31" t="s">
        <v>72</v>
      </c>
      <c r="B44" s="31">
        <v>10074</v>
      </c>
      <c r="C44" s="32">
        <v>-436.58</v>
      </c>
      <c r="D44" s="32">
        <v>-526</v>
      </c>
      <c r="E44" s="32">
        <v>-13499.116075516869</v>
      </c>
      <c r="F44" s="32">
        <f t="shared" si="5"/>
        <v>-14461.696075516869</v>
      </c>
      <c r="G44" s="32">
        <v>1796775.8236428271</v>
      </c>
      <c r="H44" s="32"/>
      <c r="I44" s="32">
        <v>290310.77999999997</v>
      </c>
      <c r="J44" s="32">
        <f t="shared" si="6"/>
        <v>2087086.6036428271</v>
      </c>
      <c r="K44" s="32">
        <v>167640</v>
      </c>
      <c r="L44" s="32"/>
      <c r="M44" s="32">
        <v>50856</v>
      </c>
      <c r="N44" s="32">
        <f t="shared" si="7"/>
        <v>218496</v>
      </c>
      <c r="O44" s="32">
        <v>7291.75</v>
      </c>
      <c r="P44" s="32">
        <f t="shared" si="8"/>
        <v>2298412.6575673101</v>
      </c>
      <c r="Q44" s="31"/>
    </row>
    <row r="45" spans="1:17">
      <c r="A45" s="31" t="s">
        <v>275</v>
      </c>
      <c r="B45" s="31">
        <v>10075</v>
      </c>
      <c r="C45" s="32">
        <v>-439.9</v>
      </c>
      <c r="D45" s="32">
        <v>-530</v>
      </c>
      <c r="E45" s="32">
        <v>-12891.350899351586</v>
      </c>
      <c r="F45" s="32">
        <f t="shared" si="5"/>
        <v>-13861.250899351586</v>
      </c>
      <c r="G45" s="32">
        <v>1358946.5718146369</v>
      </c>
      <c r="H45" s="32"/>
      <c r="I45" s="32">
        <v>80673.88</v>
      </c>
      <c r="J45" s="32">
        <f t="shared" si="6"/>
        <v>1439620.4518146371</v>
      </c>
      <c r="K45" s="32">
        <v>43560</v>
      </c>
      <c r="L45" s="32"/>
      <c r="M45" s="32">
        <v>45450</v>
      </c>
      <c r="N45" s="32">
        <f t="shared" si="7"/>
        <v>89010</v>
      </c>
      <c r="O45" s="32">
        <v>7642.75</v>
      </c>
      <c r="P45" s="32">
        <f t="shared" si="8"/>
        <v>1522411.9509152854</v>
      </c>
      <c r="Q45" s="31"/>
    </row>
    <row r="46" spans="1:17">
      <c r="A46" s="31" t="s">
        <v>276</v>
      </c>
      <c r="B46" s="31">
        <v>11093</v>
      </c>
      <c r="C46" s="32">
        <v>-1035.8399999999999</v>
      </c>
      <c r="D46" s="32">
        <v>-1248</v>
      </c>
      <c r="E46" s="32">
        <v>-30389.334328005905</v>
      </c>
      <c r="F46" s="32">
        <f t="shared" si="5"/>
        <v>-32673.174328005905</v>
      </c>
      <c r="G46" s="32">
        <v>3049168.4653851637</v>
      </c>
      <c r="H46" s="32"/>
      <c r="I46" s="32">
        <v>96907.329999999987</v>
      </c>
      <c r="J46" s="32">
        <f t="shared" si="6"/>
        <v>3146075.7953851637</v>
      </c>
      <c r="K46" s="32">
        <v>160020</v>
      </c>
      <c r="L46" s="32"/>
      <c r="M46" s="32">
        <v>138955</v>
      </c>
      <c r="N46" s="32">
        <f t="shared" si="7"/>
        <v>298975</v>
      </c>
      <c r="O46" s="32">
        <v>11629.75</v>
      </c>
      <c r="P46" s="32">
        <f t="shared" si="8"/>
        <v>3424007.3710571579</v>
      </c>
      <c r="Q46" s="31"/>
    </row>
    <row r="47" spans="1:17">
      <c r="A47" s="31" t="s">
        <v>403</v>
      </c>
      <c r="B47" s="31">
        <v>10125</v>
      </c>
      <c r="C47" s="32">
        <v>-338.64</v>
      </c>
      <c r="D47" s="32">
        <v>-408</v>
      </c>
      <c r="E47" s="32">
        <v>-9663.8932631656753</v>
      </c>
      <c r="F47" s="32">
        <f t="shared" si="5"/>
        <v>-10410.533263165675</v>
      </c>
      <c r="G47" s="32">
        <v>966580.92354524264</v>
      </c>
      <c r="H47" s="32"/>
      <c r="I47" s="32">
        <v>36897.839999999997</v>
      </c>
      <c r="J47" s="32">
        <f t="shared" si="6"/>
        <v>1003478.7635452426</v>
      </c>
      <c r="K47" s="32">
        <v>14180</v>
      </c>
      <c r="L47" s="32"/>
      <c r="M47" s="32">
        <v>52031</v>
      </c>
      <c r="N47" s="32">
        <f t="shared" si="7"/>
        <v>66211</v>
      </c>
      <c r="O47" s="32">
        <v>0</v>
      </c>
      <c r="P47" s="32">
        <f t="shared" si="8"/>
        <v>1059279.2302820771</v>
      </c>
      <c r="Q47" s="31"/>
    </row>
    <row r="48" spans="1:17">
      <c r="A48" s="31" t="s">
        <v>76</v>
      </c>
      <c r="B48" s="31">
        <v>10126</v>
      </c>
      <c r="C48" s="32">
        <v>-619.17999999999995</v>
      </c>
      <c r="D48" s="32">
        <v>-746</v>
      </c>
      <c r="E48" s="32">
        <v>-17677.038570420085</v>
      </c>
      <c r="F48" s="32">
        <f t="shared" si="5"/>
        <v>-19042.218570420086</v>
      </c>
      <c r="G48" s="32">
        <v>1767522.7895436054</v>
      </c>
      <c r="H48" s="32"/>
      <c r="I48" s="32">
        <v>55851.25</v>
      </c>
      <c r="J48" s="32">
        <f t="shared" si="6"/>
        <v>1823374.0395436054</v>
      </c>
      <c r="K48" s="32">
        <v>23760</v>
      </c>
      <c r="L48" s="32"/>
      <c r="M48" s="32">
        <v>90742</v>
      </c>
      <c r="N48" s="32">
        <f t="shared" si="7"/>
        <v>114502</v>
      </c>
      <c r="O48" s="32">
        <v>0</v>
      </c>
      <c r="P48" s="32">
        <f t="shared" si="8"/>
        <v>1918833.8209731854</v>
      </c>
      <c r="Q48" s="31"/>
    </row>
    <row r="49" spans="1:17">
      <c r="A49" s="31" t="s">
        <v>77</v>
      </c>
      <c r="B49" s="31">
        <v>10114</v>
      </c>
      <c r="C49" s="32">
        <v>-647.4</v>
      </c>
      <c r="D49" s="32">
        <v>-780</v>
      </c>
      <c r="E49" s="32">
        <v>-18512.871530197488</v>
      </c>
      <c r="F49" s="32">
        <f t="shared" si="5"/>
        <v>-19940.271530197489</v>
      </c>
      <c r="G49" s="32">
        <v>1687788.083055286</v>
      </c>
      <c r="H49" s="32"/>
      <c r="I49" s="32">
        <v>97234.539999999979</v>
      </c>
      <c r="J49" s="32">
        <f t="shared" si="6"/>
        <v>1785022.623055286</v>
      </c>
      <c r="K49" s="32">
        <v>29040</v>
      </c>
      <c r="L49" s="32"/>
      <c r="M49" s="32">
        <v>80156</v>
      </c>
      <c r="N49" s="32">
        <f t="shared" si="7"/>
        <v>109196</v>
      </c>
      <c r="O49" s="32">
        <v>0</v>
      </c>
      <c r="P49" s="32">
        <f t="shared" si="8"/>
        <v>1874278.3515250885</v>
      </c>
      <c r="Q49" s="31"/>
    </row>
    <row r="50" spans="1:17">
      <c r="A50" s="31" t="s">
        <v>373</v>
      </c>
      <c r="B50" s="31">
        <v>10078</v>
      </c>
      <c r="C50" s="32">
        <v>-234.06</v>
      </c>
      <c r="D50" s="32">
        <v>-282</v>
      </c>
      <c r="E50" s="32">
        <v>-6700.9561223669889</v>
      </c>
      <c r="F50" s="32">
        <f t="shared" si="5"/>
        <v>-7217.0161223669893</v>
      </c>
      <c r="G50" s="32">
        <v>624831.20940709941</v>
      </c>
      <c r="H50" s="32"/>
      <c r="I50" s="32">
        <v>13737.5</v>
      </c>
      <c r="J50" s="32">
        <f t="shared" si="6"/>
        <v>638568.70940709941</v>
      </c>
      <c r="K50" s="32">
        <v>14180</v>
      </c>
      <c r="L50" s="32"/>
      <c r="M50" s="32">
        <v>45075</v>
      </c>
      <c r="N50" s="32">
        <f t="shared" si="7"/>
        <v>59255</v>
      </c>
      <c r="O50" s="32">
        <v>0</v>
      </c>
      <c r="P50" s="32">
        <f t="shared" si="8"/>
        <v>690606.69328473241</v>
      </c>
      <c r="Q50" s="31"/>
    </row>
    <row r="51" spans="1:17">
      <c r="A51" s="31" t="s">
        <v>79</v>
      </c>
      <c r="B51" s="31">
        <v>10079</v>
      </c>
      <c r="C51" s="32">
        <v>-599.26</v>
      </c>
      <c r="D51" s="32">
        <v>-722</v>
      </c>
      <c r="E51" s="32">
        <v>-17357.726325887717</v>
      </c>
      <c r="F51" s="32">
        <f t="shared" si="5"/>
        <v>-18678.986325887716</v>
      </c>
      <c r="G51" s="32">
        <v>1559733.989355488</v>
      </c>
      <c r="H51" s="32"/>
      <c r="I51" s="32">
        <v>105418.25</v>
      </c>
      <c r="J51" s="32">
        <f t="shared" si="6"/>
        <v>1665152.239355488</v>
      </c>
      <c r="K51" s="32">
        <v>60040</v>
      </c>
      <c r="L51" s="32"/>
      <c r="M51" s="32">
        <v>88757</v>
      </c>
      <c r="N51" s="32">
        <f t="shared" si="7"/>
        <v>148797</v>
      </c>
      <c r="O51" s="32">
        <v>7667.5</v>
      </c>
      <c r="P51" s="32">
        <f t="shared" si="8"/>
        <v>1802937.7530296003</v>
      </c>
      <c r="Q51" s="31"/>
    </row>
    <row r="52" spans="1:17">
      <c r="A52" s="31" t="s">
        <v>80</v>
      </c>
      <c r="B52" s="31">
        <v>10081</v>
      </c>
      <c r="C52" s="32">
        <v>-592.62</v>
      </c>
      <c r="D52" s="32">
        <v>-714</v>
      </c>
      <c r="E52" s="32">
        <v>-17217.33307964549</v>
      </c>
      <c r="F52" s="32">
        <f t="shared" si="5"/>
        <v>-18523.953079645489</v>
      </c>
      <c r="G52" s="32">
        <v>1591911.0658093484</v>
      </c>
      <c r="H52" s="32"/>
      <c r="I52" s="32">
        <v>44770.43</v>
      </c>
      <c r="J52" s="32">
        <f t="shared" si="6"/>
        <v>1636681.4958093483</v>
      </c>
      <c r="K52" s="32">
        <v>65960</v>
      </c>
      <c r="L52" s="32"/>
      <c r="M52" s="32">
        <v>155752</v>
      </c>
      <c r="N52" s="32">
        <f t="shared" si="7"/>
        <v>221712</v>
      </c>
      <c r="O52" s="32">
        <v>7982.5</v>
      </c>
      <c r="P52" s="32">
        <f t="shared" si="8"/>
        <v>1847852.0427297028</v>
      </c>
      <c r="Q52" s="31"/>
    </row>
    <row r="53" spans="1:17">
      <c r="A53" s="31" t="s">
        <v>81</v>
      </c>
      <c r="B53" s="31">
        <v>10080</v>
      </c>
      <c r="C53" s="32">
        <v>-778.54</v>
      </c>
      <c r="D53" s="32">
        <v>-938</v>
      </c>
      <c r="E53" s="32">
        <v>-23025.068530154836</v>
      </c>
      <c r="F53" s="32">
        <f t="shared" si="5"/>
        <v>-24741.608530154837</v>
      </c>
      <c r="G53" s="32">
        <v>1930225.2188095239</v>
      </c>
      <c r="H53" s="32"/>
      <c r="I53" s="32">
        <v>167486.25999999998</v>
      </c>
      <c r="J53" s="32">
        <f t="shared" si="6"/>
        <v>2097711.4788095239</v>
      </c>
      <c r="K53" s="32">
        <v>145500</v>
      </c>
      <c r="L53" s="32"/>
      <c r="M53" s="32">
        <v>22060</v>
      </c>
      <c r="N53" s="32">
        <f t="shared" si="7"/>
        <v>167560</v>
      </c>
      <c r="O53" s="32">
        <v>8983.75</v>
      </c>
      <c r="P53" s="32">
        <f t="shared" si="8"/>
        <v>2249513.6202793689</v>
      </c>
      <c r="Q53" s="31"/>
    </row>
    <row r="54" spans="1:17">
      <c r="A54" s="31" t="s">
        <v>443</v>
      </c>
      <c r="B54" s="31">
        <v>10113</v>
      </c>
      <c r="C54" s="32">
        <v>-249</v>
      </c>
      <c r="D54" s="32">
        <v>-300</v>
      </c>
      <c r="E54" s="32">
        <v>-7056.4464442321878</v>
      </c>
      <c r="F54" s="32">
        <f t="shared" si="5"/>
        <v>-7605.4464442321878</v>
      </c>
      <c r="G54" s="32">
        <v>745151.52212826104</v>
      </c>
      <c r="H54" s="32"/>
      <c r="I54" s="32">
        <v>13869.74</v>
      </c>
      <c r="J54" s="32">
        <f t="shared" si="6"/>
        <v>759021.26212826103</v>
      </c>
      <c r="K54" s="32"/>
      <c r="L54" s="32"/>
      <c r="M54" s="32">
        <v>46747</v>
      </c>
      <c r="N54" s="32">
        <f t="shared" si="7"/>
        <v>46747</v>
      </c>
      <c r="O54" s="32"/>
      <c r="P54" s="32">
        <f t="shared" si="8"/>
        <v>798162.8156840289</v>
      </c>
      <c r="Q54" s="31"/>
    </row>
    <row r="55" spans="1:17">
      <c r="A55" s="31" t="s">
        <v>82</v>
      </c>
      <c r="B55" s="31">
        <v>10082</v>
      </c>
      <c r="C55" s="32">
        <v>-395.08</v>
      </c>
      <c r="D55" s="32">
        <v>-476</v>
      </c>
      <c r="E55" s="32">
        <v>-11768.923077847012</v>
      </c>
      <c r="F55" s="32">
        <f t="shared" si="5"/>
        <v>-12640.003077847012</v>
      </c>
      <c r="G55" s="32">
        <v>1365847.5466598913</v>
      </c>
      <c r="H55" s="32"/>
      <c r="I55" s="32">
        <v>59226.66</v>
      </c>
      <c r="J55" s="32">
        <f t="shared" si="6"/>
        <v>1425074.2066598912</v>
      </c>
      <c r="K55" s="32">
        <v>88100</v>
      </c>
      <c r="L55" s="32"/>
      <c r="M55" s="32">
        <v>42682</v>
      </c>
      <c r="N55" s="32">
        <f t="shared" si="7"/>
        <v>130782</v>
      </c>
      <c r="O55" s="32">
        <v>7039.75</v>
      </c>
      <c r="P55" s="32">
        <f t="shared" si="8"/>
        <v>1550255.9535820442</v>
      </c>
      <c r="Q55" s="31"/>
    </row>
    <row r="56" spans="1:17">
      <c r="A56" s="31" t="s">
        <v>454</v>
      </c>
      <c r="B56" s="31">
        <v>10127</v>
      </c>
      <c r="C56" s="32">
        <v>-1397.72</v>
      </c>
      <c r="D56" s="32">
        <v>-1684</v>
      </c>
      <c r="E56" s="32">
        <v>-43817.368978561615</v>
      </c>
      <c r="F56" s="32">
        <f t="shared" si="5"/>
        <v>-46899.088978561616</v>
      </c>
      <c r="G56" s="32">
        <v>5169052.5772660226</v>
      </c>
      <c r="H56" s="32"/>
      <c r="I56" s="32">
        <v>600452.21999999986</v>
      </c>
      <c r="J56" s="32">
        <f t="shared" si="6"/>
        <v>5769504.7972660223</v>
      </c>
      <c r="K56" s="32">
        <v>579480</v>
      </c>
      <c r="L56" s="32"/>
      <c r="M56" s="32">
        <v>115931</v>
      </c>
      <c r="N56" s="32">
        <f t="shared" si="7"/>
        <v>695411</v>
      </c>
      <c r="O56" s="32">
        <v>13996.75</v>
      </c>
      <c r="P56" s="32">
        <f t="shared" si="8"/>
        <v>6432013.4582874607</v>
      </c>
      <c r="Q56" s="31"/>
    </row>
    <row r="57" spans="1:17">
      <c r="A57" s="31" t="s">
        <v>281</v>
      </c>
      <c r="B57" s="31">
        <v>10084</v>
      </c>
      <c r="C57" s="32">
        <v>-627.48</v>
      </c>
      <c r="D57" s="32">
        <v>-756</v>
      </c>
      <c r="E57" s="32">
        <v>-18260.393551093021</v>
      </c>
      <c r="F57" s="32">
        <f t="shared" si="5"/>
        <v>-19643.87355109302</v>
      </c>
      <c r="G57" s="32">
        <v>1588854.3669501597</v>
      </c>
      <c r="H57" s="32"/>
      <c r="I57" s="32">
        <v>70264.58</v>
      </c>
      <c r="J57" s="32">
        <f t="shared" si="6"/>
        <v>1659118.9469501597</v>
      </c>
      <c r="K57" s="32">
        <v>100620</v>
      </c>
      <c r="L57" s="32"/>
      <c r="M57" s="32">
        <v>62999</v>
      </c>
      <c r="N57" s="32">
        <f t="shared" si="7"/>
        <v>163619</v>
      </c>
      <c r="O57" s="32">
        <v>8353.75</v>
      </c>
      <c r="P57" s="32">
        <f t="shared" si="8"/>
        <v>1811447.8233990667</v>
      </c>
      <c r="Q57" s="31"/>
    </row>
    <row r="58" spans="1:17">
      <c r="A58" s="31" t="s">
        <v>383</v>
      </c>
      <c r="B58" s="31">
        <v>10085</v>
      </c>
      <c r="C58" s="32">
        <v>-345.28</v>
      </c>
      <c r="D58" s="32">
        <v>-416</v>
      </c>
      <c r="E58" s="32">
        <v>-10191.913461679798</v>
      </c>
      <c r="F58" s="32">
        <f t="shared" si="5"/>
        <v>-10953.193461679799</v>
      </c>
      <c r="G58" s="32">
        <v>1086715.725133366</v>
      </c>
      <c r="H58" s="32"/>
      <c r="I58" s="32">
        <v>47896.160000000003</v>
      </c>
      <c r="J58" s="32">
        <f t="shared" si="6"/>
        <v>1134611.8851333659</v>
      </c>
      <c r="K58" s="32">
        <v>56080</v>
      </c>
      <c r="L58" s="32"/>
      <c r="M58" s="32">
        <v>48102</v>
      </c>
      <c r="N58" s="32">
        <f t="shared" si="7"/>
        <v>104182</v>
      </c>
      <c r="O58" s="32">
        <v>0</v>
      </c>
      <c r="P58" s="32">
        <f t="shared" si="8"/>
        <v>1227840.691671686</v>
      </c>
      <c r="Q58" s="31"/>
    </row>
    <row r="59" spans="1:17">
      <c r="A59" s="31" t="s">
        <v>86</v>
      </c>
      <c r="B59" s="31">
        <v>10129</v>
      </c>
      <c r="C59" s="32">
        <v>-542.81999999999994</v>
      </c>
      <c r="D59" s="32">
        <v>-654</v>
      </c>
      <c r="E59" s="32">
        <v>-15650.338173892009</v>
      </c>
      <c r="F59" s="32">
        <f t="shared" si="5"/>
        <v>-16847.15817389201</v>
      </c>
      <c r="G59" s="32">
        <v>1377971.3945280374</v>
      </c>
      <c r="H59" s="32"/>
      <c r="I59" s="32">
        <v>64486.75</v>
      </c>
      <c r="J59" s="32">
        <f t="shared" si="6"/>
        <v>1442458.1445280374</v>
      </c>
      <c r="K59" s="32">
        <v>44880</v>
      </c>
      <c r="L59" s="32"/>
      <c r="M59" s="32">
        <v>75637</v>
      </c>
      <c r="N59" s="32">
        <f t="shared" si="7"/>
        <v>120517</v>
      </c>
      <c r="O59" s="32">
        <v>0</v>
      </c>
      <c r="P59" s="32">
        <f t="shared" si="8"/>
        <v>1546127.9863541455</v>
      </c>
      <c r="Q59" s="31"/>
    </row>
    <row r="60" spans="1:17">
      <c r="A60" s="31" t="s">
        <v>368</v>
      </c>
      <c r="B60" s="31">
        <v>10119</v>
      </c>
      <c r="C60" s="32">
        <v>-341.96</v>
      </c>
      <c r="D60" s="32">
        <v>-412</v>
      </c>
      <c r="E60" s="32">
        <v>-10194.2105650214</v>
      </c>
      <c r="F60" s="32">
        <f t="shared" si="5"/>
        <v>-10948.170565021399</v>
      </c>
      <c r="G60" s="32">
        <v>1302206.7867382772</v>
      </c>
      <c r="H60" s="32"/>
      <c r="I60" s="32">
        <v>65592.2</v>
      </c>
      <c r="J60" s="32">
        <f t="shared" si="6"/>
        <v>1367798.9867382771</v>
      </c>
      <c r="K60" s="32">
        <v>66940</v>
      </c>
      <c r="L60" s="32"/>
      <c r="M60" s="32">
        <v>75545</v>
      </c>
      <c r="N60" s="32">
        <f t="shared" si="7"/>
        <v>142485</v>
      </c>
      <c r="O60" s="32">
        <v>7021.75</v>
      </c>
      <c r="P60" s="32">
        <f t="shared" si="8"/>
        <v>1506357.5661732557</v>
      </c>
      <c r="Q60" s="31"/>
    </row>
    <row r="61" spans="1:17">
      <c r="A61" s="31" t="s">
        <v>88</v>
      </c>
      <c r="B61" s="31">
        <v>10086</v>
      </c>
      <c r="C61" s="32">
        <v>-574.36</v>
      </c>
      <c r="D61" s="32">
        <v>-692</v>
      </c>
      <c r="E61" s="32">
        <v>-17545.951530587052</v>
      </c>
      <c r="F61" s="32">
        <f t="shared" si="5"/>
        <v>-18812.311530587052</v>
      </c>
      <c r="G61" s="32">
        <v>1632069.3825496959</v>
      </c>
      <c r="H61" s="32"/>
      <c r="I61" s="32">
        <v>106038.59</v>
      </c>
      <c r="J61" s="32">
        <f t="shared" si="6"/>
        <v>1738107.972549696</v>
      </c>
      <c r="K61" s="32">
        <v>164660</v>
      </c>
      <c r="L61" s="32"/>
      <c r="M61" s="32">
        <v>26030</v>
      </c>
      <c r="N61" s="32">
        <f t="shared" si="7"/>
        <v>190690</v>
      </c>
      <c r="O61" s="32">
        <v>7870</v>
      </c>
      <c r="P61" s="32">
        <f t="shared" si="8"/>
        <v>1917855.661019109</v>
      </c>
      <c r="Q61" s="31"/>
    </row>
    <row r="62" spans="1:17">
      <c r="A62" s="31" t="s">
        <v>390</v>
      </c>
      <c r="B62" s="31">
        <v>10112</v>
      </c>
      <c r="C62" s="32">
        <v>-664</v>
      </c>
      <c r="D62" s="32">
        <v>-800</v>
      </c>
      <c r="E62" s="32">
        <v>-18881.231694423092</v>
      </c>
      <c r="F62" s="32">
        <f t="shared" si="5"/>
        <v>-20345.231694423092</v>
      </c>
      <c r="G62" s="32">
        <v>1647611.9598543374</v>
      </c>
      <c r="H62" s="32"/>
      <c r="I62" s="32">
        <v>47062.67</v>
      </c>
      <c r="J62" s="32">
        <f t="shared" si="6"/>
        <v>1694674.6298543373</v>
      </c>
      <c r="K62" s="32">
        <v>15500</v>
      </c>
      <c r="L62" s="32"/>
      <c r="M62" s="32">
        <v>94174</v>
      </c>
      <c r="N62" s="32">
        <f t="shared" si="7"/>
        <v>109674</v>
      </c>
      <c r="O62" s="32">
        <v>0</v>
      </c>
      <c r="P62" s="32">
        <f t="shared" si="8"/>
        <v>1784003.3981599142</v>
      </c>
      <c r="Q62" s="31"/>
    </row>
    <row r="63" spans="1:17">
      <c r="A63" s="31" t="s">
        <v>388</v>
      </c>
      <c r="B63" s="31">
        <v>10110</v>
      </c>
      <c r="C63" s="32">
        <v>-667.31999999999994</v>
      </c>
      <c r="D63" s="32">
        <v>-804</v>
      </c>
      <c r="E63" s="32">
        <v>-19289.364138788711</v>
      </c>
      <c r="F63" s="32">
        <f t="shared" si="5"/>
        <v>-20760.684138788711</v>
      </c>
      <c r="G63" s="32">
        <v>1612946.2984579729</v>
      </c>
      <c r="H63" s="32"/>
      <c r="I63" s="32">
        <v>82346.75</v>
      </c>
      <c r="J63" s="32">
        <f t="shared" si="6"/>
        <v>1695293.0484579729</v>
      </c>
      <c r="K63" s="32">
        <v>69280</v>
      </c>
      <c r="L63" s="32"/>
      <c r="M63" s="32">
        <v>75710</v>
      </c>
      <c r="N63" s="32">
        <f t="shared" si="7"/>
        <v>144990</v>
      </c>
      <c r="O63" s="32">
        <v>0</v>
      </c>
      <c r="P63" s="32">
        <f t="shared" si="8"/>
        <v>1819522.3643191843</v>
      </c>
      <c r="Q63" s="31"/>
    </row>
    <row r="64" spans="1:17">
      <c r="A64" s="31" t="s">
        <v>384</v>
      </c>
      <c r="B64" s="31">
        <v>10087</v>
      </c>
      <c r="C64" s="32">
        <v>-546.14</v>
      </c>
      <c r="D64" s="32">
        <v>-658</v>
      </c>
      <c r="E64" s="32">
        <v>-16018.158459274191</v>
      </c>
      <c r="F64" s="32">
        <f t="shared" si="5"/>
        <v>-17222.298459274192</v>
      </c>
      <c r="G64" s="32">
        <v>1649508.325378848</v>
      </c>
      <c r="H64" s="32"/>
      <c r="I64" s="32">
        <v>53131.68</v>
      </c>
      <c r="J64" s="32">
        <f t="shared" si="6"/>
        <v>1702640.0053788479</v>
      </c>
      <c r="K64" s="32">
        <v>93720</v>
      </c>
      <c r="L64" s="32"/>
      <c r="M64" s="32">
        <v>89160</v>
      </c>
      <c r="N64" s="32">
        <f t="shared" si="7"/>
        <v>182880</v>
      </c>
      <c r="O64" s="32">
        <v>0</v>
      </c>
      <c r="P64" s="32">
        <f t="shared" si="8"/>
        <v>1868297.7069195737</v>
      </c>
      <c r="Q64" s="31"/>
    </row>
    <row r="65" spans="1:17">
      <c r="A65" s="31" t="s">
        <v>379</v>
      </c>
      <c r="B65" s="31">
        <v>10099</v>
      </c>
      <c r="C65" s="32">
        <v>-348.59999999999997</v>
      </c>
      <c r="D65" s="32">
        <v>-420</v>
      </c>
      <c r="E65" s="32">
        <v>-9966.0930707055522</v>
      </c>
      <c r="F65" s="32">
        <f t="shared" si="5"/>
        <v>-10734.693070705553</v>
      </c>
      <c r="G65" s="32">
        <v>911662.54587451112</v>
      </c>
      <c r="H65" s="32"/>
      <c r="I65" s="32">
        <v>15736.58</v>
      </c>
      <c r="J65" s="32">
        <f t="shared" si="6"/>
        <v>927399.12587451108</v>
      </c>
      <c r="K65" s="32">
        <v>19800</v>
      </c>
      <c r="L65" s="32"/>
      <c r="M65" s="32">
        <v>58387</v>
      </c>
      <c r="N65" s="32">
        <f t="shared" si="7"/>
        <v>78187</v>
      </c>
      <c r="O65" s="32">
        <v>0</v>
      </c>
      <c r="P65" s="32">
        <f t="shared" si="8"/>
        <v>994851.43280380557</v>
      </c>
      <c r="Q65" s="31"/>
    </row>
    <row r="66" spans="1:17">
      <c r="A66" s="31" t="s">
        <v>385</v>
      </c>
      <c r="B66" s="31">
        <v>10088</v>
      </c>
      <c r="C66" s="32">
        <v>-719.61</v>
      </c>
      <c r="D66" s="32">
        <v>-867</v>
      </c>
      <c r="E66" s="32">
        <v>-20872.771423162871</v>
      </c>
      <c r="F66" s="32">
        <f t="shared" si="5"/>
        <v>-22459.381423162871</v>
      </c>
      <c r="G66" s="32">
        <v>1975037.1509451533</v>
      </c>
      <c r="H66" s="32"/>
      <c r="I66" s="32">
        <v>56738.67</v>
      </c>
      <c r="J66" s="32">
        <f t="shared" si="6"/>
        <v>2031775.8209451532</v>
      </c>
      <c r="K66" s="32">
        <v>84780</v>
      </c>
      <c r="L66" s="32"/>
      <c r="M66" s="32">
        <v>85802</v>
      </c>
      <c r="N66" s="32">
        <f t="shared" si="7"/>
        <v>170582</v>
      </c>
      <c r="O66" s="32">
        <v>0</v>
      </c>
      <c r="P66" s="32">
        <f t="shared" si="8"/>
        <v>2179898.4395219907</v>
      </c>
      <c r="Q66" s="31"/>
    </row>
    <row r="67" spans="1:17">
      <c r="A67" s="31" t="s">
        <v>456</v>
      </c>
      <c r="B67" s="31">
        <v>10116</v>
      </c>
      <c r="C67" s="32">
        <v>-348.59999999999997</v>
      </c>
      <c r="D67" s="32">
        <v>-420</v>
      </c>
      <c r="E67" s="32">
        <v>-10030.82889752315</v>
      </c>
      <c r="F67" s="32">
        <f t="shared" si="5"/>
        <v>-10799.42889752315</v>
      </c>
      <c r="G67" s="32">
        <v>1017420.986756742</v>
      </c>
      <c r="H67" s="32"/>
      <c r="I67" s="32">
        <v>27907.57</v>
      </c>
      <c r="J67" s="32">
        <f t="shared" si="6"/>
        <v>1045328.5567567419</v>
      </c>
      <c r="K67" s="32">
        <v>30880</v>
      </c>
      <c r="L67" s="32"/>
      <c r="M67" s="32">
        <v>52870</v>
      </c>
      <c r="N67" s="32">
        <f t="shared" si="7"/>
        <v>83750</v>
      </c>
      <c r="O67" s="32">
        <v>0</v>
      </c>
      <c r="P67" s="32">
        <f t="shared" si="8"/>
        <v>1118279.1278592187</v>
      </c>
      <c r="Q67" s="31"/>
    </row>
    <row r="68" spans="1:17">
      <c r="A68" s="31" t="s">
        <v>374</v>
      </c>
      <c r="B68" s="31">
        <v>10089</v>
      </c>
      <c r="C68" s="32">
        <v>-348.59999999999997</v>
      </c>
      <c r="D68" s="32">
        <v>-420</v>
      </c>
      <c r="E68" s="32">
        <v>-10057.5240266644</v>
      </c>
      <c r="F68" s="32">
        <f t="shared" si="5"/>
        <v>-10826.1240266644</v>
      </c>
      <c r="G68" s="32">
        <v>1035932.6492142112</v>
      </c>
      <c r="H68" s="32"/>
      <c r="I68" s="32">
        <v>3523.34</v>
      </c>
      <c r="J68" s="32">
        <f t="shared" si="6"/>
        <v>1039455.9892142111</v>
      </c>
      <c r="K68" s="32">
        <v>34280</v>
      </c>
      <c r="L68" s="32"/>
      <c r="M68" s="32">
        <v>55978</v>
      </c>
      <c r="N68" s="32">
        <f t="shared" si="7"/>
        <v>90258</v>
      </c>
      <c r="O68" s="32">
        <v>0</v>
      </c>
      <c r="P68" s="32">
        <f t="shared" si="8"/>
        <v>1118887.8651875467</v>
      </c>
      <c r="Q68" s="31"/>
    </row>
    <row r="69" spans="1:17">
      <c r="A69" s="31" t="s">
        <v>461</v>
      </c>
      <c r="B69" s="31">
        <v>10107</v>
      </c>
      <c r="C69" s="32">
        <v>-861.54</v>
      </c>
      <c r="D69" s="32">
        <v>-1038</v>
      </c>
      <c r="E69" s="32">
        <v>-25049.036008327421</v>
      </c>
      <c r="F69" s="32">
        <f t="shared" si="5"/>
        <v>-26948.576008327422</v>
      </c>
      <c r="G69" s="32">
        <v>2311525.7877556388</v>
      </c>
      <c r="H69" s="32"/>
      <c r="I69" s="32">
        <v>46586.5</v>
      </c>
      <c r="J69" s="32">
        <f t="shared" si="6"/>
        <v>2358112.2877556388</v>
      </c>
      <c r="K69" s="32">
        <v>101640</v>
      </c>
      <c r="L69" s="32"/>
      <c r="M69" s="32">
        <v>105095</v>
      </c>
      <c r="N69" s="32">
        <f t="shared" si="7"/>
        <v>206735</v>
      </c>
      <c r="O69" s="32">
        <v>0</v>
      </c>
      <c r="P69" s="32">
        <f t="shared" si="8"/>
        <v>2537898.7117473115</v>
      </c>
      <c r="Q69" s="31"/>
    </row>
    <row r="70" spans="1:17">
      <c r="A70" s="31" t="s">
        <v>457</v>
      </c>
      <c r="B70" s="31">
        <v>10092</v>
      </c>
      <c r="C70" s="32">
        <v>-687.24</v>
      </c>
      <c r="D70" s="32">
        <v>-828</v>
      </c>
      <c r="E70" s="32">
        <v>-19822.35574588945</v>
      </c>
      <c r="F70" s="32">
        <f t="shared" si="5"/>
        <v>-21337.595745889452</v>
      </c>
      <c r="G70" s="32">
        <v>1915473.0968184625</v>
      </c>
      <c r="H70" s="32"/>
      <c r="I70" s="32">
        <v>66855.830000000016</v>
      </c>
      <c r="J70" s="32">
        <f t="shared" si="6"/>
        <v>1982328.9268184626</v>
      </c>
      <c r="K70" s="32">
        <v>84740</v>
      </c>
      <c r="L70" s="32"/>
      <c r="M70" s="32">
        <v>87828</v>
      </c>
      <c r="N70" s="32">
        <f t="shared" si="7"/>
        <v>172568</v>
      </c>
      <c r="O70" s="32">
        <v>0</v>
      </c>
      <c r="P70" s="32">
        <f t="shared" si="8"/>
        <v>2133559.3310725731</v>
      </c>
      <c r="Q70" s="31"/>
    </row>
    <row r="71" spans="1:17">
      <c r="A71" s="31" t="s">
        <v>377</v>
      </c>
      <c r="B71" s="31">
        <v>10093</v>
      </c>
      <c r="C71" s="32">
        <v>-355.24</v>
      </c>
      <c r="D71" s="32">
        <v>-428</v>
      </c>
      <c r="E71" s="32">
        <v>-10297.524822839187</v>
      </c>
      <c r="F71" s="32">
        <f t="shared" si="5"/>
        <v>-11080.764822839186</v>
      </c>
      <c r="G71" s="32">
        <v>918030.62174274982</v>
      </c>
      <c r="H71" s="32"/>
      <c r="I71" s="32">
        <v>33083.919999999998</v>
      </c>
      <c r="J71" s="32">
        <f t="shared" si="6"/>
        <v>951114.54174274986</v>
      </c>
      <c r="K71" s="32">
        <v>40240</v>
      </c>
      <c r="L71" s="32"/>
      <c r="M71" s="32">
        <v>53691</v>
      </c>
      <c r="N71" s="32">
        <f t="shared" si="7"/>
        <v>93931</v>
      </c>
      <c r="O71" s="32">
        <v>0</v>
      </c>
      <c r="P71" s="32">
        <f t="shared" si="8"/>
        <v>1033964.7769199107</v>
      </c>
      <c r="Q71" s="31"/>
    </row>
    <row r="72" spans="1:17">
      <c r="A72" s="41" t="s">
        <v>510</v>
      </c>
      <c r="B72" s="31">
        <v>10095</v>
      </c>
      <c r="C72" s="32">
        <v>-345.28</v>
      </c>
      <c r="D72" s="32">
        <v>-416</v>
      </c>
      <c r="E72" s="32">
        <v>-9952.3238655438327</v>
      </c>
      <c r="F72" s="32">
        <f t="shared" si="5"/>
        <v>-10713.603865543833</v>
      </c>
      <c r="G72" s="32">
        <v>893931.02286092914</v>
      </c>
      <c r="H72" s="32"/>
      <c r="I72" s="32">
        <v>35005.25</v>
      </c>
      <c r="J72" s="32">
        <f t="shared" si="6"/>
        <v>928936.27286092914</v>
      </c>
      <c r="K72" s="32">
        <v>39560</v>
      </c>
      <c r="L72" s="32"/>
      <c r="M72" s="32">
        <v>53334</v>
      </c>
      <c r="N72" s="32">
        <f t="shared" si="7"/>
        <v>92894</v>
      </c>
      <c r="O72" s="32">
        <v>0</v>
      </c>
      <c r="P72" s="32">
        <f t="shared" si="8"/>
        <v>1011116.6689953853</v>
      </c>
      <c r="Q72" s="31"/>
    </row>
    <row r="73" spans="1:17">
      <c r="A73" s="31" t="s">
        <v>378</v>
      </c>
      <c r="B73" s="31">
        <v>10094</v>
      </c>
      <c r="C73" s="32">
        <v>-330.34</v>
      </c>
      <c r="D73" s="32">
        <v>-398</v>
      </c>
      <c r="E73" s="32">
        <v>-9803.4548988429851</v>
      </c>
      <c r="F73" s="32">
        <f t="shared" ref="F73:F95" si="9">SUM(C73:E73)</f>
        <v>-10531.794898842985</v>
      </c>
      <c r="G73" s="32">
        <v>1038185.3620211936</v>
      </c>
      <c r="H73" s="32"/>
      <c r="I73" s="32">
        <v>19778.34</v>
      </c>
      <c r="J73" s="32">
        <f t="shared" ref="J73:J95" si="10">SUM(G73:I73)</f>
        <v>1057963.7020211937</v>
      </c>
      <c r="K73" s="32">
        <v>67960</v>
      </c>
      <c r="L73" s="32"/>
      <c r="M73" s="32">
        <v>39891</v>
      </c>
      <c r="N73" s="32">
        <f t="shared" ref="N73:N95" si="11">SUM(K73:M73)</f>
        <v>107851</v>
      </c>
      <c r="O73" s="32">
        <v>0</v>
      </c>
      <c r="P73" s="32">
        <f t="shared" ref="P73:P95" si="12">F73+J73+N73+O73</f>
        <v>1155282.9071223508</v>
      </c>
      <c r="Q73" s="31"/>
    </row>
    <row r="74" spans="1:17">
      <c r="A74" s="31" t="s">
        <v>460</v>
      </c>
      <c r="B74" s="31">
        <v>10108</v>
      </c>
      <c r="C74" s="32">
        <v>-353.02666666666664</v>
      </c>
      <c r="D74" s="32">
        <v>-425.33333333333331</v>
      </c>
      <c r="E74" s="32">
        <v>-10258.9513461758</v>
      </c>
      <c r="F74" s="32">
        <f t="shared" si="9"/>
        <v>-11037.3113461758</v>
      </c>
      <c r="G74" s="32">
        <v>931747.87381242611</v>
      </c>
      <c r="H74" s="32"/>
      <c r="I74" s="32">
        <v>14407.58</v>
      </c>
      <c r="J74" s="32">
        <f t="shared" si="10"/>
        <v>946155.45381242607</v>
      </c>
      <c r="K74" s="32">
        <v>34580</v>
      </c>
      <c r="L74" s="32"/>
      <c r="M74" s="32">
        <v>41558</v>
      </c>
      <c r="N74" s="32">
        <f t="shared" si="11"/>
        <v>76138</v>
      </c>
      <c r="O74" s="32">
        <v>0</v>
      </c>
      <c r="P74" s="32">
        <f t="shared" si="12"/>
        <v>1011256.1424662502</v>
      </c>
      <c r="Q74" s="31"/>
    </row>
    <row r="75" spans="1:17">
      <c r="A75" s="31" t="s">
        <v>386</v>
      </c>
      <c r="B75" s="31">
        <v>10096</v>
      </c>
      <c r="C75" s="32">
        <v>-524.55999999999995</v>
      </c>
      <c r="D75" s="32">
        <v>-632</v>
      </c>
      <c r="E75" s="32">
        <v>-15116.435134182477</v>
      </c>
      <c r="F75" s="32">
        <f t="shared" si="9"/>
        <v>-16272.995134182476</v>
      </c>
      <c r="G75" s="32">
        <v>1346384.5748762046</v>
      </c>
      <c r="H75" s="32"/>
      <c r="I75" s="32">
        <v>38114.33</v>
      </c>
      <c r="J75" s="32">
        <f t="shared" si="10"/>
        <v>1384498.9048762047</v>
      </c>
      <c r="K75" s="32">
        <v>40240</v>
      </c>
      <c r="L75" s="32"/>
      <c r="M75" s="32">
        <v>56762</v>
      </c>
      <c r="N75" s="32">
        <f t="shared" si="11"/>
        <v>97002</v>
      </c>
      <c r="O75" s="32">
        <v>0</v>
      </c>
      <c r="P75" s="32">
        <f t="shared" si="12"/>
        <v>1465227.9097420222</v>
      </c>
      <c r="Q75" s="31"/>
    </row>
    <row r="76" spans="1:17">
      <c r="A76" s="31" t="s">
        <v>290</v>
      </c>
      <c r="B76" s="31">
        <v>10097</v>
      </c>
      <c r="C76" s="32">
        <v>-335.32</v>
      </c>
      <c r="D76" s="32">
        <v>-404</v>
      </c>
      <c r="E76" s="32">
        <v>-10428.649211566015</v>
      </c>
      <c r="F76" s="32">
        <f t="shared" si="9"/>
        <v>-11167.969211566015</v>
      </c>
      <c r="G76" s="32">
        <v>1221300.2910727966</v>
      </c>
      <c r="H76" s="32"/>
      <c r="I76" s="32">
        <v>72248.03</v>
      </c>
      <c r="J76" s="32">
        <f t="shared" si="10"/>
        <v>1293548.3210727966</v>
      </c>
      <c r="K76" s="32">
        <v>132000</v>
      </c>
      <c r="L76" s="32"/>
      <c r="M76" s="32">
        <v>44728</v>
      </c>
      <c r="N76" s="32">
        <f t="shared" si="11"/>
        <v>176728</v>
      </c>
      <c r="O76" s="32">
        <v>6713.5</v>
      </c>
      <c r="P76" s="32">
        <f t="shared" si="12"/>
        <v>1465821.8518612306</v>
      </c>
      <c r="Q76" s="31"/>
    </row>
    <row r="77" spans="1:17">
      <c r="A77" s="31" t="s">
        <v>380</v>
      </c>
      <c r="B77" s="31">
        <v>10100</v>
      </c>
      <c r="C77" s="32">
        <v>-348.59999999999997</v>
      </c>
      <c r="D77" s="32">
        <v>-420</v>
      </c>
      <c r="E77" s="32">
        <v>-10031.751560386601</v>
      </c>
      <c r="F77" s="32">
        <f t="shared" si="9"/>
        <v>-10800.351560386602</v>
      </c>
      <c r="G77" s="32">
        <v>889456.05195508269</v>
      </c>
      <c r="H77" s="32"/>
      <c r="I77" s="32">
        <v>8367.92</v>
      </c>
      <c r="J77" s="32">
        <f t="shared" si="10"/>
        <v>897823.97195508273</v>
      </c>
      <c r="K77" s="32">
        <v>29980</v>
      </c>
      <c r="L77" s="32"/>
      <c r="M77" s="32">
        <v>53567</v>
      </c>
      <c r="N77" s="32">
        <f t="shared" si="11"/>
        <v>83547</v>
      </c>
      <c r="O77" s="32">
        <v>0</v>
      </c>
      <c r="P77" s="32">
        <f t="shared" si="12"/>
        <v>970570.62039469613</v>
      </c>
      <c r="Q77" s="31"/>
    </row>
    <row r="78" spans="1:17">
      <c r="A78" s="31" t="s">
        <v>107</v>
      </c>
      <c r="B78" s="31">
        <v>10101</v>
      </c>
      <c r="C78" s="32">
        <v>-365.2</v>
      </c>
      <c r="D78" s="32">
        <v>-440</v>
      </c>
      <c r="E78" s="32">
        <v>-11020.108793684449</v>
      </c>
      <c r="F78" s="32">
        <f t="shared" si="9"/>
        <v>-11825.308793684449</v>
      </c>
      <c r="G78" s="32">
        <v>1239393.0631450675</v>
      </c>
      <c r="H78" s="32"/>
      <c r="I78" s="32">
        <v>37646.240000000005</v>
      </c>
      <c r="J78" s="32">
        <f t="shared" si="10"/>
        <v>1277039.3031450675</v>
      </c>
      <c r="K78" s="32">
        <v>110880</v>
      </c>
      <c r="L78" s="32"/>
      <c r="M78" s="32">
        <v>55081</v>
      </c>
      <c r="N78" s="32">
        <f t="shared" si="11"/>
        <v>165961</v>
      </c>
      <c r="O78" s="32">
        <v>6783.25</v>
      </c>
      <c r="P78" s="32">
        <f t="shared" si="12"/>
        <v>1437958.2443513831</v>
      </c>
      <c r="Q78" s="31"/>
    </row>
    <row r="79" spans="1:17">
      <c r="A79" s="31" t="s">
        <v>433</v>
      </c>
      <c r="B79" s="31">
        <v>10103</v>
      </c>
      <c r="C79" s="32">
        <v>-836.64</v>
      </c>
      <c r="D79" s="32">
        <v>-1008</v>
      </c>
      <c r="E79" s="32">
        <v>-25777.5400824709</v>
      </c>
      <c r="F79" s="32">
        <f t="shared" si="9"/>
        <v>-27622.180082470899</v>
      </c>
      <c r="G79" s="32">
        <v>2621710.5741037396</v>
      </c>
      <c r="H79" s="32"/>
      <c r="I79" s="32">
        <v>121055.12666666666</v>
      </c>
      <c r="J79" s="32">
        <f t="shared" si="10"/>
        <v>2742765.7007704061</v>
      </c>
      <c r="K79" s="32">
        <v>292700</v>
      </c>
      <c r="L79" s="32"/>
      <c r="M79" s="32">
        <v>73613</v>
      </c>
      <c r="N79" s="32">
        <f t="shared" si="11"/>
        <v>366313</v>
      </c>
      <c r="O79" s="32">
        <v>10495.75</v>
      </c>
      <c r="P79" s="32">
        <f t="shared" si="12"/>
        <v>3091952.2706879349</v>
      </c>
      <c r="Q79" s="31"/>
    </row>
    <row r="80" spans="1:17">
      <c r="A80" s="31" t="s">
        <v>370</v>
      </c>
      <c r="B80" s="31">
        <v>10124</v>
      </c>
      <c r="C80" s="32">
        <v>-650.71999999999991</v>
      </c>
      <c r="D80" s="32">
        <v>-784</v>
      </c>
      <c r="E80" s="32">
        <v>-19673.412898548224</v>
      </c>
      <c r="F80" s="32">
        <f t="shared" si="9"/>
        <v>-21108.132898548225</v>
      </c>
      <c r="G80" s="32">
        <v>2044320.8186244846</v>
      </c>
      <c r="H80" s="32"/>
      <c r="I80" s="32">
        <v>67247.34</v>
      </c>
      <c r="J80" s="32">
        <f t="shared" si="10"/>
        <v>2111568.1586244847</v>
      </c>
      <c r="K80" s="32">
        <v>188760</v>
      </c>
      <c r="L80" s="32"/>
      <c r="M80" s="32">
        <v>65879</v>
      </c>
      <c r="N80" s="32">
        <f t="shared" si="11"/>
        <v>254639</v>
      </c>
      <c r="O80" s="32">
        <v>8815</v>
      </c>
      <c r="P80" s="32">
        <f t="shared" si="12"/>
        <v>2353914.0257259365</v>
      </c>
      <c r="Q80" s="31"/>
    </row>
    <row r="81" spans="1:17">
      <c r="A81" s="31" t="s">
        <v>297</v>
      </c>
      <c r="B81" s="31">
        <v>10105</v>
      </c>
      <c r="C81" s="32">
        <v>-695.54</v>
      </c>
      <c r="D81" s="32">
        <v>-838</v>
      </c>
      <c r="E81" s="32">
        <v>-21114.769335497829</v>
      </c>
      <c r="F81" s="32">
        <f t="shared" si="9"/>
        <v>-22648.30933549783</v>
      </c>
      <c r="G81" s="32">
        <v>2450300.9941340908</v>
      </c>
      <c r="H81" s="32"/>
      <c r="I81" s="32">
        <v>59401.329999999994</v>
      </c>
      <c r="J81" s="32">
        <f t="shared" si="10"/>
        <v>2509702.3241340909</v>
      </c>
      <c r="K81" s="32">
        <v>180840</v>
      </c>
      <c r="L81" s="32"/>
      <c r="M81" s="32">
        <v>75996</v>
      </c>
      <c r="N81" s="32">
        <f t="shared" si="11"/>
        <v>256836</v>
      </c>
      <c r="O81" s="32">
        <v>9094</v>
      </c>
      <c r="P81" s="32">
        <f t="shared" si="12"/>
        <v>2752984.0147985932</v>
      </c>
      <c r="Q81" s="31"/>
    </row>
    <row r="82" spans="1:17">
      <c r="A82" s="31" t="s">
        <v>112</v>
      </c>
      <c r="B82" s="31">
        <v>10123</v>
      </c>
      <c r="C82" s="32">
        <v>-672.3</v>
      </c>
      <c r="D82" s="32">
        <v>-810</v>
      </c>
      <c r="E82" s="32">
        <v>-20664.844088747297</v>
      </c>
      <c r="F82" s="32">
        <f t="shared" si="9"/>
        <v>-22147.144088747296</v>
      </c>
      <c r="G82" s="32">
        <v>2225672.4320407142</v>
      </c>
      <c r="H82" s="32"/>
      <c r="I82" s="32">
        <v>33845.08</v>
      </c>
      <c r="J82" s="32">
        <f t="shared" si="10"/>
        <v>2259517.5120407143</v>
      </c>
      <c r="K82" s="32">
        <v>206900</v>
      </c>
      <c r="L82" s="32"/>
      <c r="M82" s="32">
        <v>67122</v>
      </c>
      <c r="N82" s="32">
        <f t="shared" si="11"/>
        <v>274022</v>
      </c>
      <c r="O82" s="32">
        <v>8952.25</v>
      </c>
      <c r="P82" s="32">
        <f t="shared" si="12"/>
        <v>2520344.6179519668</v>
      </c>
      <c r="Q82" s="31"/>
    </row>
    <row r="83" spans="1:17">
      <c r="A83" s="31" t="s">
        <v>367</v>
      </c>
      <c r="B83" s="31">
        <v>10109</v>
      </c>
      <c r="C83" s="32">
        <v>-346.94</v>
      </c>
      <c r="D83" s="32">
        <v>-418</v>
      </c>
      <c r="E83" s="32">
        <v>-9935.8391049522161</v>
      </c>
      <c r="F83" s="32">
        <f t="shared" si="9"/>
        <v>-10700.779104952217</v>
      </c>
      <c r="G83" s="32">
        <v>915773.28924753517</v>
      </c>
      <c r="H83" s="32"/>
      <c r="I83" s="32">
        <v>63309.5</v>
      </c>
      <c r="J83" s="32">
        <f t="shared" si="10"/>
        <v>979082.78924753517</v>
      </c>
      <c r="K83" s="32">
        <v>14520</v>
      </c>
      <c r="L83" s="32"/>
      <c r="M83" s="32">
        <v>54909</v>
      </c>
      <c r="N83" s="32">
        <f t="shared" si="11"/>
        <v>69429</v>
      </c>
      <c r="O83" s="32">
        <v>6655</v>
      </c>
      <c r="P83" s="32">
        <f t="shared" si="12"/>
        <v>1044466.0101425829</v>
      </c>
      <c r="Q83" s="31"/>
    </row>
    <row r="84" spans="1:17">
      <c r="A84" s="31" t="s">
        <v>463</v>
      </c>
      <c r="B84" s="31">
        <v>10698</v>
      </c>
      <c r="C84" s="32">
        <v>-1760.1999999999998</v>
      </c>
      <c r="D84" s="32">
        <v>-2694.6666666666665</v>
      </c>
      <c r="E84" s="32">
        <v>-62498.100395203561</v>
      </c>
      <c r="F84" s="32">
        <f t="shared" si="9"/>
        <v>-66952.967061870222</v>
      </c>
      <c r="G84" s="32">
        <v>7031975.9721672647</v>
      </c>
      <c r="H84" s="32">
        <v>263364.66666666663</v>
      </c>
      <c r="I84" s="32">
        <v>192690.83</v>
      </c>
      <c r="J84" s="32">
        <f t="shared" si="10"/>
        <v>7488031.4688339317</v>
      </c>
      <c r="K84" s="32">
        <v>460190</v>
      </c>
      <c r="L84" s="32">
        <v>5104</v>
      </c>
      <c r="M84" s="32">
        <v>118366</v>
      </c>
      <c r="N84" s="32">
        <f t="shared" si="11"/>
        <v>583660</v>
      </c>
      <c r="O84" s="32">
        <v>0</v>
      </c>
      <c r="P84" s="32">
        <f t="shared" si="12"/>
        <v>8004738.5017720619</v>
      </c>
      <c r="Q84" s="31"/>
    </row>
    <row r="85" spans="1:17">
      <c r="A85" s="31" t="s">
        <v>115</v>
      </c>
      <c r="B85" s="31">
        <v>10145</v>
      </c>
      <c r="C85" s="32">
        <v>-905.76</v>
      </c>
      <c r="D85" s="32">
        <v>-1776</v>
      </c>
      <c r="E85" s="32">
        <v>-36244.735787906648</v>
      </c>
      <c r="F85" s="32">
        <f t="shared" si="9"/>
        <v>-38926.49578790665</v>
      </c>
      <c r="G85" s="32">
        <v>4982767.0954312934</v>
      </c>
      <c r="H85" s="32">
        <v>1450028.6666666667</v>
      </c>
      <c r="I85" s="32">
        <v>132459.67000000004</v>
      </c>
      <c r="J85" s="50">
        <f t="shared" si="10"/>
        <v>6565255.4320979603</v>
      </c>
      <c r="K85" s="32">
        <v>134920</v>
      </c>
      <c r="L85" s="32">
        <v>6573</v>
      </c>
      <c r="M85" s="32"/>
      <c r="N85" s="32">
        <f t="shared" si="11"/>
        <v>141493</v>
      </c>
      <c r="O85" s="32">
        <v>0</v>
      </c>
      <c r="P85" s="32">
        <f t="shared" si="12"/>
        <v>6667821.9363100538</v>
      </c>
      <c r="Q85" s="31"/>
    </row>
    <row r="86" spans="1:17">
      <c r="A86" s="31" t="s">
        <v>116</v>
      </c>
      <c r="B86" s="31">
        <v>10139</v>
      </c>
      <c r="C86" s="32">
        <v>-796.62</v>
      </c>
      <c r="D86" s="32">
        <v>-1562</v>
      </c>
      <c r="E86" s="32">
        <v>-36520.932611141383</v>
      </c>
      <c r="F86" s="32">
        <f t="shared" si="9"/>
        <v>-38879.552611141386</v>
      </c>
      <c r="G86" s="32">
        <v>4876894.6247766437</v>
      </c>
      <c r="H86" s="32"/>
      <c r="I86" s="32">
        <v>214775.07</v>
      </c>
      <c r="J86" s="50">
        <f t="shared" si="10"/>
        <v>5091669.694776644</v>
      </c>
      <c r="K86" s="32">
        <v>347410</v>
      </c>
      <c r="L86" s="32">
        <v>12576</v>
      </c>
      <c r="M86" s="32">
        <v>9680</v>
      </c>
      <c r="N86" s="32">
        <f t="shared" si="11"/>
        <v>369666</v>
      </c>
      <c r="O86" s="32">
        <v>17111.88</v>
      </c>
      <c r="P86" s="32">
        <f t="shared" si="12"/>
        <v>5439568.0221655024</v>
      </c>
      <c r="Q86" s="31"/>
    </row>
    <row r="87" spans="1:17">
      <c r="A87" s="31" t="s">
        <v>315</v>
      </c>
      <c r="B87" s="31">
        <v>11174</v>
      </c>
      <c r="C87" s="32">
        <v>-1006.74</v>
      </c>
      <c r="D87" s="32">
        <v>-1974</v>
      </c>
      <c r="E87" s="32">
        <v>-39224.206433768799</v>
      </c>
      <c r="F87" s="32">
        <f t="shared" si="9"/>
        <v>-42204.946433768797</v>
      </c>
      <c r="G87" s="32">
        <v>6471233.3846984319</v>
      </c>
      <c r="H87" s="32">
        <v>1355640</v>
      </c>
      <c r="I87" s="32">
        <v>1017079.3133333332</v>
      </c>
      <c r="J87" s="50">
        <f t="shared" si="10"/>
        <v>8843952.6980317645</v>
      </c>
      <c r="K87" s="32">
        <v>89030</v>
      </c>
      <c r="L87" s="32">
        <v>8043</v>
      </c>
      <c r="M87" s="32"/>
      <c r="N87" s="32">
        <f t="shared" si="11"/>
        <v>97073</v>
      </c>
      <c r="O87" s="32">
        <v>0</v>
      </c>
      <c r="P87" s="32">
        <f t="shared" si="12"/>
        <v>8898820.7515979949</v>
      </c>
      <c r="Q87" s="31"/>
    </row>
    <row r="88" spans="1:17">
      <c r="A88" s="31" t="s">
        <v>464</v>
      </c>
      <c r="B88" s="31">
        <v>11513</v>
      </c>
      <c r="C88" s="32">
        <v>-245.82</v>
      </c>
      <c r="D88" s="32">
        <v>-482</v>
      </c>
      <c r="E88" s="32">
        <v>-9492.166982718556</v>
      </c>
      <c r="F88" s="32">
        <f t="shared" si="9"/>
        <v>-10219.986982718556</v>
      </c>
      <c r="G88" s="32">
        <v>1343426.7454108223</v>
      </c>
      <c r="H88" s="32">
        <v>259980</v>
      </c>
      <c r="I88" s="32">
        <v>57642.420000000006</v>
      </c>
      <c r="J88" s="50">
        <f t="shared" si="10"/>
        <v>1661049.1654108223</v>
      </c>
      <c r="K88" s="32">
        <v>17765</v>
      </c>
      <c r="L88" s="32">
        <v>4604</v>
      </c>
      <c r="M88" s="32"/>
      <c r="N88" s="32">
        <f t="shared" si="11"/>
        <v>22369</v>
      </c>
      <c r="O88" s="32">
        <v>0</v>
      </c>
      <c r="P88" s="32">
        <f t="shared" si="12"/>
        <v>1673198.1784281037</v>
      </c>
      <c r="Q88" s="31"/>
    </row>
    <row r="89" spans="1:17">
      <c r="A89" s="31" t="s">
        <v>401</v>
      </c>
      <c r="B89" s="31">
        <v>10142</v>
      </c>
      <c r="C89" s="32">
        <v>-997.1350000000001</v>
      </c>
      <c r="D89" s="32">
        <v>-1955.1666666666667</v>
      </c>
      <c r="E89" s="32">
        <v>-41878.300645943134</v>
      </c>
      <c r="F89" s="32">
        <f t="shared" si="9"/>
        <v>-44830.602312609801</v>
      </c>
      <c r="G89" s="32">
        <v>5649300.4163142424</v>
      </c>
      <c r="H89" s="32">
        <v>786954.66666666663</v>
      </c>
      <c r="I89" s="32">
        <v>137158.17000000001</v>
      </c>
      <c r="J89" s="50">
        <f t="shared" si="10"/>
        <v>6573413.2529809093</v>
      </c>
      <c r="K89" s="32">
        <v>227635</v>
      </c>
      <c r="L89" s="32">
        <v>8847</v>
      </c>
      <c r="M89" s="32">
        <v>9680</v>
      </c>
      <c r="N89" s="32">
        <f t="shared" si="11"/>
        <v>246162</v>
      </c>
      <c r="O89" s="32">
        <v>0</v>
      </c>
      <c r="P89" s="32">
        <f t="shared" si="12"/>
        <v>6774744.6506682998</v>
      </c>
      <c r="Q89" s="31"/>
    </row>
    <row r="90" spans="1:17">
      <c r="A90" s="41" t="s">
        <v>301</v>
      </c>
      <c r="B90" s="31">
        <v>10148</v>
      </c>
      <c r="C90" s="32">
        <v>-486.54</v>
      </c>
      <c r="D90" s="32">
        <v>-954</v>
      </c>
      <c r="E90" s="32">
        <v>-18867.370433244134</v>
      </c>
      <c r="F90" s="32">
        <f t="shared" si="9"/>
        <v>-20307.910433244135</v>
      </c>
      <c r="G90" s="32">
        <v>2791235.1533269105</v>
      </c>
      <c r="H90" s="32">
        <v>1069476.6666666667</v>
      </c>
      <c r="I90" s="32">
        <v>0</v>
      </c>
      <c r="J90" s="50">
        <f t="shared" si="10"/>
        <v>3860711.819993577</v>
      </c>
      <c r="K90" s="32">
        <v>35960</v>
      </c>
      <c r="L90" s="32">
        <v>78792</v>
      </c>
      <c r="M90" s="32">
        <v>2200</v>
      </c>
      <c r="N90" s="32">
        <f t="shared" si="11"/>
        <v>116952</v>
      </c>
      <c r="O90" s="32">
        <v>0</v>
      </c>
      <c r="P90" s="32">
        <f t="shared" si="12"/>
        <v>3957355.909560333</v>
      </c>
      <c r="Q90" s="31"/>
    </row>
    <row r="91" spans="1:17">
      <c r="A91" s="31" t="s">
        <v>487</v>
      </c>
      <c r="B91" s="31">
        <v>10159</v>
      </c>
      <c r="C91" s="32"/>
      <c r="D91" s="32"/>
      <c r="E91" s="32"/>
      <c r="F91" s="32">
        <f t="shared" si="9"/>
        <v>0</v>
      </c>
      <c r="G91" s="32">
        <v>517104.74</v>
      </c>
      <c r="H91" s="32">
        <v>302793.31999999995</v>
      </c>
      <c r="I91" s="32">
        <v>1798855.75</v>
      </c>
      <c r="J91" s="32">
        <f t="shared" si="10"/>
        <v>2618753.81</v>
      </c>
      <c r="K91" s="32">
        <v>23375</v>
      </c>
      <c r="L91" s="32">
        <v>6000</v>
      </c>
      <c r="M91" s="32">
        <v>2640</v>
      </c>
      <c r="N91" s="32">
        <f t="shared" si="11"/>
        <v>32015</v>
      </c>
      <c r="O91" s="32">
        <v>6598.75</v>
      </c>
      <c r="P91" s="32">
        <f t="shared" si="12"/>
        <v>2657367.56</v>
      </c>
      <c r="Q91" s="31"/>
    </row>
    <row r="92" spans="1:17">
      <c r="A92" s="31" t="s">
        <v>488</v>
      </c>
      <c r="B92" s="31">
        <v>10157</v>
      </c>
      <c r="C92" s="32"/>
      <c r="D92" s="32"/>
      <c r="E92" s="32"/>
      <c r="F92" s="32">
        <f t="shared" si="9"/>
        <v>0</v>
      </c>
      <c r="G92" s="32">
        <v>1199064.6000000003</v>
      </c>
      <c r="H92" s="32"/>
      <c r="I92" s="32">
        <v>1335598.1000000003</v>
      </c>
      <c r="J92" s="32">
        <f t="shared" si="10"/>
        <v>2534662.7000000007</v>
      </c>
      <c r="K92" s="32">
        <v>72260</v>
      </c>
      <c r="L92" s="32"/>
      <c r="M92" s="32">
        <v>28564</v>
      </c>
      <c r="N92" s="32">
        <f t="shared" si="11"/>
        <v>100824</v>
      </c>
      <c r="O92" s="32">
        <v>7712.5</v>
      </c>
      <c r="P92" s="32">
        <f t="shared" si="12"/>
        <v>2643199.2000000007</v>
      </c>
      <c r="Q92" s="31"/>
    </row>
    <row r="93" spans="1:17">
      <c r="A93" s="31" t="s">
        <v>489</v>
      </c>
      <c r="B93" s="31">
        <v>10158</v>
      </c>
      <c r="C93" s="32"/>
      <c r="D93" s="32"/>
      <c r="E93" s="32"/>
      <c r="F93" s="32">
        <f t="shared" si="9"/>
        <v>0</v>
      </c>
      <c r="G93" s="32">
        <v>1454533.08</v>
      </c>
      <c r="H93" s="32"/>
      <c r="I93" s="32">
        <v>1776491.956666667</v>
      </c>
      <c r="J93" s="32">
        <f t="shared" si="10"/>
        <v>3231025.0366666671</v>
      </c>
      <c r="K93" s="32">
        <v>53460</v>
      </c>
      <c r="L93" s="32"/>
      <c r="M93" s="32">
        <v>25716</v>
      </c>
      <c r="N93" s="32">
        <f t="shared" si="11"/>
        <v>79176</v>
      </c>
      <c r="O93" s="32">
        <v>7597.75</v>
      </c>
      <c r="P93" s="32">
        <f t="shared" si="12"/>
        <v>3317798.7866666671</v>
      </c>
      <c r="Q93" s="31"/>
    </row>
    <row r="94" spans="1:17">
      <c r="A94" s="31" t="s">
        <v>329</v>
      </c>
      <c r="B94" s="31">
        <v>10185</v>
      </c>
      <c r="C94" s="32"/>
      <c r="D94" s="32"/>
      <c r="E94" s="32"/>
      <c r="F94" s="32">
        <f t="shared" si="9"/>
        <v>0</v>
      </c>
      <c r="G94" s="32">
        <v>425334.2</v>
      </c>
      <c r="H94" s="32"/>
      <c r="I94" s="32">
        <v>28901.5</v>
      </c>
      <c r="J94" s="32">
        <f t="shared" si="10"/>
        <v>454235.7</v>
      </c>
      <c r="K94" s="32">
        <v>9780</v>
      </c>
      <c r="L94" s="32"/>
      <c r="M94" s="32"/>
      <c r="N94" s="32">
        <f t="shared" si="11"/>
        <v>9780</v>
      </c>
      <c r="O94" s="32">
        <v>4337.5</v>
      </c>
      <c r="P94" s="32">
        <f t="shared" si="12"/>
        <v>468353.2</v>
      </c>
      <c r="Q94" s="31"/>
    </row>
    <row r="95" spans="1:17">
      <c r="A95" s="31" t="s">
        <v>409</v>
      </c>
      <c r="B95" s="31">
        <v>10188</v>
      </c>
      <c r="C95" s="32"/>
      <c r="D95" s="32"/>
      <c r="E95" s="32"/>
      <c r="F95" s="32">
        <f t="shared" si="9"/>
        <v>0</v>
      </c>
      <c r="G95" s="32">
        <v>1591509.19</v>
      </c>
      <c r="H95" s="32"/>
      <c r="I95" s="32">
        <v>986214.30666666676</v>
      </c>
      <c r="J95" s="32">
        <f t="shared" si="10"/>
        <v>2577723.4966666666</v>
      </c>
      <c r="K95" s="32">
        <v>42762.5</v>
      </c>
      <c r="L95" s="32">
        <v>268</v>
      </c>
      <c r="M95" s="32">
        <v>7520</v>
      </c>
      <c r="N95" s="32">
        <f t="shared" si="11"/>
        <v>50550.5</v>
      </c>
      <c r="O95" s="32">
        <v>6531.25</v>
      </c>
      <c r="P95" s="32">
        <f t="shared" si="12"/>
        <v>2634805.2466666666</v>
      </c>
      <c r="Q95" s="31"/>
    </row>
    <row r="96" spans="1:17" ht="14.4">
      <c r="A96" s="31" t="s">
        <v>342</v>
      </c>
      <c r="B96" s="31"/>
      <c r="C96" s="36">
        <f t="shared" ref="C96:I96" si="13">SUM(C10:C95)</f>
        <v>-46577.34666666665</v>
      </c>
      <c r="D96" s="36">
        <f t="shared" si="13"/>
        <v>-60046.666666666664</v>
      </c>
      <c r="E96" s="36">
        <f t="shared" si="13"/>
        <v>-1440920.217003685</v>
      </c>
      <c r="F96" s="36">
        <f t="shared" si="13"/>
        <v>-1547544.2303370184</v>
      </c>
      <c r="G96" s="36">
        <f t="shared" si="13"/>
        <v>158237633.60906374</v>
      </c>
      <c r="H96" s="36">
        <f t="shared" si="13"/>
        <v>5488237.9866666673</v>
      </c>
      <c r="I96" s="36">
        <f t="shared" si="13"/>
        <v>13603664.648333333</v>
      </c>
      <c r="J96" s="36">
        <f>SUM(J7:J95)</f>
        <v>180841797.73446804</v>
      </c>
      <c r="K96" s="36">
        <f t="shared" ref="K96:P96" si="14">SUM(K10:K95)</f>
        <v>9182767.5</v>
      </c>
      <c r="L96" s="36">
        <f t="shared" si="14"/>
        <v>162879</v>
      </c>
      <c r="M96" s="36">
        <f t="shared" si="14"/>
        <v>5158895</v>
      </c>
      <c r="N96" s="36">
        <f t="shared" si="14"/>
        <v>14504541.5</v>
      </c>
      <c r="O96" s="36">
        <f t="shared" si="14"/>
        <v>407560.58</v>
      </c>
      <c r="P96" s="36">
        <f t="shared" si="14"/>
        <v>190694094.09372672</v>
      </c>
      <c r="Q96" s="31"/>
    </row>
    <row r="97" spans="1:17">
      <c r="A97" s="31"/>
      <c r="B97" s="31"/>
      <c r="C97" s="32"/>
      <c r="D97" s="32"/>
      <c r="E97" s="32"/>
      <c r="F97" s="32"/>
      <c r="G97" s="32"/>
      <c r="H97" s="32"/>
      <c r="I97" s="32"/>
      <c r="J97" s="32"/>
      <c r="K97" s="32"/>
      <c r="L97" s="32"/>
      <c r="M97" s="32"/>
      <c r="N97" s="32"/>
      <c r="O97" s="32"/>
      <c r="P97" s="32"/>
      <c r="Q97" s="31"/>
    </row>
    <row r="98" spans="1:17">
      <c r="A98" s="31"/>
      <c r="B98" s="31"/>
      <c r="C98" s="32"/>
      <c r="D98" s="32"/>
      <c r="E98" s="32"/>
      <c r="F98" s="32"/>
      <c r="G98" s="32"/>
      <c r="H98" s="32"/>
      <c r="I98" s="32"/>
      <c r="J98" s="32"/>
      <c r="K98" s="32"/>
      <c r="L98" s="32"/>
      <c r="M98" s="32"/>
      <c r="N98" s="32"/>
      <c r="O98" s="32"/>
      <c r="P98" s="32"/>
      <c r="Q98" s="31"/>
    </row>
    <row r="99" spans="1:17">
      <c r="A99" s="31"/>
      <c r="B99" s="31"/>
      <c r="C99" s="32"/>
      <c r="D99" s="32"/>
      <c r="E99" s="32"/>
      <c r="F99" s="32"/>
      <c r="G99" s="32"/>
      <c r="H99" s="32"/>
      <c r="I99" s="32"/>
      <c r="J99" s="32"/>
      <c r="K99" s="32"/>
      <c r="L99" s="32"/>
      <c r="M99" s="32"/>
      <c r="N99" s="32"/>
      <c r="O99" s="32"/>
      <c r="P99" s="32"/>
      <c r="Q99" s="31"/>
    </row>
    <row r="100" spans="1:17">
      <c r="A100" s="31"/>
      <c r="B100" s="31"/>
      <c r="C100" s="32"/>
      <c r="D100" s="32"/>
      <c r="E100" s="32"/>
      <c r="F100" s="32"/>
      <c r="G100" s="32"/>
      <c r="H100" s="32"/>
      <c r="I100" s="32"/>
      <c r="J100" s="32"/>
      <c r="K100" s="32"/>
      <c r="L100" s="32"/>
      <c r="M100" s="32"/>
      <c r="N100" s="32"/>
      <c r="O100" s="32"/>
      <c r="P100" s="32"/>
      <c r="Q100" s="31"/>
    </row>
    <row r="101" spans="1:17">
      <c r="A101" s="31"/>
      <c r="B101" s="31"/>
      <c r="C101" s="32"/>
      <c r="D101" s="32"/>
      <c r="E101" s="32"/>
      <c r="F101" s="32"/>
      <c r="G101" s="32"/>
      <c r="H101" s="32"/>
      <c r="I101" s="32"/>
      <c r="J101" s="32"/>
      <c r="K101" s="32"/>
      <c r="L101" s="32"/>
      <c r="M101" s="32"/>
      <c r="N101" s="32"/>
      <c r="O101" s="32"/>
      <c r="P101" s="32"/>
      <c r="Q101" s="31"/>
    </row>
  </sheetData>
  <autoFilter ref="A3:Q96" xr:uid="{00000000-0009-0000-0000-000006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34"/>
  </sheetPr>
  <dimension ref="A1:HT107"/>
  <sheetViews>
    <sheetView zoomScaleNormal="100" workbookViewId="0">
      <pane xSplit="3" ySplit="3" topLeftCell="D4" activePane="bottomRight" state="frozen"/>
      <selection activeCell="A57" sqref="A57:IV57"/>
      <selection pane="topRight" activeCell="A57" sqref="A57:IV57"/>
      <selection pane="bottomLeft" activeCell="A57" sqref="A57:IV57"/>
      <selection pane="bottomRight" sqref="A1:XFD1"/>
    </sheetView>
  </sheetViews>
  <sheetFormatPr defaultRowHeight="15"/>
  <cols>
    <col min="1" max="1" width="6.6640625" bestFit="1" customWidth="1"/>
    <col min="2" max="2" width="6.6640625" style="6" customWidth="1"/>
    <col min="3" max="3" width="28" customWidth="1"/>
    <col min="4" max="4" width="18.5546875" customWidth="1"/>
    <col min="5" max="5" width="13.33203125" customWidth="1"/>
    <col min="6" max="6" width="14.109375" customWidth="1"/>
    <col min="7" max="7" width="8.6640625" customWidth="1"/>
    <col min="8" max="8" width="10" bestFit="1" customWidth="1"/>
    <col min="9" max="13" width="16.44140625" customWidth="1"/>
    <col min="14" max="15" width="14.44140625" customWidth="1"/>
    <col min="16" max="21" width="16.44140625" customWidth="1"/>
    <col min="22" max="22" width="19" customWidth="1"/>
    <col min="23" max="23" width="17.109375" customWidth="1"/>
    <col min="24" max="24" width="17.5546875" customWidth="1"/>
    <col min="25" max="25" width="18.109375" customWidth="1"/>
    <col min="26" max="26" width="17.44140625" customWidth="1"/>
    <col min="27" max="27" width="14.88671875" customWidth="1"/>
    <col min="28" max="28" width="17.88671875" customWidth="1"/>
    <col min="29" max="29" width="17.5546875" customWidth="1"/>
    <col min="30" max="30" width="17" customWidth="1"/>
    <col min="31" max="31" width="16.44140625" customWidth="1"/>
    <col min="32" max="32" width="14.6640625" customWidth="1"/>
    <col min="33" max="33" width="16.33203125" customWidth="1"/>
    <col min="34" max="34" width="15.44140625" customWidth="1"/>
    <col min="35" max="35" width="16.44140625" customWidth="1"/>
    <col min="36" max="36" width="14.33203125" customWidth="1"/>
    <col min="37" max="38" width="16.44140625" customWidth="1"/>
    <col min="39" max="39" width="15.5546875" customWidth="1"/>
    <col min="40" max="44" width="16.44140625" customWidth="1"/>
    <col min="45" max="45" width="14.88671875" customWidth="1"/>
    <col min="46" max="46" width="16.109375" customWidth="1"/>
    <col min="47" max="49" width="16.44140625" customWidth="1"/>
    <col min="50" max="51" width="14.33203125" customWidth="1"/>
    <col min="52" max="54" width="16.44140625" customWidth="1"/>
    <col min="55" max="56" width="20.33203125" bestFit="1" customWidth="1"/>
    <col min="57" max="57" width="18.33203125" customWidth="1"/>
    <col min="58" max="58" width="17.6640625" customWidth="1"/>
    <col min="59" max="59" width="19.109375" customWidth="1"/>
    <col min="60" max="60" width="14.6640625" customWidth="1"/>
    <col min="61" max="61" width="17.44140625" style="26" customWidth="1"/>
    <col min="62" max="62" width="4.109375" customWidth="1"/>
    <col min="63" max="63" width="13.33203125" style="7" customWidth="1"/>
    <col min="64" max="64" width="15.33203125" style="7" bestFit="1" customWidth="1"/>
    <col min="65" max="66" width="13.33203125" style="48" customWidth="1"/>
    <col min="67" max="68" width="14.33203125" style="7" customWidth="1"/>
    <col min="69" max="70" width="14.33203125" style="48" customWidth="1"/>
    <col min="71" max="72" width="14.33203125" style="7" customWidth="1"/>
    <col min="73" max="74" width="14.33203125" style="48" customWidth="1"/>
    <col min="75" max="75" width="16.44140625" style="7" bestFit="1" customWidth="1"/>
    <col min="76" max="76" width="16.88671875" style="7" bestFit="1" customWidth="1"/>
    <col min="77" max="77" width="20.109375" style="48" customWidth="1"/>
    <col min="78" max="78" width="16.44140625" style="46" customWidth="1"/>
    <col min="79" max="79" width="12.5546875" style="49" customWidth="1"/>
    <col min="80" max="80" width="11.44140625" style="44" bestFit="1" customWidth="1"/>
    <col min="81" max="81" width="12.5546875" style="48" customWidth="1"/>
    <col min="82" max="82" width="11.6640625" style="46" customWidth="1"/>
    <col min="83" max="83" width="12.33203125" style="49" bestFit="1" customWidth="1"/>
    <col min="84" max="84" width="10.5546875" style="49" bestFit="1" customWidth="1"/>
    <col min="85" max="85" width="13.44140625" style="49" customWidth="1"/>
    <col min="86" max="86" width="13.88671875" style="43" customWidth="1"/>
    <col min="87" max="87" width="12.33203125" style="48" bestFit="1" customWidth="1"/>
    <col min="88" max="88" width="10.5546875" style="48" bestFit="1" customWidth="1"/>
    <col min="89" max="89" width="12.88671875" style="48" customWidth="1"/>
    <col min="90" max="90" width="12" style="45" customWidth="1"/>
    <col min="91" max="91" width="12.33203125" style="49" bestFit="1" customWidth="1"/>
    <col min="92" max="92" width="10.5546875" style="49" bestFit="1" customWidth="1"/>
    <col min="93" max="93" width="13.44140625" style="49" customWidth="1"/>
    <col min="94" max="94" width="11.44140625" style="43" bestFit="1" customWidth="1"/>
    <col min="95" max="95" width="12.33203125" style="48" bestFit="1" customWidth="1"/>
    <col min="96" max="96" width="9.109375" style="48"/>
    <col min="97" max="97" width="13.109375" style="48" customWidth="1"/>
    <col min="98" max="98" width="11.88671875" style="45" bestFit="1" customWidth="1"/>
    <col min="99" max="99" width="12.33203125" style="49" bestFit="1" customWidth="1"/>
    <col min="100" max="100" width="11.5546875" style="49" bestFit="1" customWidth="1"/>
    <col min="101" max="101" width="13.5546875" style="49" customWidth="1"/>
    <col min="102" max="102" width="12.5546875" style="43" customWidth="1"/>
    <col min="103" max="103" width="12.33203125" style="45" bestFit="1" customWidth="1"/>
    <col min="104" max="104" width="13" style="45" customWidth="1"/>
    <col min="105" max="105" width="15.6640625" style="45" customWidth="1"/>
    <col min="106" max="106" width="14.109375" style="43" customWidth="1"/>
    <col min="107" max="107" width="9.109375" style="44"/>
    <col min="108" max="108" width="12.33203125" style="45" bestFit="1" customWidth="1"/>
    <col min="109" max="109" width="13.109375" style="45" customWidth="1"/>
    <col min="110" max="110" width="9.5546875" style="46" bestFit="1" customWidth="1"/>
    <col min="111" max="111" width="12.33203125" style="43" bestFit="1" customWidth="1"/>
    <col min="112" max="113" width="13" style="43" customWidth="1"/>
    <col min="114" max="115" width="9.109375" style="45"/>
    <col min="116" max="116" width="13.109375" style="45" customWidth="1"/>
    <col min="117" max="117" width="13.109375" style="46" customWidth="1"/>
    <col min="118" max="118" width="9.109375" style="43"/>
    <col min="119" max="119" width="13.109375" style="43" customWidth="1"/>
    <col min="120" max="120" width="11.5546875" style="44" bestFit="1" customWidth="1"/>
    <col min="121" max="121" width="9.109375" style="45"/>
    <col min="122" max="122" width="13.109375" style="45" customWidth="1"/>
    <col min="123" max="123" width="11.5546875" style="46" bestFit="1" customWidth="1"/>
    <col min="124" max="124" width="13.5546875" style="43" customWidth="1"/>
    <col min="125" max="125" width="13.109375" style="44" bestFit="1" customWidth="1"/>
    <col min="126" max="126" width="13.5546875" style="209" customWidth="1"/>
    <col min="127" max="127" width="13.109375" style="210" bestFit="1" customWidth="1"/>
    <col min="128" max="128" width="11.109375" style="45" customWidth="1"/>
    <col min="129" max="129" width="13.6640625" style="45" customWidth="1"/>
    <col min="130" max="130" width="12.5546875" style="45" customWidth="1"/>
    <col min="131" max="131" width="11.88671875" style="45" customWidth="1"/>
    <col min="132" max="132" width="22" style="47" customWidth="1"/>
    <col min="133" max="134" width="16.44140625" customWidth="1"/>
  </cols>
  <sheetData>
    <row r="1" spans="1:228" s="6" customFormat="1" ht="13.8" hidden="1" thickBot="1">
      <c r="A1" s="6">
        <v>1</v>
      </c>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v>38</v>
      </c>
      <c r="AM1" s="6">
        <v>39</v>
      </c>
      <c r="AN1" s="6">
        <v>40</v>
      </c>
      <c r="AO1" s="6">
        <v>41</v>
      </c>
      <c r="AP1" s="6">
        <v>42</v>
      </c>
      <c r="AQ1" s="6">
        <v>43</v>
      </c>
      <c r="AR1" s="6">
        <v>44</v>
      </c>
      <c r="AS1" s="6">
        <v>45</v>
      </c>
      <c r="AT1" s="6">
        <v>46</v>
      </c>
      <c r="AU1" s="6">
        <v>47</v>
      </c>
      <c r="AV1" s="6">
        <v>48</v>
      </c>
      <c r="AW1" s="6">
        <v>49</v>
      </c>
      <c r="AX1" s="6">
        <v>50</v>
      </c>
      <c r="AY1" s="6">
        <v>51</v>
      </c>
      <c r="AZ1" s="6">
        <v>52</v>
      </c>
      <c r="BA1" s="6">
        <v>53</v>
      </c>
      <c r="BB1" s="6">
        <v>54</v>
      </c>
      <c r="BC1" s="6">
        <v>55</v>
      </c>
      <c r="BD1" s="6">
        <v>56</v>
      </c>
      <c r="BE1" s="6">
        <v>57</v>
      </c>
      <c r="BF1" s="6">
        <v>58</v>
      </c>
      <c r="BG1" s="6">
        <v>59</v>
      </c>
      <c r="BH1" s="6">
        <v>60</v>
      </c>
      <c r="BI1" s="6">
        <v>61</v>
      </c>
      <c r="BJ1" s="6">
        <v>62</v>
      </c>
      <c r="BK1" s="6">
        <v>63</v>
      </c>
      <c r="BL1" s="6">
        <v>64</v>
      </c>
      <c r="BM1" s="6">
        <v>65</v>
      </c>
      <c r="BN1" s="6">
        <v>66</v>
      </c>
      <c r="BO1" s="6">
        <v>67</v>
      </c>
      <c r="BP1" s="6">
        <v>68</v>
      </c>
      <c r="BQ1" s="6">
        <v>69</v>
      </c>
      <c r="BR1" s="6">
        <v>70</v>
      </c>
      <c r="BS1" s="6">
        <v>71</v>
      </c>
      <c r="BT1" s="6">
        <v>72</v>
      </c>
      <c r="BU1" s="6">
        <v>73</v>
      </c>
      <c r="BV1" s="6">
        <v>74</v>
      </c>
      <c r="BW1" s="6">
        <v>75</v>
      </c>
      <c r="BX1" s="6">
        <v>76</v>
      </c>
      <c r="BY1" s="6">
        <v>77</v>
      </c>
      <c r="BZ1" s="6">
        <v>78</v>
      </c>
      <c r="CA1" s="6">
        <v>79</v>
      </c>
      <c r="CB1" s="6">
        <v>80</v>
      </c>
      <c r="CC1" s="6">
        <v>81</v>
      </c>
      <c r="CD1" s="6">
        <v>82</v>
      </c>
      <c r="CE1" s="6">
        <v>83</v>
      </c>
      <c r="CF1" s="6">
        <v>84</v>
      </c>
      <c r="CG1" s="6">
        <v>85</v>
      </c>
      <c r="CH1" s="6">
        <v>86</v>
      </c>
      <c r="CI1" s="6">
        <v>87</v>
      </c>
      <c r="CJ1" s="6">
        <v>88</v>
      </c>
      <c r="CK1" s="6">
        <v>89</v>
      </c>
      <c r="CL1" s="6">
        <v>90</v>
      </c>
      <c r="CM1" s="6">
        <v>91</v>
      </c>
      <c r="CN1" s="6">
        <v>92</v>
      </c>
      <c r="CO1" s="6">
        <v>93</v>
      </c>
      <c r="CP1" s="6">
        <v>94</v>
      </c>
      <c r="CQ1" s="6">
        <v>95</v>
      </c>
      <c r="CR1" s="6">
        <v>96</v>
      </c>
      <c r="CS1" s="6">
        <v>97</v>
      </c>
      <c r="CT1" s="6">
        <v>98</v>
      </c>
      <c r="CU1" s="6">
        <v>99</v>
      </c>
      <c r="CV1" s="6">
        <v>100</v>
      </c>
      <c r="CW1" s="6">
        <v>101</v>
      </c>
      <c r="CX1" s="6">
        <v>102</v>
      </c>
      <c r="CY1" s="6">
        <v>103</v>
      </c>
      <c r="CZ1" s="6">
        <v>104</v>
      </c>
      <c r="DA1" s="6">
        <v>105</v>
      </c>
      <c r="DB1" s="6">
        <v>106</v>
      </c>
      <c r="DC1" s="6">
        <v>107</v>
      </c>
      <c r="DD1" s="6">
        <v>108</v>
      </c>
      <c r="DE1" s="6">
        <v>109</v>
      </c>
      <c r="DF1" s="6">
        <v>110</v>
      </c>
      <c r="DG1" s="6">
        <v>111</v>
      </c>
      <c r="DH1" s="6">
        <v>112</v>
      </c>
      <c r="DI1" s="6">
        <v>113</v>
      </c>
      <c r="DJ1" s="6">
        <v>114</v>
      </c>
      <c r="DK1" s="6">
        <v>115</v>
      </c>
      <c r="DL1" s="6">
        <v>116</v>
      </c>
      <c r="DM1" s="6">
        <v>117</v>
      </c>
      <c r="DN1" s="6">
        <v>118</v>
      </c>
      <c r="DO1" s="6">
        <v>119</v>
      </c>
      <c r="DP1" s="6">
        <v>120</v>
      </c>
      <c r="DQ1" s="6">
        <v>121</v>
      </c>
      <c r="DR1" s="6">
        <v>122</v>
      </c>
      <c r="DS1" s="6">
        <v>123</v>
      </c>
      <c r="DT1" s="6">
        <v>124</v>
      </c>
      <c r="DU1" s="6">
        <v>125</v>
      </c>
      <c r="DV1" s="6">
        <v>126</v>
      </c>
      <c r="DW1" s="6">
        <v>127</v>
      </c>
      <c r="DX1" s="6">
        <v>128</v>
      </c>
      <c r="DY1" s="6">
        <v>129</v>
      </c>
      <c r="DZ1" s="6">
        <v>130</v>
      </c>
      <c r="EA1" s="6">
        <v>131</v>
      </c>
      <c r="EB1" s="6">
        <v>132</v>
      </c>
      <c r="EC1" s="6">
        <v>135</v>
      </c>
      <c r="ED1" s="6">
        <v>136</v>
      </c>
      <c r="EE1" s="6">
        <v>137</v>
      </c>
      <c r="EF1" s="6">
        <v>138</v>
      </c>
    </row>
    <row r="2" spans="1:228" ht="39" customHeight="1" thickBot="1">
      <c r="A2" s="266" t="s">
        <v>890</v>
      </c>
      <c r="B2" s="266"/>
      <c r="C2" s="267"/>
      <c r="U2" t="s">
        <v>335</v>
      </c>
      <c r="BC2" s="482" t="s">
        <v>250</v>
      </c>
      <c r="BD2" s="482" t="s">
        <v>251</v>
      </c>
      <c r="BF2" s="482" t="s">
        <v>435</v>
      </c>
      <c r="BG2" s="482" t="s">
        <v>435</v>
      </c>
      <c r="BK2" s="636" t="s">
        <v>134</v>
      </c>
      <c r="BL2" s="637"/>
      <c r="BM2" s="633" t="s">
        <v>135</v>
      </c>
      <c r="BN2" s="635"/>
      <c r="BO2" s="636" t="s">
        <v>136</v>
      </c>
      <c r="BP2" s="637"/>
      <c r="BQ2" s="633" t="s">
        <v>137</v>
      </c>
      <c r="BR2" s="635"/>
      <c r="BS2" s="636" t="s">
        <v>339</v>
      </c>
      <c r="BT2" s="637"/>
      <c r="BU2" s="633" t="s">
        <v>254</v>
      </c>
      <c r="BV2" s="635"/>
      <c r="BW2" s="636" t="s">
        <v>139</v>
      </c>
      <c r="BX2" s="637"/>
      <c r="BY2" s="638" t="s">
        <v>491</v>
      </c>
      <c r="BZ2" s="639"/>
      <c r="CA2" s="643" t="s">
        <v>255</v>
      </c>
      <c r="CB2" s="644"/>
      <c r="CC2" s="638" t="s">
        <v>130</v>
      </c>
      <c r="CD2" s="639"/>
      <c r="CE2" s="640" t="s">
        <v>316</v>
      </c>
      <c r="CF2" s="641"/>
      <c r="CG2" s="641"/>
      <c r="CH2" s="642"/>
      <c r="CI2" s="633" t="s">
        <v>492</v>
      </c>
      <c r="CJ2" s="634"/>
      <c r="CK2" s="634"/>
      <c r="CL2" s="635"/>
      <c r="CM2" s="640" t="s">
        <v>493</v>
      </c>
      <c r="CN2" s="641"/>
      <c r="CO2" s="641"/>
      <c r="CP2" s="642"/>
      <c r="CQ2" s="633" t="s">
        <v>494</v>
      </c>
      <c r="CR2" s="634"/>
      <c r="CS2" s="634"/>
      <c r="CT2" s="635"/>
      <c r="CU2" s="640" t="s">
        <v>19</v>
      </c>
      <c r="CV2" s="641"/>
      <c r="CW2" s="641"/>
      <c r="CX2" s="642"/>
      <c r="CY2" s="638" t="s">
        <v>495</v>
      </c>
      <c r="CZ2" s="645"/>
      <c r="DA2" s="639"/>
      <c r="DB2" s="640" t="s">
        <v>496</v>
      </c>
      <c r="DC2" s="642"/>
      <c r="DD2" s="633" t="s">
        <v>497</v>
      </c>
      <c r="DE2" s="634"/>
      <c r="DF2" s="635"/>
      <c r="DG2" s="640" t="s">
        <v>498</v>
      </c>
      <c r="DH2" s="641"/>
      <c r="DI2" s="642"/>
      <c r="DJ2" s="633" t="s">
        <v>499</v>
      </c>
      <c r="DK2" s="634"/>
      <c r="DL2" s="634"/>
      <c r="DM2" s="635"/>
      <c r="DN2" s="640" t="s">
        <v>500</v>
      </c>
      <c r="DO2" s="641"/>
      <c r="DP2" s="642"/>
      <c r="DQ2" s="638" t="s">
        <v>501</v>
      </c>
      <c r="DR2" s="645"/>
      <c r="DS2" s="639"/>
      <c r="DT2" s="640" t="s">
        <v>502</v>
      </c>
      <c r="DU2" s="642"/>
      <c r="DV2" s="633" t="s">
        <v>689</v>
      </c>
      <c r="DW2" s="635"/>
      <c r="DX2" s="633" t="s">
        <v>131</v>
      </c>
      <c r="DY2" s="634"/>
      <c r="DZ2" s="634"/>
      <c r="EA2" s="635"/>
      <c r="EB2" s="268"/>
    </row>
    <row r="3" spans="1:228" ht="66.599999999999994" thickBot="1">
      <c r="A3" s="477" t="s">
        <v>410</v>
      </c>
      <c r="B3" s="477" t="s">
        <v>132</v>
      </c>
      <c r="C3" s="477" t="s">
        <v>133</v>
      </c>
      <c r="D3" s="478" t="s">
        <v>134</v>
      </c>
      <c r="E3" s="477" t="s">
        <v>135</v>
      </c>
      <c r="F3" s="478" t="s">
        <v>136</v>
      </c>
      <c r="G3" s="478" t="s">
        <v>137</v>
      </c>
      <c r="H3" s="478" t="s">
        <v>339</v>
      </c>
      <c r="I3" s="478" t="s">
        <v>138</v>
      </c>
      <c r="J3" s="478" t="s">
        <v>139</v>
      </c>
      <c r="K3" s="478" t="s">
        <v>473</v>
      </c>
      <c r="L3" s="478" t="s">
        <v>472</v>
      </c>
      <c r="M3" s="478" t="s">
        <v>140</v>
      </c>
      <c r="N3" s="478" t="s">
        <v>141</v>
      </c>
      <c r="O3" s="478" t="s">
        <v>142</v>
      </c>
      <c r="P3" s="478" t="s">
        <v>143</v>
      </c>
      <c r="Q3" s="478" t="s">
        <v>144</v>
      </c>
      <c r="R3" s="478" t="s">
        <v>145</v>
      </c>
      <c r="S3" s="478" t="s">
        <v>146</v>
      </c>
      <c r="T3" s="478" t="s">
        <v>147</v>
      </c>
      <c r="U3" s="478" t="s">
        <v>516</v>
      </c>
      <c r="V3" s="478" t="s">
        <v>148</v>
      </c>
      <c r="W3" s="478" t="s">
        <v>149</v>
      </c>
      <c r="X3" s="478" t="s">
        <v>150</v>
      </c>
      <c r="Y3" s="478" t="s">
        <v>151</v>
      </c>
      <c r="Z3" s="478" t="s">
        <v>152</v>
      </c>
      <c r="AA3" s="477" t="s">
        <v>153</v>
      </c>
      <c r="AB3" s="477" t="s">
        <v>154</v>
      </c>
      <c r="AC3" s="478" t="s">
        <v>155</v>
      </c>
      <c r="AD3" s="478" t="s">
        <v>156</v>
      </c>
      <c r="AE3" s="478" t="s">
        <v>157</v>
      </c>
      <c r="AF3" s="478" t="s">
        <v>158</v>
      </c>
      <c r="AG3" s="478" t="s">
        <v>159</v>
      </c>
      <c r="AH3" s="478" t="s">
        <v>160</v>
      </c>
      <c r="AI3" s="478" t="s">
        <v>161</v>
      </c>
      <c r="AJ3" s="478" t="s">
        <v>21</v>
      </c>
      <c r="AK3" s="478" t="s">
        <v>162</v>
      </c>
      <c r="AL3" s="478" t="s">
        <v>163</v>
      </c>
      <c r="AM3" s="478" t="s">
        <v>164</v>
      </c>
      <c r="AN3" s="478" t="s">
        <v>165</v>
      </c>
      <c r="AO3" s="478" t="s">
        <v>166</v>
      </c>
      <c r="AP3" s="478" t="s">
        <v>167</v>
      </c>
      <c r="AQ3" s="477" t="s">
        <v>168</v>
      </c>
      <c r="AR3" s="478" t="s">
        <v>169</v>
      </c>
      <c r="AS3" s="478" t="s">
        <v>170</v>
      </c>
      <c r="AT3" s="478" t="s">
        <v>171</v>
      </c>
      <c r="AU3" s="478" t="s">
        <v>172</v>
      </c>
      <c r="AV3" s="478" t="s">
        <v>173</v>
      </c>
      <c r="AW3" s="478" t="s">
        <v>444</v>
      </c>
      <c r="AX3" s="478" t="s">
        <v>445</v>
      </c>
      <c r="AY3" s="478" t="s">
        <v>174</v>
      </c>
      <c r="AZ3" s="478" t="s">
        <v>175</v>
      </c>
      <c r="BA3" s="478" t="s">
        <v>176</v>
      </c>
      <c r="BB3" s="478" t="s">
        <v>177</v>
      </c>
      <c r="BC3" s="483" t="s">
        <v>178</v>
      </c>
      <c r="BD3" s="483" t="s">
        <v>179</v>
      </c>
      <c r="BE3" s="483" t="s">
        <v>180</v>
      </c>
      <c r="BF3" s="483" t="s">
        <v>866</v>
      </c>
      <c r="BG3" s="483" t="s">
        <v>888</v>
      </c>
      <c r="BH3" s="463" t="s">
        <v>865</v>
      </c>
      <c r="BI3" s="479" t="s">
        <v>889</v>
      </c>
      <c r="BK3" s="269" t="s">
        <v>9</v>
      </c>
      <c r="BL3" s="270" t="s">
        <v>181</v>
      </c>
      <c r="BM3" s="271" t="s">
        <v>9</v>
      </c>
      <c r="BN3" s="272" t="s">
        <v>181</v>
      </c>
      <c r="BO3" s="269" t="s">
        <v>9</v>
      </c>
      <c r="BP3" s="270" t="s">
        <v>181</v>
      </c>
      <c r="BQ3" s="271" t="s">
        <v>9</v>
      </c>
      <c r="BR3" s="272" t="s">
        <v>181</v>
      </c>
      <c r="BS3" s="269" t="s">
        <v>9</v>
      </c>
      <c r="BT3" s="270" t="s">
        <v>181</v>
      </c>
      <c r="BU3" s="271" t="s">
        <v>9</v>
      </c>
      <c r="BV3" s="272" t="s">
        <v>181</v>
      </c>
      <c r="BW3" s="269" t="s">
        <v>9</v>
      </c>
      <c r="BX3" s="270" t="s">
        <v>181</v>
      </c>
      <c r="BY3" s="271" t="s">
        <v>9</v>
      </c>
      <c r="BZ3" s="273" t="s">
        <v>181</v>
      </c>
      <c r="CA3" s="274" t="s">
        <v>9</v>
      </c>
      <c r="CB3" s="275" t="s">
        <v>181</v>
      </c>
      <c r="CC3" s="271" t="s">
        <v>9</v>
      </c>
      <c r="CD3" s="272" t="s">
        <v>181</v>
      </c>
      <c r="CE3" s="276" t="s">
        <v>13</v>
      </c>
      <c r="CF3" s="277" t="s">
        <v>9</v>
      </c>
      <c r="CG3" s="277" t="s">
        <v>182</v>
      </c>
      <c r="CH3" s="278" t="s">
        <v>183</v>
      </c>
      <c r="CI3" s="271" t="s">
        <v>13</v>
      </c>
      <c r="CJ3" s="279" t="s">
        <v>9</v>
      </c>
      <c r="CK3" s="279" t="s">
        <v>182</v>
      </c>
      <c r="CL3" s="280" t="s">
        <v>183</v>
      </c>
      <c r="CM3" s="274" t="s">
        <v>13</v>
      </c>
      <c r="CN3" s="277" t="s">
        <v>9</v>
      </c>
      <c r="CO3" s="277" t="s">
        <v>182</v>
      </c>
      <c r="CP3" s="278" t="s">
        <v>183</v>
      </c>
      <c r="CQ3" s="271" t="s">
        <v>13</v>
      </c>
      <c r="CR3" s="279" t="s">
        <v>9</v>
      </c>
      <c r="CS3" s="279" t="s">
        <v>182</v>
      </c>
      <c r="CT3" s="280" t="s">
        <v>183</v>
      </c>
      <c r="CU3" s="274" t="s">
        <v>13</v>
      </c>
      <c r="CV3" s="277" t="s">
        <v>184</v>
      </c>
      <c r="CW3" s="277" t="s">
        <v>182</v>
      </c>
      <c r="CX3" s="278" t="s">
        <v>185</v>
      </c>
      <c r="CY3" s="281" t="s">
        <v>13</v>
      </c>
      <c r="CZ3" s="282" t="s">
        <v>182</v>
      </c>
      <c r="DA3" s="280" t="s">
        <v>15</v>
      </c>
      <c r="DB3" s="283" t="s">
        <v>182</v>
      </c>
      <c r="DC3" s="275" t="s">
        <v>183</v>
      </c>
      <c r="DD3" s="281" t="s">
        <v>13</v>
      </c>
      <c r="DE3" s="282" t="s">
        <v>182</v>
      </c>
      <c r="DF3" s="272" t="s">
        <v>186</v>
      </c>
      <c r="DG3" s="283" t="s">
        <v>13</v>
      </c>
      <c r="DH3" s="284" t="s">
        <v>182</v>
      </c>
      <c r="DI3" s="278" t="s">
        <v>186</v>
      </c>
      <c r="DJ3" s="285" t="s">
        <v>13</v>
      </c>
      <c r="DK3" s="282" t="s">
        <v>9</v>
      </c>
      <c r="DL3" s="282" t="s">
        <v>182</v>
      </c>
      <c r="DM3" s="272" t="s">
        <v>187</v>
      </c>
      <c r="DN3" s="283" t="s">
        <v>13</v>
      </c>
      <c r="DO3" s="284" t="s">
        <v>182</v>
      </c>
      <c r="DP3" s="275" t="s">
        <v>186</v>
      </c>
      <c r="DQ3" s="281" t="s">
        <v>13</v>
      </c>
      <c r="DR3" s="282" t="s">
        <v>182</v>
      </c>
      <c r="DS3" s="272" t="s">
        <v>186</v>
      </c>
      <c r="DT3" s="283" t="s">
        <v>182</v>
      </c>
      <c r="DU3" s="275" t="s">
        <v>15</v>
      </c>
      <c r="DV3" s="281" t="s">
        <v>182</v>
      </c>
      <c r="DW3" s="272" t="s">
        <v>15</v>
      </c>
      <c r="DX3" s="281" t="s">
        <v>13</v>
      </c>
      <c r="DY3" s="282" t="s">
        <v>184</v>
      </c>
      <c r="DZ3" s="282" t="s">
        <v>182</v>
      </c>
      <c r="EA3" s="286" t="s">
        <v>252</v>
      </c>
      <c r="EB3" s="480" t="s">
        <v>892</v>
      </c>
      <c r="EC3" s="481" t="s">
        <v>518</v>
      </c>
      <c r="ED3" s="481" t="s">
        <v>517</v>
      </c>
    </row>
    <row r="4" spans="1:228">
      <c r="A4" s="211">
        <v>1001</v>
      </c>
      <c r="B4" s="287">
        <v>10131</v>
      </c>
      <c r="C4" s="288" t="s">
        <v>28</v>
      </c>
      <c r="D4" s="289">
        <f>IFERROR(_xlfn.XLOOKUP($A4,CFR20242025_BenchMarkDataReport!$B:$B,CFR20242025_BenchMarkDataReport!T:T),0)</f>
        <v>0</v>
      </c>
      <c r="E4" s="289">
        <f>IFERROR(_xlfn.XLOOKUP($A4,CFR20242025_BenchMarkDataReport!$B:$B,CFR20242025_BenchMarkDataReport!U:U),0)</f>
        <v>0</v>
      </c>
      <c r="F4" s="289">
        <f>IFERROR(_xlfn.XLOOKUP($A4,CFR20242025_BenchMarkDataReport!$B:$B,CFR20242025_BenchMarkDataReport!V:V),0)</f>
        <v>0</v>
      </c>
      <c r="G4" s="289">
        <f>IFERROR(_xlfn.XLOOKUP($A4,CFR20242025_BenchMarkDataReport!$B:$B,CFR20242025_BenchMarkDataReport!W:W),0)</f>
        <v>0</v>
      </c>
      <c r="H4" s="289">
        <f>IFERROR(_xlfn.XLOOKUP($A4,CFR20242025_BenchMarkDataReport!$B:$B,CFR20242025_BenchMarkDataReport!X:X),0)</f>
        <v>0</v>
      </c>
      <c r="I4" s="289">
        <f>IFERROR(_xlfn.XLOOKUP($A4,CFR20242025_BenchMarkDataReport!$B:$B,CFR20242025_BenchMarkDataReport!Y:Y),0)</f>
        <v>0</v>
      </c>
      <c r="J4" s="289">
        <f>IFERROR(_xlfn.XLOOKUP($A4,CFR20242025_BenchMarkDataReport!$B:$B,CFR20242025_BenchMarkDataReport!Z:Z),0)</f>
        <v>0</v>
      </c>
      <c r="K4" s="289">
        <f>IFERROR(_xlfn.XLOOKUP($A4,CFR20242025_BenchMarkDataReport!$B:$B,CFR20242025_BenchMarkDataReport!AA:AA),0)</f>
        <v>0</v>
      </c>
      <c r="L4" s="289">
        <f>IFERROR(_xlfn.XLOOKUP($A4,CFR20242025_BenchMarkDataReport!$B:$B,CFR20242025_BenchMarkDataReport!AB:AB),0)</f>
        <v>0</v>
      </c>
      <c r="M4" s="289">
        <f>IFERROR(_xlfn.XLOOKUP($A4,CFR20242025_BenchMarkDataReport!$B:$B,CFR20242025_BenchMarkDataReport!AC:AC),0)</f>
        <v>0</v>
      </c>
      <c r="N4" s="289">
        <f>IFERROR(_xlfn.XLOOKUP($A4,CFR20242025_BenchMarkDataReport!$B:$B,CFR20242025_BenchMarkDataReport!AD:AD),0)</f>
        <v>0</v>
      </c>
      <c r="O4" s="289">
        <f>IFERROR(_xlfn.XLOOKUP($A4,CFR20242025_BenchMarkDataReport!$B:$B,CFR20242025_BenchMarkDataReport!AE:AE),0)</f>
        <v>0</v>
      </c>
      <c r="P4" s="289">
        <f>IFERROR(_xlfn.XLOOKUP($A4,CFR20242025_BenchMarkDataReport!$B:$B,CFR20242025_BenchMarkDataReport!AF:AF),0)</f>
        <v>0</v>
      </c>
      <c r="Q4" s="289">
        <f>IFERROR(_xlfn.XLOOKUP($A4,CFR20242025_BenchMarkDataReport!$B:$B,CFR20242025_BenchMarkDataReport!AG:AG),0)</f>
        <v>0</v>
      </c>
      <c r="R4" s="289">
        <f>IFERROR(_xlfn.XLOOKUP($A4,CFR20242025_BenchMarkDataReport!$B:$B,CFR20242025_BenchMarkDataReport!AH:AH),0)</f>
        <v>0</v>
      </c>
      <c r="S4" s="289">
        <f>IFERROR(_xlfn.XLOOKUP($A4,CFR20242025_BenchMarkDataReport!$B:$B,CFR20242025_BenchMarkDataReport!AI:AI),0)</f>
        <v>0</v>
      </c>
      <c r="T4" s="289">
        <f>IFERROR(_xlfn.XLOOKUP($A4,CFR20242025_BenchMarkDataReport!$B:$B,CFR20242025_BenchMarkDataReport!AJ:AJ),0)</f>
        <v>0</v>
      </c>
      <c r="U4" s="289">
        <f>INDEX(CFR20242025_BenchMarkDataReport!$B$3:$AM$87,MATCH(A4,CFR20242025_BenchMarkDataReport!$B$3:$B$87),MATCH($U$2,CFR20242025_BenchMarkDataReport!$B$3:$AM$3,0))</f>
        <v>0</v>
      </c>
      <c r="V4" s="289">
        <f>IFERROR(_xlfn.XLOOKUP($A4,CFR20242025_BenchMarkDataReport!$B:$B,CFR20242025_BenchMarkDataReport!AN:AN),0)</f>
        <v>0</v>
      </c>
      <c r="W4" s="289">
        <f>IFERROR(_xlfn.XLOOKUP($A4,CFR20242025_BenchMarkDataReport!$B:$B,CFR20242025_BenchMarkDataReport!AO:AO),0)</f>
        <v>0</v>
      </c>
      <c r="X4" s="289">
        <f>IFERROR(_xlfn.XLOOKUP($A4,CFR20242025_BenchMarkDataReport!$B:$B,CFR20242025_BenchMarkDataReport!AP:AP),0)</f>
        <v>0</v>
      </c>
      <c r="Y4" s="289">
        <f>IFERROR(_xlfn.XLOOKUP($A4,CFR20242025_BenchMarkDataReport!$B:$B,CFR20242025_BenchMarkDataReport!AQ:AQ),0)</f>
        <v>0</v>
      </c>
      <c r="Z4" s="289">
        <f>IFERROR(_xlfn.XLOOKUP($A4,CFR20242025_BenchMarkDataReport!$B:$B,CFR20242025_BenchMarkDataReport!AR:AR),0)</f>
        <v>0</v>
      </c>
      <c r="AA4" s="289">
        <f>IFERROR(_xlfn.XLOOKUP($A4,CFR20242025_BenchMarkDataReport!$B:$B,CFR20242025_BenchMarkDataReport!AS:AS),0)</f>
        <v>0</v>
      </c>
      <c r="AB4" s="289">
        <f>IFERROR(_xlfn.XLOOKUP($A4,CFR20242025_BenchMarkDataReport!$B:$B,CFR20242025_BenchMarkDataReport!AT:AT),0)</f>
        <v>0</v>
      </c>
      <c r="AC4" s="289">
        <f>IFERROR(_xlfn.XLOOKUP($A4,CFR20242025_BenchMarkDataReport!$B:$B,CFR20242025_BenchMarkDataReport!AU:AU),0)</f>
        <v>0</v>
      </c>
      <c r="AD4" s="289">
        <f>IFERROR(_xlfn.XLOOKUP($A4,CFR20242025_BenchMarkDataReport!$B:$B,CFR20242025_BenchMarkDataReport!AV:AV),0)</f>
        <v>0</v>
      </c>
      <c r="AE4" s="289">
        <f>IFERROR(_xlfn.XLOOKUP($A4,CFR20242025_BenchMarkDataReport!$B:$B,CFR20242025_BenchMarkDataReport!AW:AW),0)</f>
        <v>0</v>
      </c>
      <c r="AF4" s="289">
        <f>IFERROR(_xlfn.XLOOKUP($A4,CFR20242025_BenchMarkDataReport!$B:$B,CFR20242025_BenchMarkDataReport!AX:AX),0)</f>
        <v>0</v>
      </c>
      <c r="AG4" s="289">
        <f>IFERROR(_xlfn.XLOOKUP($A4,CFR20242025_BenchMarkDataReport!$B:$B,CFR20242025_BenchMarkDataReport!AY:AY),0)</f>
        <v>0</v>
      </c>
      <c r="AH4" s="289">
        <f>IFERROR(_xlfn.XLOOKUP($A4,CFR20242025_BenchMarkDataReport!$B:$B,CFR20242025_BenchMarkDataReport!AZ:AZ),0)</f>
        <v>0</v>
      </c>
      <c r="AI4" s="289">
        <f>IFERROR(_xlfn.XLOOKUP($A4,CFR20242025_BenchMarkDataReport!$B:$B,CFR20242025_BenchMarkDataReport!BA:BA),0)</f>
        <v>0</v>
      </c>
      <c r="AJ4" s="289">
        <f>IFERROR(_xlfn.XLOOKUP($A4,CFR20242025_BenchMarkDataReport!$B:$B,CFR20242025_BenchMarkDataReport!BB:BB),0)</f>
        <v>0</v>
      </c>
      <c r="AK4" s="289">
        <f>IFERROR(_xlfn.XLOOKUP($A4,CFR20242025_BenchMarkDataReport!$B:$B,CFR20242025_BenchMarkDataReport!BC:BC),0)</f>
        <v>0</v>
      </c>
      <c r="AL4" s="289">
        <f>IFERROR(_xlfn.XLOOKUP($A4,CFR20242025_BenchMarkDataReport!$B:$B,CFR20242025_BenchMarkDataReport!BD:BD),0)</f>
        <v>0</v>
      </c>
      <c r="AM4" s="289">
        <f>IFERROR(_xlfn.XLOOKUP($A4,CFR20242025_BenchMarkDataReport!$B:$B,CFR20242025_BenchMarkDataReport!BE:BE),0)</f>
        <v>0</v>
      </c>
      <c r="AN4" s="289">
        <f>IFERROR(_xlfn.XLOOKUP($A4,CFR20242025_BenchMarkDataReport!$B:$B,CFR20242025_BenchMarkDataReport!BF:BF),0)</f>
        <v>0</v>
      </c>
      <c r="AO4" s="289">
        <f>IFERROR(_xlfn.XLOOKUP($A4,CFR20242025_BenchMarkDataReport!$B:$B,CFR20242025_BenchMarkDataReport!BN:BN),0)</f>
        <v>0</v>
      </c>
      <c r="AP4" s="289">
        <f>IFERROR(_xlfn.XLOOKUP($A4,CFR20242025_BenchMarkDataReport!$B:$B,CFR20242025_BenchMarkDataReport!BO:BO),0)</f>
        <v>0</v>
      </c>
      <c r="AQ4" s="289">
        <f>IFERROR(_xlfn.XLOOKUP($A4,CFR20242025_BenchMarkDataReport!$B:$B,CFR20242025_BenchMarkDataReport!BP:BP),0)</f>
        <v>0</v>
      </c>
      <c r="AR4" s="289">
        <f>IFERROR(_xlfn.XLOOKUP($A4,CFR20242025_BenchMarkDataReport!$B:$B,CFR20242025_BenchMarkDataReport!BQ:BQ),0)</f>
        <v>0</v>
      </c>
      <c r="AS4" s="289">
        <f>IFERROR(_xlfn.XLOOKUP($A4,CFR20242025_BenchMarkDataReport!$B:$B,CFR20242025_BenchMarkDataReport!BR:BR),0)</f>
        <v>0</v>
      </c>
      <c r="AT4" s="289">
        <f>IFERROR(_xlfn.XLOOKUP($A4,CFR20242025_BenchMarkDataReport!$B:$B,CFR20242025_BenchMarkDataReport!BS:BS),0)</f>
        <v>0</v>
      </c>
      <c r="AU4" s="289">
        <f>IFERROR(_xlfn.XLOOKUP($A4,CFR20242025_BenchMarkDataReport!$B:$B,CFR20242025_BenchMarkDataReport!BT:BT),0)</f>
        <v>0</v>
      </c>
      <c r="AV4" s="289">
        <f>IFERROR(_xlfn.XLOOKUP($A4,CFR20242025_BenchMarkDataReport!$B:$B,CFR20242025_BenchMarkDataReport!BU:BU),0)</f>
        <v>0</v>
      </c>
      <c r="AW4" s="289">
        <f>IFERROR(_xlfn.XLOOKUP($A4,CFR20242025_BenchMarkDataReport!$B:$B,CFR20242025_BenchMarkDataReport!BV:BV),0)</f>
        <v>0</v>
      </c>
      <c r="AX4" s="289">
        <f>IFERROR(_xlfn.XLOOKUP($A4,CFR20242025_BenchMarkDataReport!$B:$B,CFR20242025_BenchMarkDataReport!BW:BW),0)</f>
        <v>0</v>
      </c>
      <c r="AY4" s="289">
        <f>IFERROR(_xlfn.XLOOKUP($A4,CFR20242025_BenchMarkDataReport!$B:$B,CFR20242025_BenchMarkDataReport!BX:BX),0)</f>
        <v>0</v>
      </c>
      <c r="AZ4" s="289">
        <f>IFERROR(_xlfn.XLOOKUP($A4,CFR20242025_BenchMarkDataReport!$B:$B,CFR20242025_BenchMarkDataReport!BY:BY),0)</f>
        <v>0</v>
      </c>
      <c r="BA4" s="289">
        <f>IFERROR(_xlfn.XLOOKUP($A4,CFR20242025_BenchMarkDataReport!$B:$B,CFR20242025_BenchMarkDataReport!BZ:BZ),0)</f>
        <v>0</v>
      </c>
      <c r="BB4" s="289">
        <f>IFERROR(_xlfn.XLOOKUP($A4,CFR20242025_BenchMarkDataReport!$B:$B,CFR20242025_BenchMarkDataReport!CA:CA),0)</f>
        <v>0</v>
      </c>
      <c r="BC4" s="290">
        <f>SUM(D4:R4)+U4</f>
        <v>0</v>
      </c>
      <c r="BD4" s="291">
        <f>SUM(V4:AZ4)</f>
        <v>0</v>
      </c>
      <c r="BE4" s="290">
        <f>BC4-BD4</f>
        <v>0</v>
      </c>
      <c r="BF4" s="289">
        <f>IFERROR(_xlfn.XLOOKUP(A4,CFR20242025_BenchMarkDataReport!B:B,CFR20242025_BenchMarkDataReport!Q:Q),0)</f>
        <v>0</v>
      </c>
      <c r="BG4" s="290">
        <f>SUM(BE4:BF4)</f>
        <v>0</v>
      </c>
      <c r="BH4" s="292">
        <f>'FEE 34 Spring 24 - 25'!K27</f>
        <v>66</v>
      </c>
      <c r="BI4" s="291">
        <f>D4+E4+F4</f>
        <v>0</v>
      </c>
      <c r="BJ4" t="s">
        <v>188</v>
      </c>
      <c r="BK4" s="293">
        <f>IFERROR(D4/BC4,0)</f>
        <v>0</v>
      </c>
      <c r="BL4" s="294">
        <f>IFERROR(D4/BH4,0)</f>
        <v>0</v>
      </c>
      <c r="BM4" s="295">
        <f>IFERROR((E4/BC4),0)</f>
        <v>0</v>
      </c>
      <c r="BN4" s="296">
        <f>IFERROR(E4/BH4,0)</f>
        <v>0</v>
      </c>
      <c r="BO4" s="293">
        <f>IFERROR((F4/BC4),0)</f>
        <v>0</v>
      </c>
      <c r="BP4" s="294">
        <f>IFERROR(F4/BH4,0)</f>
        <v>0</v>
      </c>
      <c r="BQ4" s="295">
        <f>IFERROR((G4/BC4),0)</f>
        <v>0</v>
      </c>
      <c r="BR4" s="296">
        <f>IFERROR(G4/BH4,0)</f>
        <v>0</v>
      </c>
      <c r="BS4" s="293">
        <f>IFERROR((H4/BC4),0)</f>
        <v>0</v>
      </c>
      <c r="BT4" s="294">
        <f>IFERROR(H4/BH4,0)</f>
        <v>0</v>
      </c>
      <c r="BU4" s="295">
        <f>IFERROR(I4/BC4,0)</f>
        <v>0</v>
      </c>
      <c r="BV4" s="296">
        <f>IFERROR(I4/BH4,0)</f>
        <v>0</v>
      </c>
      <c r="BW4" s="293">
        <f>IFERROR(J4/BC4,0)</f>
        <v>0</v>
      </c>
      <c r="BX4" s="294">
        <f>IFERROR(J4/BH4,0)</f>
        <v>0</v>
      </c>
      <c r="BY4" s="295">
        <f>IFERROR((K4+L4)/BC4,0)</f>
        <v>0</v>
      </c>
      <c r="BZ4" s="297">
        <f>IFERROR((K4+L4)/BH4,0)</f>
        <v>0</v>
      </c>
      <c r="CA4" s="298">
        <f>IFERROR(P4/BC4,0)</f>
        <v>0</v>
      </c>
      <c r="CB4" s="299">
        <f>IFERROR(P4/BH4,0)</f>
        <v>0</v>
      </c>
      <c r="CC4" s="295">
        <f>IFERROR(Q4/BC4,0)</f>
        <v>0</v>
      </c>
      <c r="CD4" s="296">
        <f>IFERROR((Q4/BH4),0)</f>
        <v>0</v>
      </c>
      <c r="CE4" s="300">
        <f>IFERROR((V4+W4+AU4)/BI4,0)</f>
        <v>0</v>
      </c>
      <c r="CF4" s="298">
        <f>IFERROR((V4+W4+AU4)/BC4,0)</f>
        <v>0</v>
      </c>
      <c r="CG4" s="298">
        <f>IFERROR((V4+W4+AU4)/BD4,0)</f>
        <v>0</v>
      </c>
      <c r="CH4" s="299">
        <f>IFERROR(((V4+W4+AU4)/BH4),0)</f>
        <v>0</v>
      </c>
      <c r="CI4" s="295">
        <f>IFERROR(X4/BI4,0)</f>
        <v>0</v>
      </c>
      <c r="CJ4" s="301">
        <f>IFERROR(X4/BC4,0)</f>
        <v>0</v>
      </c>
      <c r="CK4" s="301">
        <f>IFERROR(X4/BD4,0)</f>
        <v>0</v>
      </c>
      <c r="CL4" s="302">
        <f>IFERROR((X4/BH4),0)</f>
        <v>0</v>
      </c>
      <c r="CM4" s="300">
        <f>IFERROR(Y4/BI4,0)</f>
        <v>0</v>
      </c>
      <c r="CN4" s="298">
        <f>IFERROR(Y4/BC4,0)</f>
        <v>0</v>
      </c>
      <c r="CO4" s="298">
        <f>IFERROR(Y4/BD4,0)</f>
        <v>0</v>
      </c>
      <c r="CP4" s="299">
        <f>IFERROR((Y4/BH4),0)</f>
        <v>0</v>
      </c>
      <c r="CQ4" s="295">
        <f>IFERROR(Z4/BI4,0)</f>
        <v>0</v>
      </c>
      <c r="CR4" s="301">
        <f>IFERROR(Z4/BC4,0)</f>
        <v>0</v>
      </c>
      <c r="CS4" s="301">
        <f>IFERROR(Z4/BD4,0)</f>
        <v>0</v>
      </c>
      <c r="CT4" s="296">
        <f>IFERROR(Z4/BH4,0)</f>
        <v>0</v>
      </c>
      <c r="CU4" s="300">
        <f>IFERROR((V4+W4+X4+Y4+Z4+AA4+AB4)/BI4,0)</f>
        <v>0</v>
      </c>
      <c r="CV4" s="298">
        <f>IFERROR((V4+W4+X4+Y4+Z4+AA4+AB4)/BC4,0)</f>
        <v>0</v>
      </c>
      <c r="CW4" s="298">
        <f>IFERROR((V4+W4+X4+Y4+Z4+AA4+AB4)/BD4,0)</f>
        <v>0</v>
      </c>
      <c r="CX4" s="299">
        <f>IFERROR(((V4+W4+X4+Y4+Z4+AA4+AB4)/BH4),0)</f>
        <v>0</v>
      </c>
      <c r="CY4" s="295">
        <f>IFERROR(AG4/BI4,0)</f>
        <v>0</v>
      </c>
      <c r="CZ4" s="301">
        <f>IFERROR(AG4/BD4,0)</f>
        <v>0</v>
      </c>
      <c r="DA4" s="296">
        <f>IFERROR((AG4/BH4),0)</f>
        <v>0</v>
      </c>
      <c r="DB4" s="300">
        <f>IFERROR(AJ4/BD4,0)</f>
        <v>0</v>
      </c>
      <c r="DC4" s="299">
        <f>IFERROR((AJ4/BH4),0)</f>
        <v>0</v>
      </c>
      <c r="DD4" s="295">
        <f>IFERROR(AK4/BI4,0)</f>
        <v>0</v>
      </c>
      <c r="DE4" s="301">
        <f>IFERROR(AK4/BD4,0)</f>
        <v>0</v>
      </c>
      <c r="DF4" s="296">
        <f>IFERROR((AK4/BH4),0)</f>
        <v>0</v>
      </c>
      <c r="DG4" s="300">
        <f>IFERROR(AM4/BI4,0)</f>
        <v>0</v>
      </c>
      <c r="DH4" s="298">
        <f>IFERROR(AM4/BD4,0)</f>
        <v>0</v>
      </c>
      <c r="DI4" s="303">
        <f>IFERROR((AM4/BH38),0)</f>
        <v>0</v>
      </c>
      <c r="DJ4" s="295">
        <f>IFERROR(AN4/BI4,0)</f>
        <v>0</v>
      </c>
      <c r="DK4" s="301">
        <f>IFERROR(AN4/BC4,0)</f>
        <v>0</v>
      </c>
      <c r="DL4" s="301">
        <f>IFERROR(AN4/BD4,0)</f>
        <v>0</v>
      </c>
      <c r="DM4" s="296">
        <f>IFERROR((AN4/BH4),0)</f>
        <v>0</v>
      </c>
      <c r="DN4" s="300">
        <f>IFERROR(AQ4/BI4,0)</f>
        <v>0</v>
      </c>
      <c r="DO4" s="298">
        <f>IFERROR(AQ4/BD4,0)</f>
        <v>0</v>
      </c>
      <c r="DP4" s="299">
        <f>IFERROR((AQ4/BH4),0)</f>
        <v>0</v>
      </c>
      <c r="DQ4" s="295">
        <f>IFERROR(AV4/BI4,0)</f>
        <v>0</v>
      </c>
      <c r="DR4" s="301">
        <f>IFERROR(AV4/BD4,0)</f>
        <v>0</v>
      </c>
      <c r="DS4" s="296">
        <f>IFERROR(AV4/BH4,0)</f>
        <v>0</v>
      </c>
      <c r="DT4" s="300">
        <f>IFERROR(AT4/BD4,0)</f>
        <v>0</v>
      </c>
      <c r="DU4" s="299">
        <f>IFERROR((AT4/BH4),0)</f>
        <v>0</v>
      </c>
      <c r="DV4" s="295">
        <f>IFERROR(AI4/BD4,0)</f>
        <v>0</v>
      </c>
      <c r="DW4" s="296">
        <f>IFERROR((AI4/BH4),0)</f>
        <v>0</v>
      </c>
      <c r="DX4" s="295">
        <f>IFERROR(EB4/BI4,0)</f>
        <v>0</v>
      </c>
      <c r="DY4" s="301">
        <f>IFERROR(EB4/BC4,0)</f>
        <v>0</v>
      </c>
      <c r="DZ4" s="301">
        <f>IFERROR(EB4/BD4,0)</f>
        <v>0</v>
      </c>
      <c r="EA4" s="296">
        <f>IFERROR((EB4/BH4),0)</f>
        <v>0</v>
      </c>
      <c r="EB4" s="304">
        <f>IFERROR(VLOOKUP(A4,'Barnet Pupil Premium Nos 22-23'!$E$7:$S$92,14,0),0)</f>
        <v>0</v>
      </c>
      <c r="EC4" s="289">
        <f>IFERROR(VLOOKUP(A4,CFR20232024_BenchMarkDataReport!$B$4:$CL$90,38,0),0)</f>
        <v>0</v>
      </c>
      <c r="ED4" s="289">
        <f>IFERROR(VLOOKUP(A4,CFR20232024_BenchMarkDataReport!$B$4:$CL$90,39,0),0)</f>
        <v>0</v>
      </c>
    </row>
    <row r="5" spans="1:228">
      <c r="A5" s="211">
        <v>1003</v>
      </c>
      <c r="B5" s="287">
        <v>10133</v>
      </c>
      <c r="C5" s="288" t="s">
        <v>30</v>
      </c>
      <c r="D5" s="289">
        <f>IFERROR(_xlfn.XLOOKUP($A5,CFR20242025_BenchMarkDataReport!$B:$B,CFR20242025_BenchMarkDataReport!T:T),0)</f>
        <v>0</v>
      </c>
      <c r="E5" s="289">
        <f>IFERROR(_xlfn.XLOOKUP($A5,CFR20242025_BenchMarkDataReport!$B:$B,CFR20242025_BenchMarkDataReport!U:U),0)</f>
        <v>0</v>
      </c>
      <c r="F5" s="289">
        <f>IFERROR(_xlfn.XLOOKUP($A5,CFR20242025_BenchMarkDataReport!$B:$B,CFR20242025_BenchMarkDataReport!V:V),0)</f>
        <v>0</v>
      </c>
      <c r="G5" s="289">
        <f>IFERROR(_xlfn.XLOOKUP($A5,CFR20242025_BenchMarkDataReport!$B:$B,CFR20242025_BenchMarkDataReport!W:W),0)</f>
        <v>0</v>
      </c>
      <c r="H5" s="289">
        <f>IFERROR(_xlfn.XLOOKUP($A5,CFR20242025_BenchMarkDataReport!$B:$B,CFR20242025_BenchMarkDataReport!X:X),0)</f>
        <v>0</v>
      </c>
      <c r="I5" s="289">
        <f>IFERROR(_xlfn.XLOOKUP($A5,CFR20242025_BenchMarkDataReport!$B:$B,CFR20242025_BenchMarkDataReport!Y:Y),0)</f>
        <v>0</v>
      </c>
      <c r="J5" s="289">
        <f>IFERROR(_xlfn.XLOOKUP($A5,CFR20242025_BenchMarkDataReport!$B:$B,CFR20242025_BenchMarkDataReport!Z:Z),0)</f>
        <v>0</v>
      </c>
      <c r="K5" s="289">
        <f>IFERROR(_xlfn.XLOOKUP($A5,CFR20242025_BenchMarkDataReport!$B:$B,CFR20242025_BenchMarkDataReport!AA:AA),0)</f>
        <v>0</v>
      </c>
      <c r="L5" s="289">
        <f>IFERROR(_xlfn.XLOOKUP($A5,CFR20242025_BenchMarkDataReport!$B:$B,CFR20242025_BenchMarkDataReport!AB:AB),0)</f>
        <v>0</v>
      </c>
      <c r="M5" s="289">
        <f>IFERROR(_xlfn.XLOOKUP($A5,CFR20242025_BenchMarkDataReport!$B:$B,CFR20242025_BenchMarkDataReport!AC:AC),0)</f>
        <v>0</v>
      </c>
      <c r="N5" s="289">
        <f>IFERROR(_xlfn.XLOOKUP($A5,CFR20242025_BenchMarkDataReport!$B:$B,CFR20242025_BenchMarkDataReport!AD:AD),0)</f>
        <v>0</v>
      </c>
      <c r="O5" s="289">
        <f>IFERROR(_xlfn.XLOOKUP($A5,CFR20242025_BenchMarkDataReport!$B:$B,CFR20242025_BenchMarkDataReport!AE:AE),0)</f>
        <v>0</v>
      </c>
      <c r="P5" s="289">
        <f>IFERROR(_xlfn.XLOOKUP($A5,CFR20242025_BenchMarkDataReport!$B:$B,CFR20242025_BenchMarkDataReport!AF:AF),0)</f>
        <v>0</v>
      </c>
      <c r="Q5" s="289">
        <f>IFERROR(_xlfn.XLOOKUP($A5,CFR20242025_BenchMarkDataReport!$B:$B,CFR20242025_BenchMarkDataReport!AG:AG),0)</f>
        <v>0</v>
      </c>
      <c r="R5" s="289">
        <f>IFERROR(_xlfn.XLOOKUP($A5,CFR20242025_BenchMarkDataReport!$B:$B,CFR20242025_BenchMarkDataReport!AH:AH),0)</f>
        <v>0</v>
      </c>
      <c r="S5" s="289">
        <f>IFERROR(_xlfn.XLOOKUP($A5,CFR20242025_BenchMarkDataReport!$B:$B,CFR20242025_BenchMarkDataReport!AI:AI),0)</f>
        <v>0</v>
      </c>
      <c r="T5" s="289">
        <f>IFERROR(_xlfn.XLOOKUP($A5,CFR20242025_BenchMarkDataReport!$B:$B,CFR20242025_BenchMarkDataReport!AJ:AJ),0)</f>
        <v>0</v>
      </c>
      <c r="U5" s="289">
        <f>INDEX(CFR20242025_BenchMarkDataReport!$B$3:$AM$87,MATCH(A5,CFR20242025_BenchMarkDataReport!$B$3:$B$87),MATCH($U$2,CFR20242025_BenchMarkDataReport!$B$3:$AM$3,0))</f>
        <v>0</v>
      </c>
      <c r="V5" s="289">
        <f>IFERROR(_xlfn.XLOOKUP($A5,CFR20242025_BenchMarkDataReport!$B:$B,CFR20242025_BenchMarkDataReport!AN:AN),0)</f>
        <v>0</v>
      </c>
      <c r="W5" s="289">
        <f>IFERROR(_xlfn.XLOOKUP($A5,CFR20242025_BenchMarkDataReport!$B:$B,CFR20242025_BenchMarkDataReport!AO:AO),0)</f>
        <v>0</v>
      </c>
      <c r="X5" s="289">
        <f>IFERROR(_xlfn.XLOOKUP($A5,CFR20242025_BenchMarkDataReport!$B:$B,CFR20242025_BenchMarkDataReport!AP:AP),0)</f>
        <v>0</v>
      </c>
      <c r="Y5" s="289">
        <f>IFERROR(_xlfn.XLOOKUP($A5,CFR20242025_BenchMarkDataReport!$B:$B,CFR20242025_BenchMarkDataReport!AQ:AQ),0)</f>
        <v>0</v>
      </c>
      <c r="Z5" s="289">
        <f>IFERROR(_xlfn.XLOOKUP($A5,CFR20242025_BenchMarkDataReport!$B:$B,CFR20242025_BenchMarkDataReport!AR:AR),0)</f>
        <v>0</v>
      </c>
      <c r="AA5" s="289">
        <f>IFERROR(_xlfn.XLOOKUP($A5,CFR20242025_BenchMarkDataReport!$B:$B,CFR20242025_BenchMarkDataReport!AS:AS),0)</f>
        <v>0</v>
      </c>
      <c r="AB5" s="289">
        <f>IFERROR(_xlfn.XLOOKUP($A5,CFR20242025_BenchMarkDataReport!$B:$B,CFR20242025_BenchMarkDataReport!AT:AT),0)</f>
        <v>0</v>
      </c>
      <c r="AC5" s="289">
        <f>IFERROR(_xlfn.XLOOKUP($A5,CFR20242025_BenchMarkDataReport!$B:$B,CFR20242025_BenchMarkDataReport!AU:AU),0)</f>
        <v>0</v>
      </c>
      <c r="AD5" s="289">
        <f>IFERROR(_xlfn.XLOOKUP($A5,CFR20242025_BenchMarkDataReport!$B:$B,CFR20242025_BenchMarkDataReport!AV:AV),0)</f>
        <v>0</v>
      </c>
      <c r="AE5" s="289">
        <f>IFERROR(_xlfn.XLOOKUP($A5,CFR20242025_BenchMarkDataReport!$B:$B,CFR20242025_BenchMarkDataReport!AW:AW),0)</f>
        <v>0</v>
      </c>
      <c r="AF5" s="289">
        <f>IFERROR(_xlfn.XLOOKUP($A5,CFR20242025_BenchMarkDataReport!$B:$B,CFR20242025_BenchMarkDataReport!AX:AX),0)</f>
        <v>0</v>
      </c>
      <c r="AG5" s="289">
        <f>IFERROR(_xlfn.XLOOKUP($A5,CFR20242025_BenchMarkDataReport!$B:$B,CFR20242025_BenchMarkDataReport!AY:AY),0)</f>
        <v>0</v>
      </c>
      <c r="AH5" s="289">
        <f>IFERROR(_xlfn.XLOOKUP($A5,CFR20242025_BenchMarkDataReport!$B:$B,CFR20242025_BenchMarkDataReport!AZ:AZ),0)</f>
        <v>0</v>
      </c>
      <c r="AI5" s="289">
        <f>IFERROR(_xlfn.XLOOKUP($A5,CFR20242025_BenchMarkDataReport!$B:$B,CFR20242025_BenchMarkDataReport!BA:BA),0)</f>
        <v>0</v>
      </c>
      <c r="AJ5" s="289">
        <f>IFERROR(_xlfn.XLOOKUP($A5,CFR20242025_BenchMarkDataReport!$B:$B,CFR20242025_BenchMarkDataReport!BB:BB),0)</f>
        <v>0</v>
      </c>
      <c r="AK5" s="289">
        <f>IFERROR(_xlfn.XLOOKUP($A5,CFR20242025_BenchMarkDataReport!$B:$B,CFR20242025_BenchMarkDataReport!BC:BC),0)</f>
        <v>0</v>
      </c>
      <c r="AL5" s="289">
        <f>IFERROR(_xlfn.XLOOKUP($A5,CFR20242025_BenchMarkDataReport!$B:$B,CFR20242025_BenchMarkDataReport!BD:BD),0)</f>
        <v>0</v>
      </c>
      <c r="AM5" s="289">
        <f>IFERROR(_xlfn.XLOOKUP($A5,CFR20242025_BenchMarkDataReport!$B:$B,CFR20242025_BenchMarkDataReport!BE:BE),0)</f>
        <v>0</v>
      </c>
      <c r="AN5" s="289">
        <f>IFERROR(_xlfn.XLOOKUP($A5,CFR20242025_BenchMarkDataReport!$B:$B,CFR20242025_BenchMarkDataReport!BF:BF),0)</f>
        <v>0</v>
      </c>
      <c r="AO5" s="289">
        <f>IFERROR(_xlfn.XLOOKUP($A5,CFR20242025_BenchMarkDataReport!$B:$B,CFR20242025_BenchMarkDataReport!BN:BN),0)</f>
        <v>0</v>
      </c>
      <c r="AP5" s="289">
        <f>IFERROR(_xlfn.XLOOKUP($A5,CFR20242025_BenchMarkDataReport!$B:$B,CFR20242025_BenchMarkDataReport!BO:BO),0)</f>
        <v>0</v>
      </c>
      <c r="AQ5" s="289">
        <f>IFERROR(_xlfn.XLOOKUP($A5,CFR20242025_BenchMarkDataReport!$B:$B,CFR20242025_BenchMarkDataReport!BP:BP),0)</f>
        <v>0</v>
      </c>
      <c r="AR5" s="289">
        <f>IFERROR(_xlfn.XLOOKUP($A5,CFR20242025_BenchMarkDataReport!$B:$B,CFR20242025_BenchMarkDataReport!BQ:BQ),0)</f>
        <v>0</v>
      </c>
      <c r="AS5" s="289">
        <f>IFERROR(_xlfn.XLOOKUP($A5,CFR20242025_BenchMarkDataReport!$B:$B,CFR20242025_BenchMarkDataReport!BR:BR),0)</f>
        <v>0</v>
      </c>
      <c r="AT5" s="289">
        <f>IFERROR(_xlfn.XLOOKUP($A5,CFR20242025_BenchMarkDataReport!$B:$B,CFR20242025_BenchMarkDataReport!BS:BS),0)</f>
        <v>0</v>
      </c>
      <c r="AU5" s="289">
        <f>IFERROR(_xlfn.XLOOKUP($A5,CFR20242025_BenchMarkDataReport!$B:$B,CFR20242025_BenchMarkDataReport!BT:BT),0)</f>
        <v>0</v>
      </c>
      <c r="AV5" s="289">
        <f>IFERROR(_xlfn.XLOOKUP($A5,CFR20242025_BenchMarkDataReport!$B:$B,CFR20242025_BenchMarkDataReport!BU:BU),0)</f>
        <v>0</v>
      </c>
      <c r="AW5" s="289">
        <f>IFERROR(_xlfn.XLOOKUP($A5,CFR20242025_BenchMarkDataReport!$B:$B,CFR20242025_BenchMarkDataReport!BV:BV),0)</f>
        <v>0</v>
      </c>
      <c r="AX5" s="289">
        <f>IFERROR(_xlfn.XLOOKUP($A5,CFR20242025_BenchMarkDataReport!$B:$B,CFR20242025_BenchMarkDataReport!BW:BW),0)</f>
        <v>0</v>
      </c>
      <c r="AY5" s="289">
        <f>IFERROR(_xlfn.XLOOKUP($A5,CFR20242025_BenchMarkDataReport!$B:$B,CFR20242025_BenchMarkDataReport!BX:BX),0)</f>
        <v>0</v>
      </c>
      <c r="AZ5" s="289">
        <f>IFERROR(_xlfn.XLOOKUP($A5,CFR20242025_BenchMarkDataReport!$B:$B,CFR20242025_BenchMarkDataReport!BY:BY),0)</f>
        <v>0</v>
      </c>
      <c r="BA5" s="289">
        <f>IFERROR(_xlfn.XLOOKUP($A5,CFR20242025_BenchMarkDataReport!$B:$B,CFR20242025_BenchMarkDataReport!BZ:BZ),0)</f>
        <v>0</v>
      </c>
      <c r="BB5" s="289">
        <f>IFERROR(_xlfn.XLOOKUP($A5,CFR20242025_BenchMarkDataReport!$B:$B,CFR20242025_BenchMarkDataReport!CA:CA),0)</f>
        <v>0</v>
      </c>
      <c r="BC5" s="290">
        <f>SUM(D5:R5)+U5</f>
        <v>0</v>
      </c>
      <c r="BD5" s="291">
        <f>SUM(V5:AZ5)</f>
        <v>0</v>
      </c>
      <c r="BE5" s="290">
        <f>BC5-BD5</f>
        <v>0</v>
      </c>
      <c r="BF5" s="289">
        <f>IFERROR(_xlfn.XLOOKUP(A5,CFR20242025_BenchMarkDataReport!B:B,CFR20242025_BenchMarkDataReport!Q:Q),0)</f>
        <v>0</v>
      </c>
      <c r="BG5" s="290">
        <f t="shared" ref="BG5:BG65" si="0">SUM(BE5:BF5)</f>
        <v>0</v>
      </c>
      <c r="BH5">
        <f>'FEE 34 Spring 24 - 25'!K58</f>
        <v>60</v>
      </c>
      <c r="BI5" s="291">
        <f t="shared" ref="BI5:BI64" si="1">D5+E5+F5</f>
        <v>0</v>
      </c>
      <c r="BJ5" t="s">
        <v>188</v>
      </c>
      <c r="BK5" s="293">
        <f>IFERROR(D5/BC5,0)</f>
        <v>0</v>
      </c>
      <c r="BL5" s="294">
        <f t="shared" ref="BL5:BL7" si="2">IFERROR(D5/BH5,0)</f>
        <v>0</v>
      </c>
      <c r="BM5" s="295">
        <f>IFERROR((E5/BC5),0)</f>
        <v>0</v>
      </c>
      <c r="BN5" s="296">
        <f t="shared" ref="BN5:BN7" si="3">IFERROR(E5/BH5,0)</f>
        <v>0</v>
      </c>
      <c r="BO5" s="293">
        <f>IFERROR((F5/BC5),0)</f>
        <v>0</v>
      </c>
      <c r="BP5" s="294">
        <f t="shared" ref="BP5:BP7" si="4">IFERROR(F5/BH5,0)</f>
        <v>0</v>
      </c>
      <c r="BQ5" s="295">
        <f>IFERROR((G5/BC5),0)</f>
        <v>0</v>
      </c>
      <c r="BR5" s="296">
        <f t="shared" ref="BR5:BR7" si="5">IFERROR(G5/BH5,0)</f>
        <v>0</v>
      </c>
      <c r="BS5" s="293">
        <f>IFERROR((H5/BC5),0)</f>
        <v>0</v>
      </c>
      <c r="BT5" s="294">
        <f t="shared" ref="BT5:BT7" si="6">IFERROR(H5/BH5,0)</f>
        <v>0</v>
      </c>
      <c r="BU5" s="295">
        <f>IFERROR(I5/BC5,0)</f>
        <v>0</v>
      </c>
      <c r="BV5" s="296">
        <f t="shared" ref="BV5:BV7" si="7">IFERROR(I5/BH5,0)</f>
        <v>0</v>
      </c>
      <c r="BW5" s="293">
        <f>IFERROR(J5/BC5,0)</f>
        <v>0</v>
      </c>
      <c r="BX5" s="294">
        <f t="shared" ref="BX5:BX7" si="8">IFERROR(J5/BH5,0)</f>
        <v>0</v>
      </c>
      <c r="BY5" s="295">
        <f>IFERROR((K5+L5)/BC5,0)</f>
        <v>0</v>
      </c>
      <c r="BZ5" s="297">
        <f t="shared" ref="BZ5:BZ7" si="9">IFERROR((K5+L5)/BH5,0)</f>
        <v>0</v>
      </c>
      <c r="CA5" s="298">
        <f>IFERROR(P5/BC5,0)</f>
        <v>0</v>
      </c>
      <c r="CB5" s="299">
        <f t="shared" ref="CB5:CB7" si="10">IFERROR(P5/BH5,0)</f>
        <v>0</v>
      </c>
      <c r="CC5" s="295">
        <f>IFERROR(Q5/BC5,0)</f>
        <v>0</v>
      </c>
      <c r="CD5" s="296">
        <f t="shared" ref="CD5:CD7" si="11">IFERROR((Q5/BH5),0)</f>
        <v>0</v>
      </c>
      <c r="CE5" s="300">
        <f>IFERROR((V5+W5+AU5)/BI5,0)</f>
        <v>0</v>
      </c>
      <c r="CF5" s="298">
        <f>IFERROR((V5+W5+AU5)/BC5,0)</f>
        <v>0</v>
      </c>
      <c r="CG5" s="298">
        <f>IFERROR((V5+W5+AU5)/BD5,0)</f>
        <v>0</v>
      </c>
      <c r="CH5" s="299">
        <f t="shared" ref="CH5:CH7" si="12">IFERROR(((V5+W5+AU5)/BH5),0)</f>
        <v>0</v>
      </c>
      <c r="CI5" s="295">
        <f>IFERROR(X5/BI5,0)</f>
        <v>0</v>
      </c>
      <c r="CJ5" s="301">
        <f>IFERROR(X5/BC5,0)</f>
        <v>0</v>
      </c>
      <c r="CK5" s="301">
        <f>IFERROR(X5/BD5,0)</f>
        <v>0</v>
      </c>
      <c r="CL5" s="302">
        <f t="shared" ref="CL5:CL7" si="13">IFERROR((X5/BH5),0)</f>
        <v>0</v>
      </c>
      <c r="CM5" s="300">
        <f>IFERROR(Y5/BI5,0)</f>
        <v>0</v>
      </c>
      <c r="CN5" s="298">
        <f>IFERROR(Y5/BC5,0)</f>
        <v>0</v>
      </c>
      <c r="CO5" s="298">
        <f>IFERROR(Y5/BD5,0)</f>
        <v>0</v>
      </c>
      <c r="CP5" s="299">
        <f t="shared" ref="CP5:CP7" si="14">IFERROR((Y5/BH5),0)</f>
        <v>0</v>
      </c>
      <c r="CQ5" s="295">
        <f>IFERROR(Z5/BI5,0)</f>
        <v>0</v>
      </c>
      <c r="CR5" s="301">
        <f>IFERROR(Z5/BC5,0)</f>
        <v>0</v>
      </c>
      <c r="CS5" s="301">
        <f>IFERROR(Z5/BD5,0)</f>
        <v>0</v>
      </c>
      <c r="CT5" s="296">
        <f t="shared" ref="CT5:CT7" si="15">IFERROR(Z5/BH5,0)</f>
        <v>0</v>
      </c>
      <c r="CU5" s="300">
        <f>IFERROR((V5+W5+X5+Y5+Z5+AA5+AB5)/BI5,0)</f>
        <v>0</v>
      </c>
      <c r="CV5" s="298">
        <f>IFERROR((V5+W5+X5+Y5+Z5+AA5+AB5)/BC5,0)</f>
        <v>0</v>
      </c>
      <c r="CW5" s="298">
        <f>IFERROR((V5+W5+X5+Y5+Z5+AA5+AB5)/BD5,0)</f>
        <v>0</v>
      </c>
      <c r="CX5" s="299">
        <f t="shared" ref="CX5:CX7" si="16">IFERROR(((V5+W5+X5+Y5+Z5+AA5+AB5)/BH5),0)</f>
        <v>0</v>
      </c>
      <c r="CY5" s="295">
        <f>IFERROR(AG5/BI5,0)</f>
        <v>0</v>
      </c>
      <c r="CZ5" s="301">
        <f>IFERROR(AG5/BD5,0)</f>
        <v>0</v>
      </c>
      <c r="DA5" s="296">
        <f t="shared" ref="DA5:DA7" si="17">IFERROR((AG5/BH5),0)</f>
        <v>0</v>
      </c>
      <c r="DB5" s="300">
        <f>IFERROR(AJ5/BD5,0)</f>
        <v>0</v>
      </c>
      <c r="DC5" s="299">
        <f t="shared" ref="DC5:DC7" si="18">IFERROR((AJ5/BH5),0)</f>
        <v>0</v>
      </c>
      <c r="DD5" s="295">
        <f>IFERROR(AK5/BI5,0)</f>
        <v>0</v>
      </c>
      <c r="DE5" s="301">
        <f>IFERROR(AK5/BD5,0)</f>
        <v>0</v>
      </c>
      <c r="DF5" s="296">
        <f t="shared" ref="DF5:DF7" si="19">IFERROR((AK5/BH5),0)</f>
        <v>0</v>
      </c>
      <c r="DG5" s="300">
        <f>IFERROR(AM5/BI5,0)</f>
        <v>0</v>
      </c>
      <c r="DH5" s="298">
        <f>IFERROR(AM5/BD5,0)</f>
        <v>0</v>
      </c>
      <c r="DI5" s="303">
        <f t="shared" ref="DI5:DI7" si="20">IFERROR((AM5/BH39),0)</f>
        <v>0</v>
      </c>
      <c r="DJ5" s="295">
        <f>IFERROR(AN5/BI5,0)</f>
        <v>0</v>
      </c>
      <c r="DK5" s="301">
        <f>IFERROR(AN5/BC5,0)</f>
        <v>0</v>
      </c>
      <c r="DL5" s="301">
        <f>IFERROR(AN5/BD5,0)</f>
        <v>0</v>
      </c>
      <c r="DM5" s="296">
        <f t="shared" ref="DM5:DM7" si="21">IFERROR((AN5/BH5),0)</f>
        <v>0</v>
      </c>
      <c r="DN5" s="300">
        <f>IFERROR(AQ5/BI5,0)</f>
        <v>0</v>
      </c>
      <c r="DO5" s="298">
        <f>IFERROR(AQ5/BD5,0)</f>
        <v>0</v>
      </c>
      <c r="DP5" s="299">
        <f t="shared" ref="DP5:DP7" si="22">IFERROR((AQ5/BH5),0)</f>
        <v>0</v>
      </c>
      <c r="DQ5" s="295">
        <f>IFERROR(AV5/BI5,0)</f>
        <v>0</v>
      </c>
      <c r="DR5" s="301">
        <f>IFERROR(AV5/BD5,0)</f>
        <v>0</v>
      </c>
      <c r="DS5" s="296">
        <f t="shared" ref="DS5:DS7" si="23">IFERROR(AV5/BH5,0)</f>
        <v>0</v>
      </c>
      <c r="DT5" s="300">
        <f>IFERROR(AT5/BD5,0)</f>
        <v>0</v>
      </c>
      <c r="DU5" s="299">
        <f t="shared" ref="DU5:DU7" si="24">IFERROR((AT5/BH5),0)</f>
        <v>0</v>
      </c>
      <c r="DV5" s="295">
        <f t="shared" ref="DV5:DV65" si="25">IFERROR(AI5/BD5,0)</f>
        <v>0</v>
      </c>
      <c r="DW5" s="296">
        <f t="shared" ref="DW5:DW7" si="26">IFERROR((AI5/BH5),0)</f>
        <v>0</v>
      </c>
      <c r="DX5" s="295">
        <f>IFERROR(EB5/BI5,0)</f>
        <v>0</v>
      </c>
      <c r="DY5" s="301">
        <f>IFERROR(EB5/BC5,0)</f>
        <v>0</v>
      </c>
      <c r="DZ5" s="301">
        <f>IFERROR(EB5/BD5,0)</f>
        <v>0</v>
      </c>
      <c r="EA5" s="296">
        <f t="shared" ref="EA5:EA7" si="27">IFERROR((EB5/BH5),0)</f>
        <v>0</v>
      </c>
      <c r="EB5" s="304">
        <f>IFERROR(VLOOKUP(A5,'Barnet Pupil Premium Nos 22-23'!$E$7:$S$92,14,0),0)</f>
        <v>0</v>
      </c>
      <c r="EC5" s="289">
        <f>IFERROR(VLOOKUP(A5,CFR20232024_BenchMarkDataReport!$B$4:$CL$90,38,0),0)</f>
        <v>0</v>
      </c>
      <c r="ED5" s="289">
        <f>IFERROR(VLOOKUP(A5,CFR20232024_BenchMarkDataReport!$B$4:$CL$90,39,0),0)</f>
        <v>0</v>
      </c>
    </row>
    <row r="6" spans="1:228">
      <c r="A6" s="15">
        <v>1000</v>
      </c>
      <c r="B6" s="287">
        <v>10135</v>
      </c>
      <c r="C6" s="305" t="s">
        <v>442</v>
      </c>
      <c r="D6" s="289">
        <f>IFERROR(_xlfn.XLOOKUP($A6,CFR20242025_BenchMarkDataReport!$B:$B,CFR20242025_BenchMarkDataReport!T:T),0)</f>
        <v>2199395.85</v>
      </c>
      <c r="E6" s="289">
        <f>IFERROR(_xlfn.XLOOKUP($A6,CFR20242025_BenchMarkDataReport!$B:$B,CFR20242025_BenchMarkDataReport!U:U),0)</f>
        <v>0</v>
      </c>
      <c r="F6" s="289">
        <f>IFERROR(_xlfn.XLOOKUP($A6,CFR20242025_BenchMarkDataReport!$B:$B,CFR20242025_BenchMarkDataReport!V:V),0)</f>
        <v>119135.67</v>
      </c>
      <c r="G6" s="289">
        <f>IFERROR(_xlfn.XLOOKUP($A6,CFR20242025_BenchMarkDataReport!$B:$B,CFR20242025_BenchMarkDataReport!W:W),0)</f>
        <v>0</v>
      </c>
      <c r="H6" s="289">
        <f>IFERROR(_xlfn.XLOOKUP($A6,CFR20242025_BenchMarkDataReport!$B:$B,CFR20242025_BenchMarkDataReport!X:X),0)</f>
        <v>0</v>
      </c>
      <c r="I6" s="289">
        <f>IFERROR(_xlfn.XLOOKUP($A6,CFR20242025_BenchMarkDataReport!$B:$B,CFR20242025_BenchMarkDataReport!Y:Y),0)</f>
        <v>0</v>
      </c>
      <c r="J6" s="289">
        <f>IFERROR(_xlfn.XLOOKUP($A6,CFR20242025_BenchMarkDataReport!$B:$B,CFR20242025_BenchMarkDataReport!Z:Z),0)</f>
        <v>32416.28</v>
      </c>
      <c r="K6" s="289">
        <f>IFERROR(_xlfn.XLOOKUP($A6,CFR20242025_BenchMarkDataReport!$B:$B,CFR20242025_BenchMarkDataReport!AA:AA),0)</f>
        <v>21000</v>
      </c>
      <c r="L6" s="289">
        <f>IFERROR(_xlfn.XLOOKUP($A6,CFR20242025_BenchMarkDataReport!$B:$B,CFR20242025_BenchMarkDataReport!AB:AB),0)</f>
        <v>5636.56</v>
      </c>
      <c r="M6" s="289">
        <f>IFERROR(_xlfn.XLOOKUP($A6,CFR20242025_BenchMarkDataReport!$B:$B,CFR20242025_BenchMarkDataReport!AC:AC),0)</f>
        <v>0</v>
      </c>
      <c r="N6" s="289">
        <f>IFERROR(_xlfn.XLOOKUP($A6,CFR20242025_BenchMarkDataReport!$B:$B,CFR20242025_BenchMarkDataReport!AD:AD),0)</f>
        <v>0</v>
      </c>
      <c r="O6" s="289">
        <f>IFERROR(_xlfn.XLOOKUP($A6,CFR20242025_BenchMarkDataReport!$B:$B,CFR20242025_BenchMarkDataReport!AE:AE),0)</f>
        <v>0</v>
      </c>
      <c r="P6" s="289">
        <f>IFERROR(_xlfn.XLOOKUP($A6,CFR20242025_BenchMarkDataReport!$B:$B,CFR20242025_BenchMarkDataReport!AF:AF),0)</f>
        <v>538730.18999999994</v>
      </c>
      <c r="Q6" s="289">
        <f>IFERROR(_xlfn.XLOOKUP($A6,CFR20242025_BenchMarkDataReport!$B:$B,CFR20242025_BenchMarkDataReport!AG:AG),0)</f>
        <v>14770.53</v>
      </c>
      <c r="R6" s="289">
        <f>IFERROR(_xlfn.XLOOKUP($A6,CFR20242025_BenchMarkDataReport!$B:$B,CFR20242025_BenchMarkDataReport!AH:AH),0)</f>
        <v>0</v>
      </c>
      <c r="S6" s="289">
        <f>IFERROR(_xlfn.XLOOKUP($A6,CFR20242025_BenchMarkDataReport!$B:$B,CFR20242025_BenchMarkDataReport!AI:AI),0)</f>
        <v>164223.42000000001</v>
      </c>
      <c r="T6" s="289">
        <f>IFERROR(_xlfn.XLOOKUP($A6,CFR20242025_BenchMarkDataReport!$B:$B,CFR20242025_BenchMarkDataReport!AJ:AJ),0)</f>
        <v>1360</v>
      </c>
      <c r="U6" s="289">
        <f>INDEX(CFR20242025_BenchMarkDataReport!$B$3:$AM$87,MATCH(A6,CFR20242025_BenchMarkDataReport!$B$3:$B$87),MATCH($U$2,CFR20242025_BenchMarkDataReport!$B$3:$AM$3,0))</f>
        <v>0</v>
      </c>
      <c r="V6" s="289">
        <f>IFERROR(_xlfn.XLOOKUP($A6,CFR20242025_BenchMarkDataReport!$B:$B,CFR20242025_BenchMarkDataReport!AN:AN),0)</f>
        <v>434519.32</v>
      </c>
      <c r="W6" s="289">
        <f>IFERROR(_xlfn.XLOOKUP($A6,CFR20242025_BenchMarkDataReport!$B:$B,CFR20242025_BenchMarkDataReport!AO:AO),0)</f>
        <v>2262.8200000000002</v>
      </c>
      <c r="X6" s="289">
        <f>IFERROR(_xlfn.XLOOKUP($A6,CFR20242025_BenchMarkDataReport!$B:$B,CFR20242025_BenchMarkDataReport!AP:AP),0)</f>
        <v>1477295.71</v>
      </c>
      <c r="Y6" s="289">
        <f>IFERROR(_xlfn.XLOOKUP($A6,CFR20242025_BenchMarkDataReport!$B:$B,CFR20242025_BenchMarkDataReport!AQ:AQ),0)</f>
        <v>70848.679999999993</v>
      </c>
      <c r="Z6" s="289">
        <f>IFERROR(_xlfn.XLOOKUP($A6,CFR20242025_BenchMarkDataReport!$B:$B,CFR20242025_BenchMarkDataReport!AR:AR),0)</f>
        <v>124863.63</v>
      </c>
      <c r="AA6" s="289">
        <f>IFERROR(_xlfn.XLOOKUP($A6,CFR20242025_BenchMarkDataReport!$B:$B,CFR20242025_BenchMarkDataReport!AS:AS),0)</f>
        <v>0</v>
      </c>
      <c r="AB6" s="289">
        <f>IFERROR(_xlfn.XLOOKUP($A6,CFR20242025_BenchMarkDataReport!$B:$B,CFR20242025_BenchMarkDataReport!AT:AT),0)</f>
        <v>72557.78</v>
      </c>
      <c r="AC6" s="289">
        <f>IFERROR(_xlfn.XLOOKUP($A6,CFR20242025_BenchMarkDataReport!$B:$B,CFR20242025_BenchMarkDataReport!AU:AU),0)</f>
        <v>13594.31</v>
      </c>
      <c r="AD6" s="289">
        <f>IFERROR(_xlfn.XLOOKUP($A6,CFR20242025_BenchMarkDataReport!$B:$B,CFR20242025_BenchMarkDataReport!AV:AV),0)</f>
        <v>4009.04</v>
      </c>
      <c r="AE6" s="289">
        <f>IFERROR(_xlfn.XLOOKUP($A6,CFR20242025_BenchMarkDataReport!$B:$B,CFR20242025_BenchMarkDataReport!AW:AW),0)</f>
        <v>0</v>
      </c>
      <c r="AF6" s="289">
        <f>IFERROR(_xlfn.XLOOKUP($A6,CFR20242025_BenchMarkDataReport!$B:$B,CFR20242025_BenchMarkDataReport!AX:AX),0)</f>
        <v>0</v>
      </c>
      <c r="AG6" s="289">
        <f>IFERROR(_xlfn.XLOOKUP($A6,CFR20242025_BenchMarkDataReport!$B:$B,CFR20242025_BenchMarkDataReport!AY:AY),0)</f>
        <v>34165.040000000001</v>
      </c>
      <c r="AH6" s="289">
        <f>IFERROR(_xlfn.XLOOKUP($A6,CFR20242025_BenchMarkDataReport!$B:$B,CFR20242025_BenchMarkDataReport!AZ:AZ),0)</f>
        <v>4755</v>
      </c>
      <c r="AI6" s="289">
        <f>IFERROR(_xlfn.XLOOKUP($A6,CFR20242025_BenchMarkDataReport!$B:$B,CFR20242025_BenchMarkDataReport!BA:BA),0)</f>
        <v>4920.3100000000004</v>
      </c>
      <c r="AJ6" s="289">
        <f>IFERROR(_xlfn.XLOOKUP($A6,CFR20242025_BenchMarkDataReport!$B:$B,CFR20242025_BenchMarkDataReport!BB:BB),0)</f>
        <v>4047.18</v>
      </c>
      <c r="AK6" s="289">
        <f>IFERROR(_xlfn.XLOOKUP($A6,CFR20242025_BenchMarkDataReport!$B:$B,CFR20242025_BenchMarkDataReport!BC:BC),0)</f>
        <v>27556.61</v>
      </c>
      <c r="AL6" s="289">
        <f>IFERROR(_xlfn.XLOOKUP($A6,CFR20242025_BenchMarkDataReport!$B:$B,CFR20242025_BenchMarkDataReport!BD:BD),0)</f>
        <v>98201.34</v>
      </c>
      <c r="AM6" s="289">
        <f>IFERROR(_xlfn.XLOOKUP($A6,CFR20242025_BenchMarkDataReport!$B:$B,CFR20242025_BenchMarkDataReport!BE:BE),0)</f>
        <v>18586.48</v>
      </c>
      <c r="AN6" s="289">
        <f>IFERROR(_xlfn.XLOOKUP($A6,CFR20242025_BenchMarkDataReport!$B:$B,CFR20242025_BenchMarkDataReport!BF:BF),0)</f>
        <v>45912.83</v>
      </c>
      <c r="AO6" s="289">
        <f>IFERROR(_xlfn.XLOOKUP($A6,CFR20242025_BenchMarkDataReport!$B:$B,CFR20242025_BenchMarkDataReport!BN:BN),0)</f>
        <v>42274.080000000002</v>
      </c>
      <c r="AP6" s="289">
        <f>IFERROR(_xlfn.XLOOKUP($A6,CFR20242025_BenchMarkDataReport!$B:$B,CFR20242025_BenchMarkDataReport!BO:BO),0)</f>
        <v>0</v>
      </c>
      <c r="AQ6" s="289">
        <f>IFERROR(_xlfn.XLOOKUP($A6,CFR20242025_BenchMarkDataReport!$B:$B,CFR20242025_BenchMarkDataReport!BP:BP),0)</f>
        <v>18480.580000000002</v>
      </c>
      <c r="AR6" s="289">
        <f>IFERROR(_xlfn.XLOOKUP($A6,CFR20242025_BenchMarkDataReport!$B:$B,CFR20242025_BenchMarkDataReport!BQ:BQ),0)</f>
        <v>9775</v>
      </c>
      <c r="AS6" s="289">
        <f>IFERROR(_xlfn.XLOOKUP($A6,CFR20242025_BenchMarkDataReport!$B:$B,CFR20242025_BenchMarkDataReport!BR:BR),0)</f>
        <v>649.94000000000005</v>
      </c>
      <c r="AT6" s="289">
        <f>IFERROR(_xlfn.XLOOKUP($A6,CFR20242025_BenchMarkDataReport!$B:$B,CFR20242025_BenchMarkDataReport!BS:BS),0)</f>
        <v>7531.89</v>
      </c>
      <c r="AU6" s="289">
        <f>IFERROR(_xlfn.XLOOKUP($A6,CFR20242025_BenchMarkDataReport!$B:$B,CFR20242025_BenchMarkDataReport!BT:BT),0)</f>
        <v>0</v>
      </c>
      <c r="AV6" s="289">
        <f>IFERROR(_xlfn.XLOOKUP($A6,CFR20242025_BenchMarkDataReport!$B:$B,CFR20242025_BenchMarkDataReport!BU:BU),0)</f>
        <v>8980</v>
      </c>
      <c r="AW6" s="289">
        <f>IFERROR(_xlfn.XLOOKUP($A6,CFR20242025_BenchMarkDataReport!$B:$B,CFR20242025_BenchMarkDataReport!BV:BV),0)</f>
        <v>45048.91</v>
      </c>
      <c r="AX6" s="289">
        <f>IFERROR(_xlfn.XLOOKUP($A6,CFR20242025_BenchMarkDataReport!$B:$B,CFR20242025_BenchMarkDataReport!BW:BW),0)</f>
        <v>0</v>
      </c>
      <c r="AY6" s="289">
        <f>IFERROR(_xlfn.XLOOKUP($A6,CFR20242025_BenchMarkDataReport!$B:$B,CFR20242025_BenchMarkDataReport!BX:BX),0)</f>
        <v>0</v>
      </c>
      <c r="AZ6" s="289">
        <f>IFERROR(_xlfn.XLOOKUP($A6,CFR20242025_BenchMarkDataReport!$B:$B,CFR20242025_BenchMarkDataReport!BY:BY),0)</f>
        <v>0</v>
      </c>
      <c r="BA6" s="289">
        <f>IFERROR(_xlfn.XLOOKUP($A6,CFR20242025_BenchMarkDataReport!$B:$B,CFR20242025_BenchMarkDataReport!BZ:BZ),0)</f>
        <v>146349.96</v>
      </c>
      <c r="BB6" s="289">
        <f>IFERROR(_xlfn.XLOOKUP($A6,CFR20242025_BenchMarkDataReport!$B:$B,CFR20242025_BenchMarkDataReport!CA:CA),0)</f>
        <v>23993.24</v>
      </c>
      <c r="BC6" s="290">
        <f>SUM(D6:R6)+U6</f>
        <v>2931085.0799999996</v>
      </c>
      <c r="BD6" s="291">
        <f>SUM(V6:AZ6)</f>
        <v>2570836.4800000004</v>
      </c>
      <c r="BE6" s="290">
        <f>BC6-BD6</f>
        <v>360248.59999999916</v>
      </c>
      <c r="BF6" s="289">
        <f>IFERROR(_xlfn.XLOOKUP(A6,CFR20242025_BenchMarkDataReport!B:B,CFR20242025_BenchMarkDataReport!Q:Q),0)</f>
        <v>-253268.6</v>
      </c>
      <c r="BG6" s="290">
        <f t="shared" si="0"/>
        <v>106979.99999999916</v>
      </c>
      <c r="BH6" s="292">
        <f>'FEE 34 Spring 24 - 25'!K11</f>
        <v>72</v>
      </c>
      <c r="BI6" s="291">
        <f>D6+E6+F6</f>
        <v>2318531.52</v>
      </c>
      <c r="BJ6" t="s">
        <v>188</v>
      </c>
      <c r="BK6" s="293">
        <f>IFERROR(D6/BC6,0)</f>
        <v>0.75036916021557465</v>
      </c>
      <c r="BL6" s="294">
        <f t="shared" si="2"/>
        <v>30547.164583333335</v>
      </c>
      <c r="BM6" s="295">
        <f>E6/BC6</f>
        <v>0</v>
      </c>
      <c r="BN6" s="296">
        <f t="shared" si="3"/>
        <v>0</v>
      </c>
      <c r="BO6" s="293">
        <f>F6/BC6</f>
        <v>4.0645585763754086E-2</v>
      </c>
      <c r="BP6" s="294">
        <f t="shared" si="4"/>
        <v>1654.6620833333334</v>
      </c>
      <c r="BQ6" s="295">
        <f>G6/BC6</f>
        <v>0</v>
      </c>
      <c r="BR6" s="296">
        <f t="shared" si="5"/>
        <v>0</v>
      </c>
      <c r="BS6" s="293">
        <f>H6/BC6</f>
        <v>0</v>
      </c>
      <c r="BT6" s="294">
        <f t="shared" si="6"/>
        <v>0</v>
      </c>
      <c r="BU6" s="295">
        <f>IFERROR(I6/BC6,0)</f>
        <v>0</v>
      </c>
      <c r="BV6" s="296">
        <f t="shared" si="7"/>
        <v>0</v>
      </c>
      <c r="BW6" s="293">
        <f>IFERROR(J6/BC6,0)</f>
        <v>1.105948108473194E-2</v>
      </c>
      <c r="BX6" s="294">
        <f t="shared" si="8"/>
        <v>450.22611111111109</v>
      </c>
      <c r="BY6" s="295">
        <f>IFERROR((K6+L6)/BC6,0)</f>
        <v>9.087610653731008E-3</v>
      </c>
      <c r="BZ6" s="297">
        <f t="shared" si="9"/>
        <v>369.95222222222225</v>
      </c>
      <c r="CA6" s="298">
        <f>IFERROR(P6/BC6,0)</f>
        <v>0.18379889197893909</v>
      </c>
      <c r="CB6" s="299">
        <f t="shared" si="10"/>
        <v>7482.3637499999995</v>
      </c>
      <c r="CC6" s="295">
        <f>IFERROR(Q6/BC6,0)</f>
        <v>5.0392703032693959E-3</v>
      </c>
      <c r="CD6" s="296">
        <f t="shared" si="11"/>
        <v>205.14625000000001</v>
      </c>
      <c r="CE6" s="300">
        <f>IFERROR((V6+W6+AU6)/BI6,0)</f>
        <v>0.18838740652531652</v>
      </c>
      <c r="CF6" s="298">
        <f>IFERROR((V6+W6+AU6)/BC6,0)</f>
        <v>0.14901721651832778</v>
      </c>
      <c r="CG6" s="298">
        <f>IFERROR((V6+W6+AU6)/BD6,0)</f>
        <v>0.16989884164083432</v>
      </c>
      <c r="CH6" s="299">
        <f t="shared" si="12"/>
        <v>6066.4186111111112</v>
      </c>
      <c r="CI6" s="295">
        <f>IFERROR(X6/BI6,0)</f>
        <v>0.63716869805591425</v>
      </c>
      <c r="CJ6" s="301">
        <f>IFERROR(X6/BC6,0)</f>
        <v>0.50400983583867864</v>
      </c>
      <c r="CK6" s="301">
        <f>IFERROR(X6/BD6,0)</f>
        <v>0.57463620167705098</v>
      </c>
      <c r="CL6" s="302">
        <f t="shared" si="13"/>
        <v>20517.995972222223</v>
      </c>
      <c r="CM6" s="300">
        <f>IFERROR(Y6/BI6,0)</f>
        <v>3.0557566023514744E-2</v>
      </c>
      <c r="CN6" s="298">
        <f>IFERROR(Y6/BC6,0)</f>
        <v>2.4171485325837079E-2</v>
      </c>
      <c r="CO6" s="298">
        <f>IFERROR(Y6/BD6,0)</f>
        <v>2.75586100287483E-2</v>
      </c>
      <c r="CP6" s="299">
        <f t="shared" si="14"/>
        <v>984.0094444444444</v>
      </c>
      <c r="CQ6" s="295">
        <f>IFERROR(Z6/BI6,0)</f>
        <v>5.3854618288734758E-2</v>
      </c>
      <c r="CR6" s="301">
        <f>IFERROR(Z6/BC6,0)</f>
        <v>4.2599797205477234E-2</v>
      </c>
      <c r="CS6" s="301">
        <f>IFERROR(Z6/BD6,0)</f>
        <v>4.8569261783619928E-2</v>
      </c>
      <c r="CT6" s="296">
        <f t="shared" si="15"/>
        <v>1734.2170833333334</v>
      </c>
      <c r="CU6" s="300">
        <f>IFERROR((V6+W6+X6+Y6+Z6+AA6+AB6)/BI6,0)</f>
        <v>0.94126300254050455</v>
      </c>
      <c r="CV6" s="298">
        <f>IFERROR((V6+W6+X6+Y6+Z6+AA6+AB6)/BC6,0)</f>
        <v>0.7445529148543174</v>
      </c>
      <c r="CW6" s="298">
        <f>IFERROR((V6+W6+X6+Y6+Z6+AA6+AB6)/BD6,0)</f>
        <v>0.8488863282350807</v>
      </c>
      <c r="CX6" s="299">
        <f t="shared" si="16"/>
        <v>30310.388055555555</v>
      </c>
      <c r="CY6" s="295">
        <f>IFERROR(AG6/BI6,0)</f>
        <v>1.4735637495236641E-2</v>
      </c>
      <c r="CZ6" s="301">
        <f>IFERROR(AG6/BD6,0)</f>
        <v>1.3289464446995865E-2</v>
      </c>
      <c r="DA6" s="296">
        <f t="shared" si="17"/>
        <v>474.51444444444445</v>
      </c>
      <c r="DB6" s="300">
        <f>IFERROR(AJ6/BD6,0)</f>
        <v>1.5742658202827428E-3</v>
      </c>
      <c r="DC6" s="299">
        <f t="shared" si="18"/>
        <v>56.210833333333333</v>
      </c>
      <c r="DD6" s="295">
        <f>IFERROR(AK6/BI6,0)</f>
        <v>1.1885372168673386E-2</v>
      </c>
      <c r="DE6" s="301">
        <f>IFERROR(AK6/BD6,0)</f>
        <v>1.0718927560884772E-2</v>
      </c>
      <c r="DF6" s="296">
        <f t="shared" si="19"/>
        <v>382.73069444444445</v>
      </c>
      <c r="DG6" s="300">
        <f>IFERROR(AM6/BI6,0)</f>
        <v>8.0164879535474243E-3</v>
      </c>
      <c r="DH6" s="298">
        <f>IFERROR(AM6/BD6,0)</f>
        <v>7.2297402594816125E-3</v>
      </c>
      <c r="DI6" s="303">
        <f t="shared" si="20"/>
        <v>92.012277227722777</v>
      </c>
      <c r="DJ6" s="295">
        <f>IFERROR(AN6/BI6,0)</f>
        <v>1.980254726060399E-2</v>
      </c>
      <c r="DK6" s="301">
        <f>IFERROR(AN6/BC6,0)</f>
        <v>1.5664106891090317E-2</v>
      </c>
      <c r="DL6" s="301">
        <f>IFERROR(AN6/BD6,0)</f>
        <v>1.7859101641501521E-2</v>
      </c>
      <c r="DM6" s="296">
        <f t="shared" si="21"/>
        <v>637.67819444444444</v>
      </c>
      <c r="DN6" s="300">
        <f>IFERROR(AQ6/BI6,0)</f>
        <v>7.9708124908304031E-3</v>
      </c>
      <c r="DO6" s="298">
        <f>IFERROR(AQ6/BD6,0)</f>
        <v>7.1885474411814785E-3</v>
      </c>
      <c r="DP6" s="299">
        <f t="shared" si="22"/>
        <v>256.67472222222227</v>
      </c>
      <c r="DQ6" s="295">
        <f>IFERROR(AV6/BI6,0)</f>
        <v>3.8731412200080852E-3</v>
      </c>
      <c r="DR6" s="301">
        <f>IFERROR(AV6/BD6,0)</f>
        <v>3.4930265187461469E-3</v>
      </c>
      <c r="DS6" s="296">
        <f t="shared" si="23"/>
        <v>124.72222222222223</v>
      </c>
      <c r="DT6" s="300">
        <f>IFERROR(AT6/BD6,0)</f>
        <v>2.9297429294297237E-3</v>
      </c>
      <c r="DU6" s="299">
        <f t="shared" si="24"/>
        <v>104.60958333333333</v>
      </c>
      <c r="DV6" s="295">
        <f t="shared" si="25"/>
        <v>1.9138945780013202E-3</v>
      </c>
      <c r="DW6" s="296">
        <f t="shared" si="26"/>
        <v>68.33763888888889</v>
      </c>
      <c r="DX6" s="295">
        <f>IFERROR(EB6/BI6,0)</f>
        <v>0</v>
      </c>
      <c r="DY6" s="301">
        <f>IFERROR(EB6/BC6,0)</f>
        <v>0</v>
      </c>
      <c r="DZ6" s="301">
        <f>IFERROR(EB6/BD6,0)</f>
        <v>0</v>
      </c>
      <c r="EA6" s="296">
        <f t="shared" si="27"/>
        <v>0</v>
      </c>
      <c r="EB6" s="304">
        <f>IFERROR(VLOOKUP(A6,'Barnet Pupil Premium Nos 22-23'!$E$7:$S$92,14,0),0)</f>
        <v>0</v>
      </c>
      <c r="EC6" s="289">
        <f>IFERROR(VLOOKUP(A6,CFR20232024_BenchMarkDataReport!$B$4:$CL$90,38,0),0)</f>
        <v>0</v>
      </c>
      <c r="ED6" s="289">
        <f>IFERROR(VLOOKUP(A6,CFR20232024_BenchMarkDataReport!$B$4:$CL$90,39,0),0)</f>
        <v>0</v>
      </c>
    </row>
    <row r="7" spans="1:228">
      <c r="A7" s="211">
        <v>1002</v>
      </c>
      <c r="B7" s="287">
        <v>10132</v>
      </c>
      <c r="C7" s="288" t="s">
        <v>29</v>
      </c>
      <c r="D7" s="289">
        <f>IFERROR(_xlfn.XLOOKUP($A7,CFR20242025_BenchMarkDataReport!$B:$B,CFR20242025_BenchMarkDataReport!T:T),0)</f>
        <v>696417.25</v>
      </c>
      <c r="E7" s="289">
        <f>IFERROR(_xlfn.XLOOKUP($A7,CFR20242025_BenchMarkDataReport!$B:$B,CFR20242025_BenchMarkDataReport!U:U),0)</f>
        <v>0</v>
      </c>
      <c r="F7" s="289">
        <f>IFERROR(_xlfn.XLOOKUP($A7,CFR20242025_BenchMarkDataReport!$B:$B,CFR20242025_BenchMarkDataReport!V:V),0)</f>
        <v>13746.5</v>
      </c>
      <c r="G7" s="289">
        <f>IFERROR(_xlfn.XLOOKUP($A7,CFR20242025_BenchMarkDataReport!$B:$B,CFR20242025_BenchMarkDataReport!W:W),0)</f>
        <v>0</v>
      </c>
      <c r="H7" s="289">
        <f>IFERROR(_xlfn.XLOOKUP($A7,CFR20242025_BenchMarkDataReport!$B:$B,CFR20242025_BenchMarkDataReport!X:X),0)</f>
        <v>0</v>
      </c>
      <c r="I7" s="289">
        <f>IFERROR(_xlfn.XLOOKUP($A7,CFR20242025_BenchMarkDataReport!$B:$B,CFR20242025_BenchMarkDataReport!Y:Y),0)</f>
        <v>0</v>
      </c>
      <c r="J7" s="289">
        <f>IFERROR(_xlfn.XLOOKUP($A7,CFR20242025_BenchMarkDataReport!$B:$B,CFR20242025_BenchMarkDataReport!Z:Z),0)</f>
        <v>1180.5999999999999</v>
      </c>
      <c r="K7" s="289">
        <f>IFERROR(_xlfn.XLOOKUP($A7,CFR20242025_BenchMarkDataReport!$B:$B,CFR20242025_BenchMarkDataReport!AA:AA),0)</f>
        <v>0</v>
      </c>
      <c r="L7" s="289">
        <f>IFERROR(_xlfn.XLOOKUP($A7,CFR20242025_BenchMarkDataReport!$B:$B,CFR20242025_BenchMarkDataReport!AB:AB),0)</f>
        <v>0</v>
      </c>
      <c r="M7" s="289">
        <f>IFERROR(_xlfn.XLOOKUP($A7,CFR20242025_BenchMarkDataReport!$B:$B,CFR20242025_BenchMarkDataReport!AC:AC),0)</f>
        <v>22764.880000000001</v>
      </c>
      <c r="N7" s="289">
        <f>IFERROR(_xlfn.XLOOKUP($A7,CFR20242025_BenchMarkDataReport!$B:$B,CFR20242025_BenchMarkDataReport!AD:AD),0)</f>
        <v>0</v>
      </c>
      <c r="O7" s="289">
        <f>IFERROR(_xlfn.XLOOKUP($A7,CFR20242025_BenchMarkDataReport!$B:$B,CFR20242025_BenchMarkDataReport!AE:AE),0)</f>
        <v>0</v>
      </c>
      <c r="P7" s="289">
        <f>IFERROR(_xlfn.XLOOKUP($A7,CFR20242025_BenchMarkDataReport!$B:$B,CFR20242025_BenchMarkDataReport!AF:AF),0)</f>
        <v>380901.06</v>
      </c>
      <c r="Q7" s="289">
        <f>IFERROR(_xlfn.XLOOKUP($A7,CFR20242025_BenchMarkDataReport!$B:$B,CFR20242025_BenchMarkDataReport!AG:AG),0)</f>
        <v>6910.69</v>
      </c>
      <c r="R7" s="289">
        <f>IFERROR(_xlfn.XLOOKUP($A7,CFR20242025_BenchMarkDataReport!$B:$B,CFR20242025_BenchMarkDataReport!AH:AH),0)</f>
        <v>0</v>
      </c>
      <c r="S7" s="289">
        <f>IFERROR(_xlfn.XLOOKUP($A7,CFR20242025_BenchMarkDataReport!$B:$B,CFR20242025_BenchMarkDataReport!AI:AI),0)</f>
        <v>0</v>
      </c>
      <c r="T7" s="289">
        <f>IFERROR(_xlfn.XLOOKUP($A7,CFR20242025_BenchMarkDataReport!$B:$B,CFR20242025_BenchMarkDataReport!AJ:AJ),0)</f>
        <v>0</v>
      </c>
      <c r="U7" s="289">
        <f>INDEX(CFR20242025_BenchMarkDataReport!$B$3:$AM$87,MATCH(A7,CFR20242025_BenchMarkDataReport!$B$3:$B$87),MATCH($U$2,CFR20242025_BenchMarkDataReport!$B$3:$AM$3,0))</f>
        <v>0</v>
      </c>
      <c r="V7" s="289">
        <f>IFERROR(_xlfn.XLOOKUP($A7,CFR20242025_BenchMarkDataReport!$B:$B,CFR20242025_BenchMarkDataReport!AN:AN),0)</f>
        <v>241185.45</v>
      </c>
      <c r="W7" s="289">
        <f>IFERROR(_xlfn.XLOOKUP($A7,CFR20242025_BenchMarkDataReport!$B:$B,CFR20242025_BenchMarkDataReport!AO:AO),0)</f>
        <v>0</v>
      </c>
      <c r="X7" s="289">
        <f>IFERROR(_xlfn.XLOOKUP($A7,CFR20242025_BenchMarkDataReport!$B:$B,CFR20242025_BenchMarkDataReport!AP:AP),0)</f>
        <v>399103.52</v>
      </c>
      <c r="Y7" s="289">
        <f>IFERROR(_xlfn.XLOOKUP($A7,CFR20242025_BenchMarkDataReport!$B:$B,CFR20242025_BenchMarkDataReport!AQ:AQ),0)</f>
        <v>41769.14</v>
      </c>
      <c r="Z7" s="289">
        <f>IFERROR(_xlfn.XLOOKUP($A7,CFR20242025_BenchMarkDataReport!$B:$B,CFR20242025_BenchMarkDataReport!AR:AR),0)</f>
        <v>77964.820000000007</v>
      </c>
      <c r="AA7" s="289">
        <f>IFERROR(_xlfn.XLOOKUP($A7,CFR20242025_BenchMarkDataReport!$B:$B,CFR20242025_BenchMarkDataReport!AS:AS),0)</f>
        <v>0</v>
      </c>
      <c r="AB7" s="289">
        <f>IFERROR(_xlfn.XLOOKUP($A7,CFR20242025_BenchMarkDataReport!$B:$B,CFR20242025_BenchMarkDataReport!AT:AT),0)</f>
        <v>64135.08</v>
      </c>
      <c r="AC7" s="289">
        <f>IFERROR(_xlfn.XLOOKUP($A7,CFR20242025_BenchMarkDataReport!$B:$B,CFR20242025_BenchMarkDataReport!AU:AU),0)</f>
        <v>8519.68</v>
      </c>
      <c r="AD7" s="289">
        <f>IFERROR(_xlfn.XLOOKUP($A7,CFR20242025_BenchMarkDataReport!$B:$B,CFR20242025_BenchMarkDataReport!AV:AV),0)</f>
        <v>3821.94</v>
      </c>
      <c r="AE7" s="289">
        <f>IFERROR(_xlfn.XLOOKUP($A7,CFR20242025_BenchMarkDataReport!$B:$B,CFR20242025_BenchMarkDataReport!AW:AW),0)</f>
        <v>0</v>
      </c>
      <c r="AF7" s="289">
        <f>IFERROR(_xlfn.XLOOKUP($A7,CFR20242025_BenchMarkDataReport!$B:$B,CFR20242025_BenchMarkDataReport!AX:AX),0)</f>
        <v>0</v>
      </c>
      <c r="AG7" s="289">
        <f>IFERROR(_xlfn.XLOOKUP($A7,CFR20242025_BenchMarkDataReport!$B:$B,CFR20242025_BenchMarkDataReport!AY:AY),0)</f>
        <v>13762.67</v>
      </c>
      <c r="AH7" s="289">
        <f>IFERROR(_xlfn.XLOOKUP($A7,CFR20242025_BenchMarkDataReport!$B:$B,CFR20242025_BenchMarkDataReport!AZ:AZ),0)</f>
        <v>12980.09</v>
      </c>
      <c r="AI7" s="289">
        <f>IFERROR(_xlfn.XLOOKUP($A7,CFR20242025_BenchMarkDataReport!$B:$B,CFR20242025_BenchMarkDataReport!BA:BA),0)</f>
        <v>11067.91</v>
      </c>
      <c r="AJ7" s="289">
        <f>IFERROR(_xlfn.XLOOKUP($A7,CFR20242025_BenchMarkDataReport!$B:$B,CFR20242025_BenchMarkDataReport!BB:BB),0)</f>
        <v>1260.4100000000001</v>
      </c>
      <c r="AK7" s="289">
        <f>IFERROR(_xlfn.XLOOKUP($A7,CFR20242025_BenchMarkDataReport!$B:$B,CFR20242025_BenchMarkDataReport!BC:BC),0)</f>
        <v>19325.330000000002</v>
      </c>
      <c r="AL7" s="289">
        <f>IFERROR(_xlfn.XLOOKUP($A7,CFR20242025_BenchMarkDataReport!$B:$B,CFR20242025_BenchMarkDataReport!BD:BD),0)</f>
        <v>0</v>
      </c>
      <c r="AM7" s="289">
        <f>IFERROR(_xlfn.XLOOKUP($A7,CFR20242025_BenchMarkDataReport!$B:$B,CFR20242025_BenchMarkDataReport!BE:BE),0)</f>
        <v>5684.09</v>
      </c>
      <c r="AN7" s="289">
        <f>IFERROR(_xlfn.XLOOKUP($A7,CFR20242025_BenchMarkDataReport!$B:$B,CFR20242025_BenchMarkDataReport!BF:BF),0)</f>
        <v>13795.1</v>
      </c>
      <c r="AO7" s="289">
        <f>IFERROR(_xlfn.XLOOKUP($A7,CFR20242025_BenchMarkDataReport!$B:$B,CFR20242025_BenchMarkDataReport!BN:BN),0)</f>
        <v>10180</v>
      </c>
      <c r="AP7" s="289">
        <f>IFERROR(_xlfn.XLOOKUP($A7,CFR20242025_BenchMarkDataReport!$B:$B,CFR20242025_BenchMarkDataReport!BO:BO),0)</f>
        <v>0</v>
      </c>
      <c r="AQ7" s="289">
        <f>IFERROR(_xlfn.XLOOKUP($A7,CFR20242025_BenchMarkDataReport!$B:$B,CFR20242025_BenchMarkDataReport!BP:BP),0)</f>
        <v>5741.27</v>
      </c>
      <c r="AR7" s="289">
        <f>IFERROR(_xlfn.XLOOKUP($A7,CFR20242025_BenchMarkDataReport!$B:$B,CFR20242025_BenchMarkDataReport!BQ:BQ),0)</f>
        <v>2250</v>
      </c>
      <c r="AS7" s="289">
        <f>IFERROR(_xlfn.XLOOKUP($A7,CFR20242025_BenchMarkDataReport!$B:$B,CFR20242025_BenchMarkDataReport!BR:BR),0)</f>
        <v>3574.07</v>
      </c>
      <c r="AT7" s="289">
        <f>IFERROR(_xlfn.XLOOKUP($A7,CFR20242025_BenchMarkDataReport!$B:$B,CFR20242025_BenchMarkDataReport!BS:BS),0)</f>
        <v>22764.880000000001</v>
      </c>
      <c r="AU7" s="289">
        <f>IFERROR(_xlfn.XLOOKUP($A7,CFR20242025_BenchMarkDataReport!$B:$B,CFR20242025_BenchMarkDataReport!BT:BT),0)</f>
        <v>14311.58</v>
      </c>
      <c r="AV7" s="289">
        <f>IFERROR(_xlfn.XLOOKUP($A7,CFR20242025_BenchMarkDataReport!$B:$B,CFR20242025_BenchMarkDataReport!BU:BU),0)</f>
        <v>36739.089999999997</v>
      </c>
      <c r="AW7" s="289">
        <f>IFERROR(_xlfn.XLOOKUP($A7,CFR20242025_BenchMarkDataReport!$B:$B,CFR20242025_BenchMarkDataReport!BV:BV),0)</f>
        <v>10545.37</v>
      </c>
      <c r="AX7" s="289">
        <f>IFERROR(_xlfn.XLOOKUP($A7,CFR20242025_BenchMarkDataReport!$B:$B,CFR20242025_BenchMarkDataReport!BW:BW),0)</f>
        <v>0</v>
      </c>
      <c r="AY7" s="289">
        <f>IFERROR(_xlfn.XLOOKUP($A7,CFR20242025_BenchMarkDataReport!$B:$B,CFR20242025_BenchMarkDataReport!BX:BX),0)</f>
        <v>0</v>
      </c>
      <c r="AZ7" s="289">
        <f>IFERROR(_xlfn.XLOOKUP($A7,CFR20242025_BenchMarkDataReport!$B:$B,CFR20242025_BenchMarkDataReport!BY:BY),0)</f>
        <v>0</v>
      </c>
      <c r="BA7" s="289">
        <f>IFERROR(_xlfn.XLOOKUP($A7,CFR20242025_BenchMarkDataReport!$B:$B,CFR20242025_BenchMarkDataReport!BZ:BZ),0)</f>
        <v>0</v>
      </c>
      <c r="BB7" s="289">
        <f>IFERROR(_xlfn.XLOOKUP($A7,CFR20242025_BenchMarkDataReport!$B:$B,CFR20242025_BenchMarkDataReport!CA:CA),0)</f>
        <v>0</v>
      </c>
      <c r="BC7" s="290">
        <f>SUM(D7:R7)+U7</f>
        <v>1121920.98</v>
      </c>
      <c r="BD7" s="291">
        <f>SUM(V7:AZ7)</f>
        <v>1020481.4899999998</v>
      </c>
      <c r="BE7" s="290">
        <f>BC7-BD7</f>
        <v>101439.49000000022</v>
      </c>
      <c r="BF7" s="289">
        <f>IFERROR(_xlfn.XLOOKUP(A7,CFR20242025_BenchMarkDataReport!B:B,CFR20242025_BenchMarkDataReport!Q:Q),0)</f>
        <v>-122472.49</v>
      </c>
      <c r="BG7" s="290">
        <f t="shared" si="0"/>
        <v>-21032.999999999782</v>
      </c>
      <c r="BH7" s="292">
        <f>'FEE 34 Spring 24 - 25'!K42</f>
        <v>76</v>
      </c>
      <c r="BI7" s="291">
        <f t="shared" si="1"/>
        <v>710163.75</v>
      </c>
      <c r="BJ7" t="s">
        <v>188</v>
      </c>
      <c r="BK7" s="293">
        <f>IFERROR(D7/BC7,0)</f>
        <v>0.62073645329281568</v>
      </c>
      <c r="BL7" s="294">
        <f t="shared" si="2"/>
        <v>9163.3848684210534</v>
      </c>
      <c r="BM7" s="295">
        <f>E7/BC7</f>
        <v>0</v>
      </c>
      <c r="BN7" s="296">
        <f t="shared" si="3"/>
        <v>0</v>
      </c>
      <c r="BO7" s="293">
        <f>F7/BC7</f>
        <v>1.2252645458149825E-2</v>
      </c>
      <c r="BP7" s="294">
        <f t="shared" si="4"/>
        <v>180.875</v>
      </c>
      <c r="BQ7" s="295">
        <f>G7/BC7</f>
        <v>0</v>
      </c>
      <c r="BR7" s="296">
        <f t="shared" si="5"/>
        <v>0</v>
      </c>
      <c r="BS7" s="293">
        <f>H7/BC7</f>
        <v>0</v>
      </c>
      <c r="BT7" s="294">
        <f t="shared" si="6"/>
        <v>0</v>
      </c>
      <c r="BU7" s="295">
        <f>IFERROR(I7/BC7,0)</f>
        <v>0</v>
      </c>
      <c r="BV7" s="296">
        <f t="shared" si="7"/>
        <v>0</v>
      </c>
      <c r="BW7" s="293">
        <f>IFERROR(J7/BC7,0)</f>
        <v>1.0523022753349349E-3</v>
      </c>
      <c r="BX7" s="294">
        <f t="shared" si="8"/>
        <v>15.534210526315789</v>
      </c>
      <c r="BY7" s="295">
        <f>IFERROR((K7+L7)/BC7,0)</f>
        <v>0</v>
      </c>
      <c r="BZ7" s="297">
        <f t="shared" si="9"/>
        <v>0</v>
      </c>
      <c r="CA7" s="298">
        <f>IFERROR(P7/BC7,0)</f>
        <v>0.33950792149372233</v>
      </c>
      <c r="CB7" s="299">
        <f t="shared" si="10"/>
        <v>5011.8560526315787</v>
      </c>
      <c r="CC7" s="295">
        <f>IFERROR(Q7/BC7,0)</f>
        <v>6.159694063302034E-3</v>
      </c>
      <c r="CD7" s="296">
        <f t="shared" si="11"/>
        <v>90.930131578947368</v>
      </c>
      <c r="CE7" s="300">
        <f>(V7+W7+AU7)/BI7</f>
        <v>0.35977199624734435</v>
      </c>
      <c r="CF7" s="298">
        <f>IFERROR((V7+W7+AU7)/BC7,0)</f>
        <v>0.22773175166044227</v>
      </c>
      <c r="CG7" s="298">
        <f>IFERROR((V7+W7+AU7)/BD7,0)</f>
        <v>0.25036909782655642</v>
      </c>
      <c r="CH7" s="299">
        <f t="shared" si="12"/>
        <v>3361.8030263157893</v>
      </c>
      <c r="CI7" s="295">
        <f>IFERROR(X7/BI7,0)</f>
        <v>0.56198802036854179</v>
      </c>
      <c r="CJ7" s="301">
        <f>IFERROR(X7/BC7,0)</f>
        <v>0.35573229052192251</v>
      </c>
      <c r="CK7" s="301">
        <f>IFERROR(X7/BD7,0)</f>
        <v>0.39109334555396991</v>
      </c>
      <c r="CL7" s="302">
        <f t="shared" si="13"/>
        <v>5251.3621052631579</v>
      </c>
      <c r="CM7" s="300">
        <f>IFERROR(Y7/BI7,0)</f>
        <v>5.8816209641790358E-2</v>
      </c>
      <c r="CN7" s="298">
        <f>IFERROR(Y7/BC7,0)</f>
        <v>3.723001953310473E-2</v>
      </c>
      <c r="CO7" s="298">
        <f>IFERROR(Y7/BD7,0)</f>
        <v>4.093081590338303E-2</v>
      </c>
      <c r="CP7" s="299">
        <f t="shared" si="14"/>
        <v>549.59394736842103</v>
      </c>
      <c r="CQ7" s="295">
        <f>IFERROR(Z7/BI7,0)</f>
        <v>0.10978428566651002</v>
      </c>
      <c r="CR7" s="301">
        <f>IFERROR(Z7/BC7,0)</f>
        <v>6.9492256041062725E-2</v>
      </c>
      <c r="CS7" s="301">
        <f>IFERROR(Z7/BD7,0)</f>
        <v>7.6400033478314269E-2</v>
      </c>
      <c r="CT7" s="296">
        <f t="shared" si="15"/>
        <v>1025.8528947368422</v>
      </c>
      <c r="CU7" s="300">
        <f>IFERROR((V7+W7+X7+Y7+Z7+AA7+AB7)/BI7,0)</f>
        <v>1.1605182748345011</v>
      </c>
      <c r="CV7" s="298">
        <f>IFERROR((V7+W7+X7+Y7+Z7+AA7+AB7)/BC7,0)</f>
        <v>0.73459541687151608</v>
      </c>
      <c r="CW7" s="298">
        <f>IFERROR((V7+W7+X7+Y7+Z7+AA7+AB7)/BD7,0)</f>
        <v>0.80761681429420151</v>
      </c>
      <c r="CX7" s="299">
        <f t="shared" si="16"/>
        <v>10844.184342105262</v>
      </c>
      <c r="CY7" s="295">
        <f>IFERROR(AG7/BI7,0)</f>
        <v>1.9379572668979515E-2</v>
      </c>
      <c r="CZ7" s="301">
        <f>IFERROR(AG7/BD7,0)</f>
        <v>1.3486447461188152E-2</v>
      </c>
      <c r="DA7" s="296">
        <f t="shared" si="17"/>
        <v>181.08776315789473</v>
      </c>
      <c r="DB7" s="300">
        <f>IFERROR(AJ7/BD7,0)</f>
        <v>1.2351130445295978E-3</v>
      </c>
      <c r="DC7" s="299">
        <f t="shared" si="18"/>
        <v>16.584342105263158</v>
      </c>
      <c r="DD7" s="295">
        <f>IFERROR(AK7/BI7,0)</f>
        <v>2.7212498525868156E-2</v>
      </c>
      <c r="DE7" s="301">
        <f>IFERROR(AK7/BD7,0)</f>
        <v>1.8937462550153661E-2</v>
      </c>
      <c r="DF7" s="296">
        <f t="shared" si="19"/>
        <v>254.28065789473686</v>
      </c>
      <c r="DG7" s="300">
        <f>IFERROR(AM7/BI7,0)</f>
        <v>8.0039145901209408E-3</v>
      </c>
      <c r="DH7" s="298">
        <f>IFERROR(AM7/BD7,0)</f>
        <v>5.5700079381155671E-3</v>
      </c>
      <c r="DI7" s="303">
        <f t="shared" si="20"/>
        <v>27.32735576923077</v>
      </c>
      <c r="DJ7" s="295">
        <f>IFERROR(AN7/BI7,0)</f>
        <v>1.9425238193304009E-2</v>
      </c>
      <c r="DK7" s="301">
        <f>IFERROR(AN7/BC7,0)</f>
        <v>1.2295964017002338E-2</v>
      </c>
      <c r="DL7" s="301">
        <f>IFERROR(AN7/BD7,0)</f>
        <v>1.3518226577534497E-2</v>
      </c>
      <c r="DM7" s="296">
        <f t="shared" si="21"/>
        <v>181.51447368421054</v>
      </c>
      <c r="DN7" s="300">
        <f>IFERROR(AQ7/BI7,0)</f>
        <v>8.0844312315293491E-3</v>
      </c>
      <c r="DO7" s="298">
        <f>IFERROR(AQ7/BD7,0)</f>
        <v>5.6260403116180011E-3</v>
      </c>
      <c r="DP7" s="299">
        <f t="shared" si="22"/>
        <v>75.543026315789476</v>
      </c>
      <c r="DQ7" s="295">
        <f>IFERROR(AV7/BI7,0)</f>
        <v>5.1733265743288077E-2</v>
      </c>
      <c r="DR7" s="301">
        <f>IFERROR(AV7/BD7,0)</f>
        <v>3.6001721109120761E-2</v>
      </c>
      <c r="DS7" s="296">
        <f t="shared" si="23"/>
        <v>483.40907894736836</v>
      </c>
      <c r="DT7" s="300">
        <f>IFERROR(AT7/BD7,0)</f>
        <v>2.2307979344142741E-2</v>
      </c>
      <c r="DU7" s="299">
        <f t="shared" si="24"/>
        <v>299.53789473684213</v>
      </c>
      <c r="DV7" s="295">
        <f t="shared" si="25"/>
        <v>1.0845772420624702E-2</v>
      </c>
      <c r="DW7" s="296">
        <f t="shared" si="26"/>
        <v>145.63039473684211</v>
      </c>
      <c r="DX7" s="295">
        <f>IFERROR(EB7/BI7,0)</f>
        <v>0</v>
      </c>
      <c r="DY7" s="301">
        <f>IFERROR(EB7/BC7,0)</f>
        <v>0</v>
      </c>
      <c r="DZ7" s="301">
        <f>IFERROR(EB7/BD7,0)</f>
        <v>0</v>
      </c>
      <c r="EA7" s="296">
        <f t="shared" si="27"/>
        <v>0</v>
      </c>
      <c r="EB7" s="304">
        <f>IFERROR(VLOOKUP(A7,'Barnet Pupil Premium Nos 22-23'!$E$7:$S$92,14,0),0)</f>
        <v>0</v>
      </c>
      <c r="EC7" s="289">
        <f>IFERROR(VLOOKUP(A7,CFR20232024_BenchMarkDataReport!$B$4:$CL$90,38,0),0)</f>
        <v>0</v>
      </c>
      <c r="ED7" s="289">
        <f>IFERROR(VLOOKUP(A7,CFR20232024_BenchMarkDataReport!$B$4:$CL$90,39,0),0)</f>
        <v>0</v>
      </c>
    </row>
    <row r="8" spans="1:228" s="16" customFormat="1" ht="16.2" thickBot="1">
      <c r="A8" s="306">
        <v>1999</v>
      </c>
      <c r="B8" s="307"/>
      <c r="C8" s="308" t="s">
        <v>189</v>
      </c>
      <c r="D8" s="309">
        <f t="shared" ref="D8:AI8" si="28">AVERAGE(D4:D7)</f>
        <v>723953.27500000002</v>
      </c>
      <c r="E8" s="309">
        <f t="shared" si="28"/>
        <v>0</v>
      </c>
      <c r="F8" s="309">
        <f t="shared" si="28"/>
        <v>33220.542499999996</v>
      </c>
      <c r="G8" s="309">
        <f t="shared" si="28"/>
        <v>0</v>
      </c>
      <c r="H8" s="309">
        <f t="shared" si="28"/>
        <v>0</v>
      </c>
      <c r="I8" s="309">
        <f t="shared" si="28"/>
        <v>0</v>
      </c>
      <c r="J8" s="309">
        <f t="shared" si="28"/>
        <v>8399.2199999999993</v>
      </c>
      <c r="K8" s="309">
        <f t="shared" si="28"/>
        <v>5250</v>
      </c>
      <c r="L8" s="309">
        <f t="shared" si="28"/>
        <v>1409.14</v>
      </c>
      <c r="M8" s="309">
        <f t="shared" si="28"/>
        <v>5691.22</v>
      </c>
      <c r="N8" s="309">
        <f t="shared" si="28"/>
        <v>0</v>
      </c>
      <c r="O8" s="309">
        <f t="shared" si="28"/>
        <v>0</v>
      </c>
      <c r="P8" s="309">
        <f t="shared" si="28"/>
        <v>229907.8125</v>
      </c>
      <c r="Q8" s="309">
        <f t="shared" si="28"/>
        <v>5420.3050000000003</v>
      </c>
      <c r="R8" s="309">
        <f t="shared" si="28"/>
        <v>0</v>
      </c>
      <c r="S8" s="309">
        <f t="shared" si="28"/>
        <v>41055.855000000003</v>
      </c>
      <c r="T8" s="309">
        <f t="shared" si="28"/>
        <v>340</v>
      </c>
      <c r="U8" s="309">
        <f t="shared" si="28"/>
        <v>0</v>
      </c>
      <c r="V8" s="309">
        <f t="shared" si="28"/>
        <v>168926.1925</v>
      </c>
      <c r="W8" s="309">
        <f t="shared" si="28"/>
        <v>565.70500000000004</v>
      </c>
      <c r="X8" s="309">
        <f t="shared" si="28"/>
        <v>469099.8075</v>
      </c>
      <c r="Y8" s="309">
        <f t="shared" si="28"/>
        <v>28154.454999999998</v>
      </c>
      <c r="Z8" s="309">
        <f t="shared" si="28"/>
        <v>50707.112500000003</v>
      </c>
      <c r="AA8" s="309">
        <f t="shared" si="28"/>
        <v>0</v>
      </c>
      <c r="AB8" s="309">
        <f t="shared" si="28"/>
        <v>34173.214999999997</v>
      </c>
      <c r="AC8" s="309">
        <f t="shared" si="28"/>
        <v>5528.4974999999995</v>
      </c>
      <c r="AD8" s="309">
        <f t="shared" si="28"/>
        <v>1957.7449999999999</v>
      </c>
      <c r="AE8" s="309">
        <f t="shared" si="28"/>
        <v>0</v>
      </c>
      <c r="AF8" s="309">
        <f t="shared" si="28"/>
        <v>0</v>
      </c>
      <c r="AG8" s="309">
        <f t="shared" si="28"/>
        <v>11981.9275</v>
      </c>
      <c r="AH8" s="309">
        <f t="shared" si="28"/>
        <v>4433.7725</v>
      </c>
      <c r="AI8" s="309">
        <f t="shared" si="28"/>
        <v>3997.0550000000003</v>
      </c>
      <c r="AJ8" s="309">
        <f t="shared" ref="AJ8:BI8" si="29">AVERAGE(AJ4:AJ7)</f>
        <v>1326.8975</v>
      </c>
      <c r="AK8" s="309">
        <f t="shared" si="29"/>
        <v>11720.485000000001</v>
      </c>
      <c r="AL8" s="309">
        <f t="shared" si="29"/>
        <v>24550.334999999999</v>
      </c>
      <c r="AM8" s="309">
        <f t="shared" si="29"/>
        <v>6067.6424999999999</v>
      </c>
      <c r="AN8" s="309">
        <f t="shared" si="29"/>
        <v>14926.9825</v>
      </c>
      <c r="AO8" s="309">
        <f t="shared" si="29"/>
        <v>13113.52</v>
      </c>
      <c r="AP8" s="309">
        <f t="shared" si="29"/>
        <v>0</v>
      </c>
      <c r="AQ8" s="309">
        <f t="shared" si="29"/>
        <v>6055.4625000000005</v>
      </c>
      <c r="AR8" s="309">
        <f t="shared" si="29"/>
        <v>3006.25</v>
      </c>
      <c r="AS8" s="309">
        <f t="shared" si="29"/>
        <v>1056.0025000000001</v>
      </c>
      <c r="AT8" s="309">
        <f t="shared" si="29"/>
        <v>7574.1925000000001</v>
      </c>
      <c r="AU8" s="309">
        <f t="shared" si="29"/>
        <v>3577.895</v>
      </c>
      <c r="AV8" s="309">
        <f t="shared" si="29"/>
        <v>11429.772499999999</v>
      </c>
      <c r="AW8" s="309">
        <f t="shared" si="29"/>
        <v>13898.570000000002</v>
      </c>
      <c r="AX8" s="309">
        <f t="shared" si="29"/>
        <v>0</v>
      </c>
      <c r="AY8" s="309">
        <f t="shared" si="29"/>
        <v>0</v>
      </c>
      <c r="AZ8" s="309">
        <f t="shared" si="29"/>
        <v>0</v>
      </c>
      <c r="BA8" s="309">
        <f t="shared" si="29"/>
        <v>36587.49</v>
      </c>
      <c r="BB8" s="309">
        <f t="shared" si="29"/>
        <v>5998.31</v>
      </c>
      <c r="BC8" s="309">
        <f t="shared" si="29"/>
        <v>1013251.5149999999</v>
      </c>
      <c r="BD8" s="309">
        <f t="shared" si="29"/>
        <v>897829.49250000005</v>
      </c>
      <c r="BE8" s="309">
        <f t="shared" si="29"/>
        <v>115422.02249999985</v>
      </c>
      <c r="BF8" s="309">
        <f t="shared" si="29"/>
        <v>-93935.272500000006</v>
      </c>
      <c r="BG8" s="309">
        <f t="shared" si="29"/>
        <v>21486.749999999844</v>
      </c>
      <c r="BH8" s="309">
        <f t="shared" si="29"/>
        <v>68.5</v>
      </c>
      <c r="BI8" s="309">
        <f t="shared" si="29"/>
        <v>757173.8175</v>
      </c>
      <c r="BJ8" s="16" t="s">
        <v>188</v>
      </c>
      <c r="BK8" s="310">
        <f t="shared" ref="BK8:CP8" si="30">AVERAGE(BK4:BK7)</f>
        <v>0.34277640337709758</v>
      </c>
      <c r="BL8" s="311">
        <f t="shared" si="30"/>
        <v>9927.6373629385962</v>
      </c>
      <c r="BM8" s="312">
        <f t="shared" si="30"/>
        <v>0</v>
      </c>
      <c r="BN8" s="313">
        <f t="shared" si="30"/>
        <v>0</v>
      </c>
      <c r="BO8" s="310">
        <f t="shared" si="30"/>
        <v>1.3224557805475977E-2</v>
      </c>
      <c r="BP8" s="311">
        <f t="shared" si="30"/>
        <v>458.88427083333335</v>
      </c>
      <c r="BQ8" s="312">
        <f t="shared" si="30"/>
        <v>0</v>
      </c>
      <c r="BR8" s="313">
        <f t="shared" si="30"/>
        <v>0</v>
      </c>
      <c r="BS8" s="310">
        <f t="shared" si="30"/>
        <v>0</v>
      </c>
      <c r="BT8" s="311">
        <f t="shared" si="30"/>
        <v>0</v>
      </c>
      <c r="BU8" s="312">
        <f t="shared" si="30"/>
        <v>0</v>
      </c>
      <c r="BV8" s="313">
        <f t="shared" si="30"/>
        <v>0</v>
      </c>
      <c r="BW8" s="310">
        <f t="shared" si="30"/>
        <v>3.0279458400167187E-3</v>
      </c>
      <c r="BX8" s="311">
        <f>AVERAGE(BX4:BX7)</f>
        <v>116.44008040935672</v>
      </c>
      <c r="BY8" s="312">
        <f t="shared" si="30"/>
        <v>2.271902663432752E-3</v>
      </c>
      <c r="BZ8" s="314">
        <f t="shared" si="30"/>
        <v>92.488055555555562</v>
      </c>
      <c r="CA8" s="315">
        <f t="shared" si="30"/>
        <v>0.13082670336816535</v>
      </c>
      <c r="CB8" s="316">
        <f t="shared" si="30"/>
        <v>3123.5549506578946</v>
      </c>
      <c r="CC8" s="312">
        <f t="shared" si="30"/>
        <v>2.7997410916428575E-3</v>
      </c>
      <c r="CD8" s="317">
        <f t="shared" si="30"/>
        <v>74.019095394736837</v>
      </c>
      <c r="CE8" s="318">
        <f t="shared" si="30"/>
        <v>0.13703985069316521</v>
      </c>
      <c r="CF8" s="315">
        <f t="shared" si="30"/>
        <v>9.4187242044692504E-2</v>
      </c>
      <c r="CG8" s="315">
        <f t="shared" si="30"/>
        <v>0.10506698486684768</v>
      </c>
      <c r="CH8" s="316">
        <f t="shared" si="30"/>
        <v>2357.0554093567252</v>
      </c>
      <c r="CI8" s="312">
        <f t="shared" si="30"/>
        <v>0.29978917960611401</v>
      </c>
      <c r="CJ8" s="319">
        <f t="shared" si="30"/>
        <v>0.21493553159015027</v>
      </c>
      <c r="CK8" s="319">
        <f t="shared" si="30"/>
        <v>0.24143238680775522</v>
      </c>
      <c r="CL8" s="320">
        <f t="shared" si="30"/>
        <v>6442.339519371345</v>
      </c>
      <c r="CM8" s="318">
        <f t="shared" si="30"/>
        <v>2.2343443916326276E-2</v>
      </c>
      <c r="CN8" s="315">
        <f t="shared" si="30"/>
        <v>1.5350376214735452E-2</v>
      </c>
      <c r="CO8" s="315">
        <f t="shared" si="30"/>
        <v>1.7122356483032834E-2</v>
      </c>
      <c r="CP8" s="316">
        <f t="shared" si="30"/>
        <v>383.40084795321638</v>
      </c>
      <c r="CQ8" s="312">
        <f t="shared" ref="CQ8:EA8" si="31">AVERAGE(CQ4:CQ7)</f>
        <v>4.0909725988811194E-2</v>
      </c>
      <c r="CR8" s="319">
        <f t="shared" si="31"/>
        <v>2.8023013311634988E-2</v>
      </c>
      <c r="CS8" s="319">
        <f t="shared" si="31"/>
        <v>3.1242323815483551E-2</v>
      </c>
      <c r="CT8" s="317">
        <f t="shared" si="31"/>
        <v>690.01749451754392</v>
      </c>
      <c r="CU8" s="318">
        <f t="shared" si="31"/>
        <v>0.52544531934375138</v>
      </c>
      <c r="CV8" s="315">
        <f t="shared" si="31"/>
        <v>0.36978708293145834</v>
      </c>
      <c r="CW8" s="315">
        <f t="shared" si="31"/>
        <v>0.41412578563232055</v>
      </c>
      <c r="CX8" s="316">
        <f t="shared" si="31"/>
        <v>10288.643099415203</v>
      </c>
      <c r="CY8" s="312">
        <f t="shared" si="31"/>
        <v>8.5288025410540386E-3</v>
      </c>
      <c r="CZ8" s="319">
        <f t="shared" si="31"/>
        <v>6.6939779770460043E-3</v>
      </c>
      <c r="DA8" s="317">
        <f t="shared" si="31"/>
        <v>163.90055190058479</v>
      </c>
      <c r="DB8" s="318">
        <f t="shared" si="31"/>
        <v>7.0234471620308516E-4</v>
      </c>
      <c r="DC8" s="316">
        <f t="shared" si="31"/>
        <v>18.198793859649122</v>
      </c>
      <c r="DD8" s="312">
        <f t="shared" si="31"/>
        <v>9.7744676736353855E-3</v>
      </c>
      <c r="DE8" s="319">
        <f t="shared" si="31"/>
        <v>7.4140975277596083E-3</v>
      </c>
      <c r="DF8" s="317">
        <f t="shared" si="31"/>
        <v>159.25283808479531</v>
      </c>
      <c r="DG8" s="318">
        <f t="shared" si="31"/>
        <v>4.0051006359170908E-3</v>
      </c>
      <c r="DH8" s="315">
        <f t="shared" si="31"/>
        <v>3.1999370493992949E-3</v>
      </c>
      <c r="DI8" s="316">
        <f t="shared" si="31"/>
        <v>29.834908249238389</v>
      </c>
      <c r="DJ8" s="312">
        <f t="shared" si="31"/>
        <v>9.8069463634769989E-3</v>
      </c>
      <c r="DK8" s="319">
        <f t="shared" si="31"/>
        <v>6.9900177270231633E-3</v>
      </c>
      <c r="DL8" s="319">
        <f t="shared" si="31"/>
        <v>7.8443320547590054E-3</v>
      </c>
      <c r="DM8" s="317">
        <f t="shared" si="31"/>
        <v>204.79816703216375</v>
      </c>
      <c r="DN8" s="318">
        <f>AVERAGE(DN4:DN7)</f>
        <v>4.013810930589938E-3</v>
      </c>
      <c r="DO8" s="315">
        <f>AVERAGE(DO4:DO7)</f>
        <v>3.2036469381998699E-3</v>
      </c>
      <c r="DP8" s="316">
        <f>AVERAGE(DP4:DP7)</f>
        <v>83.054437134502933</v>
      </c>
      <c r="DQ8" s="312">
        <f t="shared" si="31"/>
        <v>1.3901601740824041E-2</v>
      </c>
      <c r="DR8" s="319">
        <f t="shared" si="31"/>
        <v>9.873686906966727E-3</v>
      </c>
      <c r="DS8" s="317">
        <f t="shared" si="31"/>
        <v>152.03282529239766</v>
      </c>
      <c r="DT8" s="318">
        <f t="shared" si="31"/>
        <v>6.309430568393116E-3</v>
      </c>
      <c r="DU8" s="316">
        <f t="shared" si="31"/>
        <v>101.03686951754386</v>
      </c>
      <c r="DV8" s="312">
        <f t="shared" ref="DV8:DW8" si="32">AVERAGE(DV4:DV7)</f>
        <v>3.1899167496565054E-3</v>
      </c>
      <c r="DW8" s="317">
        <f t="shared" si="32"/>
        <v>53.492008406432745</v>
      </c>
      <c r="DX8" s="312">
        <f t="shared" si="31"/>
        <v>0</v>
      </c>
      <c r="DY8" s="319">
        <f t="shared" si="31"/>
        <v>0</v>
      </c>
      <c r="DZ8" s="319">
        <f t="shared" si="31"/>
        <v>0</v>
      </c>
      <c r="EA8" s="313">
        <f t="shared" si="31"/>
        <v>0</v>
      </c>
      <c r="EB8" s="321">
        <f>AVERAGE(EB4:EB7)</f>
        <v>0</v>
      </c>
      <c r="EC8" s="309">
        <f>AVERAGE(EC4:EC7)</f>
        <v>0</v>
      </c>
      <c r="ED8" s="309">
        <f>AVERAGE(ED4:ED7)</f>
        <v>0</v>
      </c>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row>
    <row r="9" spans="1:228" ht="15.6" thickTop="1">
      <c r="A9" s="322">
        <v>3520</v>
      </c>
      <c r="B9" s="323">
        <v>11094</v>
      </c>
      <c r="C9" s="324" t="s">
        <v>31</v>
      </c>
      <c r="D9" s="289">
        <f>IFERROR(_xlfn.XLOOKUP($A9,CFR20242025_BenchMarkDataReport!$B:$B,CFR20242025_BenchMarkDataReport!T:T),0)</f>
        <v>2093866.6</v>
      </c>
      <c r="E9" s="289">
        <f>IFERROR(_xlfn.XLOOKUP($A9,CFR20242025_BenchMarkDataReport!$B:$B,CFR20242025_BenchMarkDataReport!U:U),0)</f>
        <v>0</v>
      </c>
      <c r="F9" s="289">
        <f>IFERROR(_xlfn.XLOOKUP($A9,CFR20242025_BenchMarkDataReport!$B:$B,CFR20242025_BenchMarkDataReport!V:V),0)</f>
        <v>153252.31</v>
      </c>
      <c r="G9" s="289">
        <f>IFERROR(_xlfn.XLOOKUP($A9,CFR20242025_BenchMarkDataReport!$B:$B,CFR20242025_BenchMarkDataReport!W:W),0)</f>
        <v>0</v>
      </c>
      <c r="H9" s="289">
        <f>IFERROR(_xlfn.XLOOKUP($A9,CFR20242025_BenchMarkDataReport!$B:$B,CFR20242025_BenchMarkDataReport!X:X),0)</f>
        <v>4440</v>
      </c>
      <c r="I9" s="289">
        <f>IFERROR(_xlfn.XLOOKUP($A9,CFR20242025_BenchMarkDataReport!$B:$B,CFR20242025_BenchMarkDataReport!Y:Y),0)</f>
        <v>38151.65</v>
      </c>
      <c r="J9" s="289">
        <f>IFERROR(_xlfn.XLOOKUP($A9,CFR20242025_BenchMarkDataReport!$B:$B,CFR20242025_BenchMarkDataReport!Z:Z),0)</f>
        <v>175468.18</v>
      </c>
      <c r="K9" s="289">
        <f>IFERROR(_xlfn.XLOOKUP($A9,CFR20242025_BenchMarkDataReport!$B:$B,CFR20242025_BenchMarkDataReport!AA:AA),0)</f>
        <v>31865.21</v>
      </c>
      <c r="L9" s="289">
        <f>IFERROR(_xlfn.XLOOKUP($A9,CFR20242025_BenchMarkDataReport!$B:$B,CFR20242025_BenchMarkDataReport!AB:AB),0)</f>
        <v>0</v>
      </c>
      <c r="M9" s="289">
        <f>IFERROR(_xlfn.XLOOKUP($A9,CFR20242025_BenchMarkDataReport!$B:$B,CFR20242025_BenchMarkDataReport!AC:AC),0)</f>
        <v>3445.92</v>
      </c>
      <c r="N9" s="289">
        <f>IFERROR(_xlfn.XLOOKUP($A9,CFR20242025_BenchMarkDataReport!$B:$B,CFR20242025_BenchMarkDataReport!AD:AD),0)</f>
        <v>0</v>
      </c>
      <c r="O9" s="289">
        <f>IFERROR(_xlfn.XLOOKUP($A9,CFR20242025_BenchMarkDataReport!$B:$B,CFR20242025_BenchMarkDataReport!AE:AE),0)</f>
        <v>0</v>
      </c>
      <c r="P9" s="289">
        <f>IFERROR(_xlfn.XLOOKUP($A9,CFR20242025_BenchMarkDataReport!$B:$B,CFR20242025_BenchMarkDataReport!AF:AF),0)</f>
        <v>51275.33</v>
      </c>
      <c r="Q9" s="289">
        <f>IFERROR(_xlfn.XLOOKUP($A9,CFR20242025_BenchMarkDataReport!$B:$B,CFR20242025_BenchMarkDataReport!AG:AG),0)</f>
        <v>628439.66</v>
      </c>
      <c r="R9" s="289">
        <f>IFERROR(_xlfn.XLOOKUP($A9,CFR20242025_BenchMarkDataReport!$B:$B,CFR20242025_BenchMarkDataReport!AH:AH),0)</f>
        <v>0</v>
      </c>
      <c r="S9" s="289">
        <f>IFERROR(_xlfn.XLOOKUP($A9,CFR20242025_BenchMarkDataReport!$B:$B,CFR20242025_BenchMarkDataReport!AI:AI),0)</f>
        <v>0</v>
      </c>
      <c r="T9" s="289">
        <f>IFERROR(_xlfn.XLOOKUP($A9,CFR20242025_BenchMarkDataReport!$B:$B,CFR20242025_BenchMarkDataReport!AJ:AJ),0)</f>
        <v>0</v>
      </c>
      <c r="U9" s="289">
        <f>INDEX(CFR20242025_BenchMarkDataReport!$B$3:$AM$87,MATCH(A9,CFR20242025_BenchMarkDataReport!$B$3:$B$87),MATCH($U$2,CFR20242025_BenchMarkDataReport!$B$3:$AM$3,0))</f>
        <v>107878.88</v>
      </c>
      <c r="V9" s="289">
        <f>IFERROR(_xlfn.XLOOKUP($A9,CFR20242025_BenchMarkDataReport!$B:$B,CFR20242025_BenchMarkDataReport!AN:AN),0)</f>
        <v>1188801.52</v>
      </c>
      <c r="W9" s="289">
        <f>IFERROR(_xlfn.XLOOKUP($A9,CFR20242025_BenchMarkDataReport!$B:$B,CFR20242025_BenchMarkDataReport!AO:AO),0)</f>
        <v>4285.46</v>
      </c>
      <c r="X9" s="289">
        <f>IFERROR(_xlfn.XLOOKUP($A9,CFR20242025_BenchMarkDataReport!$B:$B,CFR20242025_BenchMarkDataReport!AP:AP),0)</f>
        <v>590510.39</v>
      </c>
      <c r="Y9" s="289">
        <f>IFERROR(_xlfn.XLOOKUP($A9,CFR20242025_BenchMarkDataReport!$B:$B,CFR20242025_BenchMarkDataReport!AQ:AQ),0)</f>
        <v>38127.050000000003</v>
      </c>
      <c r="Z9" s="289">
        <f>IFERROR(_xlfn.XLOOKUP($A9,CFR20242025_BenchMarkDataReport!$B:$B,CFR20242025_BenchMarkDataReport!AR:AR),0)</f>
        <v>143377.64000000001</v>
      </c>
      <c r="AA9" s="289">
        <f>IFERROR(_xlfn.XLOOKUP($A9,CFR20242025_BenchMarkDataReport!$B:$B,CFR20242025_BenchMarkDataReport!AS:AS),0)</f>
        <v>0</v>
      </c>
      <c r="AB9" s="289">
        <f>IFERROR(_xlfn.XLOOKUP($A9,CFR20242025_BenchMarkDataReport!$B:$B,CFR20242025_BenchMarkDataReport!AT:AT),0)</f>
        <v>21632.47</v>
      </c>
      <c r="AC9" s="289">
        <f>IFERROR(_xlfn.XLOOKUP($A9,CFR20242025_BenchMarkDataReport!$B:$B,CFR20242025_BenchMarkDataReport!AU:AU),0)</f>
        <v>3622.13</v>
      </c>
      <c r="AD9" s="289">
        <f>IFERROR(_xlfn.XLOOKUP($A9,CFR20242025_BenchMarkDataReport!$B:$B,CFR20242025_BenchMarkDataReport!AV:AV),0)</f>
        <v>1293.95</v>
      </c>
      <c r="AE9" s="289">
        <f>IFERROR(_xlfn.XLOOKUP($A9,CFR20242025_BenchMarkDataReport!$B:$B,CFR20242025_BenchMarkDataReport!AW:AW),0)</f>
        <v>698.86</v>
      </c>
      <c r="AF9" s="289">
        <f>IFERROR(_xlfn.XLOOKUP($A9,CFR20242025_BenchMarkDataReport!$B:$B,CFR20242025_BenchMarkDataReport!AX:AX),0)</f>
        <v>0</v>
      </c>
      <c r="AG9" s="289">
        <f>IFERROR(_xlfn.XLOOKUP($A9,CFR20242025_BenchMarkDataReport!$B:$B,CFR20242025_BenchMarkDataReport!AY:AY),0)</f>
        <v>52790.09</v>
      </c>
      <c r="AH9" s="289">
        <f>IFERROR(_xlfn.XLOOKUP($A9,CFR20242025_BenchMarkDataReport!$B:$B,CFR20242025_BenchMarkDataReport!AZ:AZ),0)</f>
        <v>1874.9</v>
      </c>
      <c r="AI9" s="289">
        <f>IFERROR(_xlfn.XLOOKUP($A9,CFR20242025_BenchMarkDataReport!$B:$B,CFR20242025_BenchMarkDataReport!BA:BA),0)</f>
        <v>52825.08</v>
      </c>
      <c r="AJ9" s="289">
        <f>IFERROR(_xlfn.XLOOKUP($A9,CFR20242025_BenchMarkDataReport!$B:$B,CFR20242025_BenchMarkDataReport!BB:BB),0)</f>
        <v>14191.06</v>
      </c>
      <c r="AK9" s="289">
        <f>IFERROR(_xlfn.XLOOKUP($A9,CFR20242025_BenchMarkDataReport!$B:$B,CFR20242025_BenchMarkDataReport!BC:BC),0)</f>
        <v>30750.98</v>
      </c>
      <c r="AL9" s="289">
        <f>IFERROR(_xlfn.XLOOKUP($A9,CFR20242025_BenchMarkDataReport!$B:$B,CFR20242025_BenchMarkDataReport!BD:BD),0)</f>
        <v>14601.6</v>
      </c>
      <c r="AM9" s="289">
        <f>IFERROR(_xlfn.XLOOKUP($A9,CFR20242025_BenchMarkDataReport!$B:$B,CFR20242025_BenchMarkDataReport!BE:BE),0)</f>
        <v>127904.35</v>
      </c>
      <c r="AN9" s="289">
        <f>IFERROR(_xlfn.XLOOKUP($A9,CFR20242025_BenchMarkDataReport!$B:$B,CFR20242025_BenchMarkDataReport!BF:BF),0)</f>
        <v>163571</v>
      </c>
      <c r="AO9" s="289">
        <f>IFERROR(_xlfn.XLOOKUP($A9,CFR20242025_BenchMarkDataReport!$B:$B,CFR20242025_BenchMarkDataReport!BN:BN),0)</f>
        <v>27740.09</v>
      </c>
      <c r="AP9" s="289">
        <f>IFERROR(_xlfn.XLOOKUP($A9,CFR20242025_BenchMarkDataReport!$B:$B,CFR20242025_BenchMarkDataReport!BO:BO),0)</f>
        <v>0</v>
      </c>
      <c r="AQ9" s="289">
        <f>IFERROR(_xlfn.XLOOKUP($A9,CFR20242025_BenchMarkDataReport!$B:$B,CFR20242025_BenchMarkDataReport!BP:BP),0)</f>
        <v>5017.17</v>
      </c>
      <c r="AR9" s="289">
        <f>IFERROR(_xlfn.XLOOKUP($A9,CFR20242025_BenchMarkDataReport!$B:$B,CFR20242025_BenchMarkDataReport!BQ:BQ),0)</f>
        <v>19149.87</v>
      </c>
      <c r="AS9" s="289">
        <f>IFERROR(_xlfn.XLOOKUP($A9,CFR20242025_BenchMarkDataReport!$B:$B,CFR20242025_BenchMarkDataReport!BR:BR),0)</f>
        <v>8114</v>
      </c>
      <c r="AT9" s="289">
        <f>IFERROR(_xlfn.XLOOKUP($A9,CFR20242025_BenchMarkDataReport!$B:$B,CFR20242025_BenchMarkDataReport!BS:BS),0)</f>
        <v>204009.62</v>
      </c>
      <c r="AU9" s="289">
        <f>IFERROR(_xlfn.XLOOKUP($A9,CFR20242025_BenchMarkDataReport!$B:$B,CFR20242025_BenchMarkDataReport!BT:BT),0)</f>
        <v>64349.64</v>
      </c>
      <c r="AV9" s="289">
        <f>IFERROR(_xlfn.XLOOKUP($A9,CFR20242025_BenchMarkDataReport!$B:$B,CFR20242025_BenchMarkDataReport!BU:BU),0)</f>
        <v>216504.74</v>
      </c>
      <c r="AW9" s="289">
        <f>IFERROR(_xlfn.XLOOKUP($A9,CFR20242025_BenchMarkDataReport!$B:$B,CFR20242025_BenchMarkDataReport!BV:BV),0)</f>
        <v>47442.71</v>
      </c>
      <c r="AX9" s="289">
        <f>IFERROR(_xlfn.XLOOKUP($A9,CFR20242025_BenchMarkDataReport!$B:$B,CFR20242025_BenchMarkDataReport!BW:BW),0)</f>
        <v>0</v>
      </c>
      <c r="AY9" s="289">
        <f>IFERROR(_xlfn.XLOOKUP($A9,CFR20242025_BenchMarkDataReport!$B:$B,CFR20242025_BenchMarkDataReport!BX:BX),0)</f>
        <v>0</v>
      </c>
      <c r="AZ9" s="289">
        <f>IFERROR(_xlfn.XLOOKUP($A9,CFR20242025_BenchMarkDataReport!$B:$B,CFR20242025_BenchMarkDataReport!BY:BY),0)</f>
        <v>0</v>
      </c>
      <c r="BA9" s="289">
        <f>IFERROR(_xlfn.XLOOKUP($A9,CFR20242025_BenchMarkDataReport!$B:$B,CFR20242025_BenchMarkDataReport!BZ:BZ),0)</f>
        <v>0</v>
      </c>
      <c r="BB9" s="289">
        <f>IFERROR(_xlfn.XLOOKUP($A9,CFR20242025_BenchMarkDataReport!$B:$B,CFR20242025_BenchMarkDataReport!CA:CA),0)</f>
        <v>0</v>
      </c>
      <c r="BC9" s="290">
        <f t="shared" ref="BC9:BC38" si="33">SUM(D9:R9)+U9</f>
        <v>3288083.74</v>
      </c>
      <c r="BD9" s="291">
        <f>SUM(V9:AZ9)</f>
        <v>3043186.37</v>
      </c>
      <c r="BE9" s="325">
        <f>BC9-BD9</f>
        <v>244897.37000000011</v>
      </c>
      <c r="BF9" s="289">
        <f>IFERROR(_xlfn.XLOOKUP(A9,CFR20242025_BenchMarkDataReport!B:B,CFR20242025_BenchMarkDataReport!Q:Q),0)</f>
        <v>80804.63</v>
      </c>
      <c r="BG9" s="290">
        <f t="shared" si="0"/>
        <v>325702.00000000012</v>
      </c>
      <c r="BH9" s="292">
        <f>_xlfn.XLOOKUP(A9,'Pupil on roll 24-25'!E:E,'Pupil on roll 24-25'!I:I)</f>
        <v>421</v>
      </c>
      <c r="BI9" s="291">
        <f t="shared" si="1"/>
        <v>2247118.91</v>
      </c>
      <c r="BJ9" t="s">
        <v>190</v>
      </c>
      <c r="BK9" s="293">
        <f t="shared" ref="BK9:BK38" si="34">IFERROR(D9/BC9,0)</f>
        <v>0.63680452371933816</v>
      </c>
      <c r="BL9" s="294">
        <f t="shared" ref="BL9:BL38" si="35">D9/BH9</f>
        <v>4973.5548693586697</v>
      </c>
      <c r="BM9" s="295">
        <f t="shared" ref="BM9:BM38" si="36">E9/BC9</f>
        <v>0</v>
      </c>
      <c r="BN9" s="296">
        <f t="shared" ref="BN9:BN38" si="37">E9/BH9</f>
        <v>0</v>
      </c>
      <c r="BO9" s="293">
        <f t="shared" ref="BO9:BO38" si="38">F9/BC9</f>
        <v>4.6608396293459357E-2</v>
      </c>
      <c r="BP9" s="294">
        <f t="shared" ref="BP9:BP38" si="39">F9/BH9</f>
        <v>364.01973871733964</v>
      </c>
      <c r="BQ9" s="295">
        <f t="shared" ref="BQ9:BQ38" si="40">G9/BC9</f>
        <v>0</v>
      </c>
      <c r="BR9" s="296">
        <f t="shared" ref="BR9:BR38" si="41">G9/BH9</f>
        <v>0</v>
      </c>
      <c r="BS9" s="293">
        <f t="shared" ref="BS9:BS38" si="42">H9/BC9</f>
        <v>1.3503305727852295E-3</v>
      </c>
      <c r="BT9" s="294">
        <f t="shared" ref="BT9:BT38" si="43">H9/BH9</f>
        <v>10.546318289786223</v>
      </c>
      <c r="BU9" s="295">
        <f t="shared" ref="BU9:BU38" si="44">I9/BC9</f>
        <v>1.16030043687391E-2</v>
      </c>
      <c r="BV9" s="296">
        <f t="shared" ref="BV9:BV38" si="45">I9/BH9</f>
        <v>90.621496437054631</v>
      </c>
      <c r="BW9" s="293">
        <f t="shared" ref="BW9:BW38" si="46">J9/BC9</f>
        <v>5.3364875676797693E-2</v>
      </c>
      <c r="BX9" s="294">
        <f t="shared" ref="BX9:BX38" si="47">J9/BH9</f>
        <v>416.78902612826602</v>
      </c>
      <c r="BY9" s="295">
        <f t="shared" ref="BY9:BY38" si="48">IFERROR((K9+L9)/BC9,0)</f>
        <v>9.6911187547796453E-3</v>
      </c>
      <c r="BZ9" s="297">
        <f t="shared" ref="BZ9:BZ38" si="49">IFERROR((K9+L9)/BH9,0)</f>
        <v>75.68933491686461</v>
      </c>
      <c r="CA9" s="298">
        <f t="shared" ref="CA9:CA38" si="50">P9/BC9</f>
        <v>1.559428957852515E-2</v>
      </c>
      <c r="CB9" s="299">
        <f t="shared" ref="CB9:CB38" si="51">P9/BH9</f>
        <v>121.79413301662709</v>
      </c>
      <c r="CC9" s="295">
        <f t="shared" ref="CC9:CC38" si="52">Q9/BC9</f>
        <v>0.19112641577674661</v>
      </c>
      <c r="CD9" s="296">
        <f t="shared" ref="CD9:CD38" si="53">Q9/BH9</f>
        <v>1492.730783847981</v>
      </c>
      <c r="CE9" s="300">
        <f t="shared" ref="CE9:CE38" si="54">(V9+W9+AU9)/BI9</f>
        <v>0.5595772499640439</v>
      </c>
      <c r="CF9" s="298">
        <f t="shared" ref="CF9:CF38" si="55">(V9+W9+AU9)/BC9</f>
        <v>0.38242232237065832</v>
      </c>
      <c r="CG9" s="298">
        <f t="shared" ref="CG9:CG38" si="56">(V9+W9+AU9)/BD9</f>
        <v>0.41319737509208149</v>
      </c>
      <c r="CH9" s="299">
        <f t="shared" ref="CH9:CH38" si="57">(V9+W9+AU9)/BH9</f>
        <v>2986.785320665083</v>
      </c>
      <c r="CI9" s="295">
        <f t="shared" ref="CI9:CI38" si="58">X9/BI9</f>
        <v>0.26278555503767265</v>
      </c>
      <c r="CJ9" s="301">
        <f t="shared" ref="CJ9:CJ38" si="59">X9/BC9</f>
        <v>0.17959104350547958</v>
      </c>
      <c r="CK9" s="301">
        <f t="shared" ref="CK9:CK38" si="60">X9/BD9</f>
        <v>0.19404345255397551</v>
      </c>
      <c r="CL9" s="302">
        <f t="shared" ref="CL9:CL38" si="61">X9/BH9</f>
        <v>1402.6375059382424</v>
      </c>
      <c r="CM9" s="300">
        <f t="shared" ref="CM9:CM38" si="62">Y9/BI9</f>
        <v>1.6967081639662762E-2</v>
      </c>
      <c r="CN9" s="298">
        <f t="shared" ref="CN9:CN38" si="63">Y9/BC9</f>
        <v>1.1595522807457452E-2</v>
      </c>
      <c r="CO9" s="298">
        <f t="shared" ref="CO9:CO38" si="64">Y9/BD9</f>
        <v>1.2528660871992536E-2</v>
      </c>
      <c r="CP9" s="299">
        <f t="shared" ref="CP9:CP38" si="65">Y9/BH9</f>
        <v>90.563064133016638</v>
      </c>
      <c r="CQ9" s="295">
        <f t="shared" ref="CQ9:CQ38" si="66">Z9/BI9</f>
        <v>6.3805096989727167E-2</v>
      </c>
      <c r="CR9" s="301">
        <f t="shared" ref="CR9:CR38" si="67">Z9/BC9</f>
        <v>4.3605227645449204E-2</v>
      </c>
      <c r="CS9" s="301">
        <f t="shared" ref="CS9:CS38" si="68">Z9/BD9</f>
        <v>4.711431459256963E-2</v>
      </c>
      <c r="CT9" s="296">
        <f t="shared" ref="CT9:CT38" si="69">Z9/BH9</f>
        <v>340.5644655581948</v>
      </c>
      <c r="CU9" s="300">
        <f t="shared" ref="CU9:CU38" si="70">(V9+W9+X9+Y9+Z9+AA9+AB9)/BI9</f>
        <v>0.88412523305230872</v>
      </c>
      <c r="CV9" s="298">
        <f t="shared" ref="CV9:CV38" si="71">(V9+W9+X9+Y9+Z9+AA9+AB9)/BC9</f>
        <v>0.60422260717727339</v>
      </c>
      <c r="CW9" s="298">
        <f t="shared" ref="CW9:CW38" si="72">(V9+W9+X9+Y9+Z9+AA9+AB9)/BD9</f>
        <v>0.65284681529380006</v>
      </c>
      <c r="CX9" s="299">
        <f t="shared" ref="CX9:CX38" si="73">(V9+W9+X9+Y9+Z9+AA9+AB9)/BH9</f>
        <v>4719.0843942992879</v>
      </c>
      <c r="CY9" s="295">
        <f t="shared" ref="CY9:CY38" si="74">AG9/BI9</f>
        <v>2.3492343803025534E-2</v>
      </c>
      <c r="CZ9" s="301">
        <f t="shared" ref="CZ9:CZ38" si="75">AG9/BD9</f>
        <v>1.7346978982427552E-2</v>
      </c>
      <c r="DA9" s="296">
        <f t="shared" ref="DA9:DA38" si="76">AG9/BH9</f>
        <v>125.39213776722089</v>
      </c>
      <c r="DB9" s="300">
        <f t="shared" ref="DB9:DB38" si="77">AJ9/BD9</f>
        <v>4.6632240929759417E-3</v>
      </c>
      <c r="DC9" s="299">
        <f t="shared" ref="DC9:DC38" si="78">AJ9/BH9</f>
        <v>33.707980997624702</v>
      </c>
      <c r="DD9" s="295">
        <f t="shared" ref="DD9:DD38" si="79">AK9/BI9</f>
        <v>1.368462517188287E-2</v>
      </c>
      <c r="DE9" s="301">
        <f t="shared" ref="DE9:DE38" si="80">AK9/BD9</f>
        <v>1.0104862555624551E-2</v>
      </c>
      <c r="DF9" s="296">
        <f t="shared" ref="DF9:DF38" si="81">AK9/BH9</f>
        <v>73.042707838479814</v>
      </c>
      <c r="DG9" s="300">
        <f t="shared" ref="DG9:DG38" si="82">AM9/BI9</f>
        <v>5.6919262007367466E-2</v>
      </c>
      <c r="DH9" s="298">
        <f t="shared" ref="DH9:DH38" si="83">AM9/BD9</f>
        <v>4.2029745946844527E-2</v>
      </c>
      <c r="DI9" s="303">
        <f t="shared" ref="DI9:DI38" si="84">AM9/BH9</f>
        <v>303.81080760095011</v>
      </c>
      <c r="DJ9" s="295">
        <f t="shared" ref="DJ9:DJ38" si="85">AN9/BI9</f>
        <v>7.2791430516687697E-2</v>
      </c>
      <c r="DK9" s="301">
        <f t="shared" ref="DK9:DK38" si="86">AN9/BC9</f>
        <v>4.9746604081318195E-2</v>
      </c>
      <c r="DL9" s="301">
        <f t="shared" ref="DL9:DL38" si="87">AN9/BD9</f>
        <v>5.3749912135680339E-2</v>
      </c>
      <c r="DM9" s="296">
        <f t="shared" ref="DM9:DM38" si="88">AN9/BH9</f>
        <v>388.52969121140143</v>
      </c>
      <c r="DN9" s="300">
        <f t="shared" ref="DN9:DN38" si="89">AQ9/BI9</f>
        <v>2.2327122866853538E-3</v>
      </c>
      <c r="DO9" s="298">
        <f t="shared" ref="DO9:DO38" si="90">IFERROR(AQ9/BD9,0)</f>
        <v>1.6486568320165024E-3</v>
      </c>
      <c r="DP9" s="299">
        <f t="shared" ref="DP9:DP38" si="91">AQ9/BH9</f>
        <v>11.917268408551069</v>
      </c>
      <c r="DQ9" s="295">
        <f t="shared" ref="DQ9:DQ38" si="92">IFERROR(AV9/BI9,0)</f>
        <v>9.6347700620791787E-2</v>
      </c>
      <c r="DR9" s="301">
        <f t="shared" ref="DR9:DR38" si="93">IFERROR(AV9/BD9,0)</f>
        <v>7.1144094930998256E-2</v>
      </c>
      <c r="DS9" s="296">
        <f t="shared" ref="DS9:DS38" si="94">AV9/BH9</f>
        <v>514.26304038004753</v>
      </c>
      <c r="DT9" s="300">
        <f t="shared" ref="DT9:DT38" si="95">AT9/BD9</f>
        <v>6.7038161714689848E-2</v>
      </c>
      <c r="DU9" s="299">
        <f t="shared" ref="DU9:DU38" si="96">AT9/BH9</f>
        <v>484.58342042755345</v>
      </c>
      <c r="DV9" s="295">
        <f t="shared" si="25"/>
        <v>1.7358476799434402E-2</v>
      </c>
      <c r="DW9" s="296">
        <f t="shared" ref="DW9:DW65" si="97">IFERROR((AI9/BH9),0)</f>
        <v>125.47524940617578</v>
      </c>
      <c r="DX9" s="295">
        <f>EB9/BI9</f>
        <v>1.3350428349161103E-6</v>
      </c>
      <c r="DY9" s="301">
        <f t="shared" ref="DY9:DY38" si="98">EB9/BC9</f>
        <v>9.1238552215218211E-7</v>
      </c>
      <c r="DZ9" s="301">
        <f t="shared" ref="DZ9:DZ38" si="99">EB9/BD9</f>
        <v>9.8580883168190589E-7</v>
      </c>
      <c r="EA9" s="296">
        <f t="shared" ref="EA9:EA38" si="100">EB9/BH9</f>
        <v>7.1258907363420431E-3</v>
      </c>
      <c r="EB9" s="304">
        <f>IFERROR(_xlfn.XLOOKUP(A9,'Pupil on roll 24-25'!E:E,'Pupil on roll 24-25'!R:R),0)</f>
        <v>3</v>
      </c>
      <c r="EC9" s="289">
        <f>IFERROR(_xlfn.XLOOKUP(A9,CFR20242025_BenchMarkDataReport!B:B,CFR20242025_BenchMarkDataReport!AK:AK),0)</f>
        <v>1000</v>
      </c>
      <c r="ED9" s="289">
        <f>IFERROR(_xlfn.XLOOKUP(A9,CFR20242025_BenchMarkDataReport!B:B,CFR20242025_BenchMarkDataReport!AL:AL),0)</f>
        <v>106878.88</v>
      </c>
    </row>
    <row r="10" spans="1:228">
      <c r="A10" s="322">
        <v>3317</v>
      </c>
      <c r="B10" s="323">
        <v>10042</v>
      </c>
      <c r="C10" s="322" t="s">
        <v>32</v>
      </c>
      <c r="D10" s="289">
        <f>IFERROR(_xlfn.XLOOKUP($A10,CFR20242025_BenchMarkDataReport!$B:$B,CFR20242025_BenchMarkDataReport!T:T),0)</f>
        <v>1366575.77</v>
      </c>
      <c r="E10" s="289">
        <f>IFERROR(_xlfn.XLOOKUP($A10,CFR20242025_BenchMarkDataReport!$B:$B,CFR20242025_BenchMarkDataReport!U:U),0)</f>
        <v>0</v>
      </c>
      <c r="F10" s="289">
        <f>IFERROR(_xlfn.XLOOKUP($A10,CFR20242025_BenchMarkDataReport!$B:$B,CFR20242025_BenchMarkDataReport!V:V),0)</f>
        <v>163244.94</v>
      </c>
      <c r="G10" s="289">
        <f>IFERROR(_xlfn.XLOOKUP($A10,CFR20242025_BenchMarkDataReport!$B:$B,CFR20242025_BenchMarkDataReport!W:W),0)</f>
        <v>0</v>
      </c>
      <c r="H10" s="289">
        <f>IFERROR(_xlfn.XLOOKUP($A10,CFR20242025_BenchMarkDataReport!$B:$B,CFR20242025_BenchMarkDataReport!X:X),0)</f>
        <v>82668</v>
      </c>
      <c r="I10" s="289">
        <f>IFERROR(_xlfn.XLOOKUP($A10,CFR20242025_BenchMarkDataReport!$B:$B,CFR20242025_BenchMarkDataReport!Y:Y),0)</f>
        <v>27548</v>
      </c>
      <c r="J10" s="289">
        <f>IFERROR(_xlfn.XLOOKUP($A10,CFR20242025_BenchMarkDataReport!$B:$B,CFR20242025_BenchMarkDataReport!Z:Z),0)</f>
        <v>58836.66</v>
      </c>
      <c r="K10" s="289">
        <f>IFERROR(_xlfn.XLOOKUP($A10,CFR20242025_BenchMarkDataReport!$B:$B,CFR20242025_BenchMarkDataReport!AA:AA),0)</f>
        <v>35300.9</v>
      </c>
      <c r="L10" s="289">
        <f>IFERROR(_xlfn.XLOOKUP($A10,CFR20242025_BenchMarkDataReport!$B:$B,CFR20242025_BenchMarkDataReport!AB:AB),0)</f>
        <v>31607.279999999999</v>
      </c>
      <c r="M10" s="289">
        <f>IFERROR(_xlfn.XLOOKUP($A10,CFR20242025_BenchMarkDataReport!$B:$B,CFR20242025_BenchMarkDataReport!AC:AC),0)</f>
        <v>2214.08</v>
      </c>
      <c r="N10" s="289">
        <f>IFERROR(_xlfn.XLOOKUP($A10,CFR20242025_BenchMarkDataReport!$B:$B,CFR20242025_BenchMarkDataReport!AD:AD),0)</f>
        <v>0</v>
      </c>
      <c r="O10" s="289">
        <f>IFERROR(_xlfn.XLOOKUP($A10,CFR20242025_BenchMarkDataReport!$B:$B,CFR20242025_BenchMarkDataReport!AE:AE),0)</f>
        <v>3000</v>
      </c>
      <c r="P10" s="289">
        <f>IFERROR(_xlfn.XLOOKUP($A10,CFR20242025_BenchMarkDataReport!$B:$B,CFR20242025_BenchMarkDataReport!AF:AF),0)</f>
        <v>35396.94</v>
      </c>
      <c r="Q10" s="289">
        <f>IFERROR(_xlfn.XLOOKUP($A10,CFR20242025_BenchMarkDataReport!$B:$B,CFR20242025_BenchMarkDataReport!AG:AG),0)</f>
        <v>42898.19</v>
      </c>
      <c r="R10" s="289">
        <f>IFERROR(_xlfn.XLOOKUP($A10,CFR20242025_BenchMarkDataReport!$B:$B,CFR20242025_BenchMarkDataReport!AH:AH),0)</f>
        <v>0</v>
      </c>
      <c r="S10" s="289">
        <f>IFERROR(_xlfn.XLOOKUP($A10,CFR20242025_BenchMarkDataReport!$B:$B,CFR20242025_BenchMarkDataReport!AI:AI),0)</f>
        <v>0</v>
      </c>
      <c r="T10" s="289">
        <f>IFERROR(_xlfn.XLOOKUP($A10,CFR20242025_BenchMarkDataReport!$B:$B,CFR20242025_BenchMarkDataReport!AJ:AJ),0)</f>
        <v>0</v>
      </c>
      <c r="U10" s="289">
        <f>INDEX(CFR20242025_BenchMarkDataReport!$B$3:$AM$87,MATCH(A10,CFR20242025_BenchMarkDataReport!$B$3:$B$87),MATCH($U$2,CFR20242025_BenchMarkDataReport!$B$3:$AM$3,0))</f>
        <v>56027</v>
      </c>
      <c r="V10" s="289">
        <f>IFERROR(_xlfn.XLOOKUP($A10,CFR20242025_BenchMarkDataReport!$B:$B,CFR20242025_BenchMarkDataReport!AN:AN),0)</f>
        <v>786493.19</v>
      </c>
      <c r="W10" s="289">
        <f>IFERROR(_xlfn.XLOOKUP($A10,CFR20242025_BenchMarkDataReport!$B:$B,CFR20242025_BenchMarkDataReport!AO:AO),0)</f>
        <v>23993.23</v>
      </c>
      <c r="X10" s="289">
        <f>IFERROR(_xlfn.XLOOKUP($A10,CFR20242025_BenchMarkDataReport!$B:$B,CFR20242025_BenchMarkDataReport!AP:AP),0)</f>
        <v>401364.8</v>
      </c>
      <c r="Y10" s="289">
        <f>IFERROR(_xlfn.XLOOKUP($A10,CFR20242025_BenchMarkDataReport!$B:$B,CFR20242025_BenchMarkDataReport!AQ:AQ),0)</f>
        <v>42298.05</v>
      </c>
      <c r="Z10" s="289">
        <f>IFERROR(_xlfn.XLOOKUP($A10,CFR20242025_BenchMarkDataReport!$B:$B,CFR20242025_BenchMarkDataReport!AR:AR),0)</f>
        <v>60871.18</v>
      </c>
      <c r="AA10" s="289">
        <f>IFERROR(_xlfn.XLOOKUP($A10,CFR20242025_BenchMarkDataReport!$B:$B,CFR20242025_BenchMarkDataReport!AS:AS),0)</f>
        <v>0</v>
      </c>
      <c r="AB10" s="289">
        <f>IFERROR(_xlfn.XLOOKUP($A10,CFR20242025_BenchMarkDataReport!$B:$B,CFR20242025_BenchMarkDataReport!AT:AT),0)</f>
        <v>46335.42</v>
      </c>
      <c r="AC10" s="289">
        <f>IFERROR(_xlfn.XLOOKUP($A10,CFR20242025_BenchMarkDataReport!$B:$B,CFR20242025_BenchMarkDataReport!AU:AU),0)</f>
        <v>379.23</v>
      </c>
      <c r="AD10" s="289">
        <f>IFERROR(_xlfn.XLOOKUP($A10,CFR20242025_BenchMarkDataReport!$B:$B,CFR20242025_BenchMarkDataReport!AV:AV),0)</f>
        <v>1870.8</v>
      </c>
      <c r="AE10" s="289">
        <f>IFERROR(_xlfn.XLOOKUP($A10,CFR20242025_BenchMarkDataReport!$B:$B,CFR20242025_BenchMarkDataReport!AW:AW),0)</f>
        <v>7864.4</v>
      </c>
      <c r="AF10" s="289">
        <f>IFERROR(_xlfn.XLOOKUP($A10,CFR20242025_BenchMarkDataReport!$B:$B,CFR20242025_BenchMarkDataReport!AX:AX),0)</f>
        <v>0</v>
      </c>
      <c r="AG10" s="289">
        <f>IFERROR(_xlfn.XLOOKUP($A10,CFR20242025_BenchMarkDataReport!$B:$B,CFR20242025_BenchMarkDataReport!AY:AY),0)</f>
        <v>13863.05</v>
      </c>
      <c r="AH10" s="289">
        <f>IFERROR(_xlfn.XLOOKUP($A10,CFR20242025_BenchMarkDataReport!$B:$B,CFR20242025_BenchMarkDataReport!AZ:AZ),0)</f>
        <v>2363.11</v>
      </c>
      <c r="AI10" s="289">
        <f>IFERROR(_xlfn.XLOOKUP($A10,CFR20242025_BenchMarkDataReport!$B:$B,CFR20242025_BenchMarkDataReport!BA:BA),0)</f>
        <v>35407.980000000003</v>
      </c>
      <c r="AJ10" s="289">
        <f>IFERROR(_xlfn.XLOOKUP($A10,CFR20242025_BenchMarkDataReport!$B:$B,CFR20242025_BenchMarkDataReport!BB:BB),0)</f>
        <v>4840.76</v>
      </c>
      <c r="AK10" s="289">
        <f>IFERROR(_xlfn.XLOOKUP($A10,CFR20242025_BenchMarkDataReport!$B:$B,CFR20242025_BenchMarkDataReport!BC:BC),0)</f>
        <v>37395.26</v>
      </c>
      <c r="AL10" s="289">
        <f>IFERROR(_xlfn.XLOOKUP($A10,CFR20242025_BenchMarkDataReport!$B:$B,CFR20242025_BenchMarkDataReport!BD:BD),0)</f>
        <v>4680</v>
      </c>
      <c r="AM10" s="289">
        <f>IFERROR(_xlfn.XLOOKUP($A10,CFR20242025_BenchMarkDataReport!$B:$B,CFR20242025_BenchMarkDataReport!BE:BE),0)</f>
        <v>10893.42</v>
      </c>
      <c r="AN10" s="289">
        <f>IFERROR(_xlfn.XLOOKUP($A10,CFR20242025_BenchMarkDataReport!$B:$B,CFR20242025_BenchMarkDataReport!BF:BF),0)</f>
        <v>62445.21</v>
      </c>
      <c r="AO10" s="289">
        <f>IFERROR(_xlfn.XLOOKUP($A10,CFR20242025_BenchMarkDataReport!$B:$B,CFR20242025_BenchMarkDataReport!BN:BN),0)</f>
        <v>32454.86</v>
      </c>
      <c r="AP10" s="289">
        <f>IFERROR(_xlfn.XLOOKUP($A10,CFR20242025_BenchMarkDataReport!$B:$B,CFR20242025_BenchMarkDataReport!BO:BO),0)</f>
        <v>0</v>
      </c>
      <c r="AQ10" s="289">
        <f>IFERROR(_xlfn.XLOOKUP($A10,CFR20242025_BenchMarkDataReport!$B:$B,CFR20242025_BenchMarkDataReport!BP:BP),0)</f>
        <v>3400.48</v>
      </c>
      <c r="AR10" s="289">
        <f>IFERROR(_xlfn.XLOOKUP($A10,CFR20242025_BenchMarkDataReport!$B:$B,CFR20242025_BenchMarkDataReport!BQ:BQ),0)</f>
        <v>10115.84</v>
      </c>
      <c r="AS10" s="289">
        <f>IFERROR(_xlfn.XLOOKUP($A10,CFR20242025_BenchMarkDataReport!$B:$B,CFR20242025_BenchMarkDataReport!BR:BR),0)</f>
        <v>10333.25</v>
      </c>
      <c r="AT10" s="289">
        <f>IFERROR(_xlfn.XLOOKUP($A10,CFR20242025_BenchMarkDataReport!$B:$B,CFR20242025_BenchMarkDataReport!BS:BS),0)</f>
        <v>91620.83</v>
      </c>
      <c r="AU10" s="289">
        <f>IFERROR(_xlfn.XLOOKUP($A10,CFR20242025_BenchMarkDataReport!$B:$B,CFR20242025_BenchMarkDataReport!BT:BT),0)</f>
        <v>26050.95</v>
      </c>
      <c r="AV10" s="289">
        <f>IFERROR(_xlfn.XLOOKUP($A10,CFR20242025_BenchMarkDataReport!$B:$B,CFR20242025_BenchMarkDataReport!BU:BU),0)</f>
        <v>65862.3</v>
      </c>
      <c r="AW10" s="289">
        <f>IFERROR(_xlfn.XLOOKUP($A10,CFR20242025_BenchMarkDataReport!$B:$B,CFR20242025_BenchMarkDataReport!BV:BV),0)</f>
        <v>29606.66</v>
      </c>
      <c r="AX10" s="289">
        <f>IFERROR(_xlfn.XLOOKUP($A10,CFR20242025_BenchMarkDataReport!$B:$B,CFR20242025_BenchMarkDataReport!BW:BW),0)</f>
        <v>0</v>
      </c>
      <c r="AY10" s="289">
        <f>IFERROR(_xlfn.XLOOKUP($A10,CFR20242025_BenchMarkDataReport!$B:$B,CFR20242025_BenchMarkDataReport!BX:BX),0)</f>
        <v>0</v>
      </c>
      <c r="AZ10" s="289">
        <f>IFERROR(_xlfn.XLOOKUP($A10,CFR20242025_BenchMarkDataReport!$B:$B,CFR20242025_BenchMarkDataReport!BY:BY),0)</f>
        <v>0</v>
      </c>
      <c r="BA10" s="289">
        <f>IFERROR(_xlfn.XLOOKUP($A10,CFR20242025_BenchMarkDataReport!$B:$B,CFR20242025_BenchMarkDataReport!BZ:BZ),0)</f>
        <v>0</v>
      </c>
      <c r="BB10" s="289">
        <f>IFERROR(_xlfn.XLOOKUP($A10,CFR20242025_BenchMarkDataReport!$B:$B,CFR20242025_BenchMarkDataReport!CA:CA),0)</f>
        <v>-2791</v>
      </c>
      <c r="BC10" s="290">
        <f t="shared" si="33"/>
        <v>1905317.7599999998</v>
      </c>
      <c r="BD10" s="291">
        <f t="shared" ref="BD10:BD36" si="101">SUM(V10:AZ10)</f>
        <v>1812804.26</v>
      </c>
      <c r="BE10" s="325">
        <f t="shared" ref="BE10:BE36" si="102">BC10-BD10</f>
        <v>92513.499999999767</v>
      </c>
      <c r="BF10" s="289">
        <f>IFERROR(_xlfn.XLOOKUP(A10,CFR20242025_BenchMarkDataReport!B:B,CFR20242025_BenchMarkDataReport!Q:Q),0)</f>
        <v>84128.22</v>
      </c>
      <c r="BG10" s="290">
        <f t="shared" si="0"/>
        <v>176641.71999999977</v>
      </c>
      <c r="BH10" s="292">
        <f>_xlfn.XLOOKUP(A10,'Pupil on roll 24-25'!E:E,'Pupil on roll 24-25'!I:I)</f>
        <v>206</v>
      </c>
      <c r="BI10" s="291">
        <f>D10+E10+F10</f>
        <v>1529820.71</v>
      </c>
      <c r="BJ10" t="s">
        <v>190</v>
      </c>
      <c r="BK10" s="293">
        <f t="shared" si="34"/>
        <v>0.71724297053736596</v>
      </c>
      <c r="BL10" s="294">
        <f t="shared" si="35"/>
        <v>6633.8629611650485</v>
      </c>
      <c r="BM10" s="295">
        <f t="shared" si="36"/>
        <v>0</v>
      </c>
      <c r="BN10" s="296">
        <f t="shared" si="37"/>
        <v>0</v>
      </c>
      <c r="BO10" s="293">
        <f t="shared" si="38"/>
        <v>8.5678590431026061E-2</v>
      </c>
      <c r="BP10" s="294">
        <f t="shared" si="39"/>
        <v>792.45116504854366</v>
      </c>
      <c r="BQ10" s="295">
        <f t="shared" si="40"/>
        <v>0</v>
      </c>
      <c r="BR10" s="296">
        <f t="shared" si="41"/>
        <v>0</v>
      </c>
      <c r="BS10" s="293">
        <f t="shared" si="42"/>
        <v>4.3388038329102652E-2</v>
      </c>
      <c r="BT10" s="294">
        <f t="shared" si="43"/>
        <v>401.30097087378641</v>
      </c>
      <c r="BU10" s="295">
        <f t="shared" si="44"/>
        <v>1.4458480668337445E-2</v>
      </c>
      <c r="BV10" s="296">
        <f t="shared" si="45"/>
        <v>133.72815533980582</v>
      </c>
      <c r="BW10" s="293">
        <f t="shared" si="46"/>
        <v>3.0880234906328703E-2</v>
      </c>
      <c r="BX10" s="294">
        <f t="shared" si="47"/>
        <v>285.61485436893207</v>
      </c>
      <c r="BY10" s="295">
        <f t="shared" si="48"/>
        <v>3.5116546648890731E-2</v>
      </c>
      <c r="BZ10" s="297">
        <f t="shared" si="49"/>
        <v>324.79699029126209</v>
      </c>
      <c r="CA10" s="298">
        <f t="shared" si="50"/>
        <v>1.8577972001898521E-2</v>
      </c>
      <c r="CB10" s="299">
        <f t="shared" si="51"/>
        <v>171.82980582524274</v>
      </c>
      <c r="CC10" s="295">
        <f t="shared" si="52"/>
        <v>2.2514979338669475E-2</v>
      </c>
      <c r="CD10" s="296">
        <f t="shared" si="53"/>
        <v>208.24364077669904</v>
      </c>
      <c r="CE10" s="300">
        <f t="shared" si="54"/>
        <v>0.54682052905402223</v>
      </c>
      <c r="CF10" s="298">
        <f t="shared" si="55"/>
        <v>0.43905399275761747</v>
      </c>
      <c r="CG10" s="298">
        <f t="shared" si="56"/>
        <v>0.46146039506769465</v>
      </c>
      <c r="CH10" s="299">
        <f t="shared" si="57"/>
        <v>4060.8610194174753</v>
      </c>
      <c r="CI10" s="295">
        <f t="shared" si="58"/>
        <v>0.26236067885366776</v>
      </c>
      <c r="CJ10" s="301">
        <f t="shared" si="59"/>
        <v>0.21065504580191391</v>
      </c>
      <c r="CK10" s="301">
        <f t="shared" si="60"/>
        <v>0.22140548147211436</v>
      </c>
      <c r="CL10" s="302">
        <f t="shared" si="61"/>
        <v>1948.3728155339804</v>
      </c>
      <c r="CM10" s="300">
        <f t="shared" si="62"/>
        <v>2.7649024309521868E-2</v>
      </c>
      <c r="CN10" s="298">
        <f t="shared" si="63"/>
        <v>2.2199997757854317E-2</v>
      </c>
      <c r="CO10" s="298">
        <f t="shared" si="64"/>
        <v>2.3332938328377496E-2</v>
      </c>
      <c r="CP10" s="299">
        <f t="shared" si="65"/>
        <v>205.33033980582525</v>
      </c>
      <c r="CQ10" s="295">
        <f t="shared" si="66"/>
        <v>3.9789747649579148E-2</v>
      </c>
      <c r="CR10" s="301">
        <f t="shared" si="67"/>
        <v>3.19480462933385E-2</v>
      </c>
      <c r="CS10" s="301">
        <f t="shared" si="68"/>
        <v>3.3578462574883845E-2</v>
      </c>
      <c r="CT10" s="296">
        <f t="shared" si="69"/>
        <v>295.49116504854368</v>
      </c>
      <c r="CU10" s="300">
        <f t="shared" si="70"/>
        <v>0.88987935716989996</v>
      </c>
      <c r="CV10" s="298">
        <f t="shared" si="71"/>
        <v>0.71450332253240534</v>
      </c>
      <c r="CW10" s="298">
        <f t="shared" si="72"/>
        <v>0.75096683080389492</v>
      </c>
      <c r="CX10" s="299">
        <f t="shared" si="73"/>
        <v>6608.5236407766988</v>
      </c>
      <c r="CY10" s="295">
        <f t="shared" si="74"/>
        <v>9.0618788916774426E-3</v>
      </c>
      <c r="CZ10" s="301">
        <f t="shared" si="75"/>
        <v>7.647295577295256E-3</v>
      </c>
      <c r="DA10" s="296">
        <f t="shared" si="76"/>
        <v>67.296359223300968</v>
      </c>
      <c r="DB10" s="300">
        <f t="shared" si="77"/>
        <v>2.670315878450109E-3</v>
      </c>
      <c r="DC10" s="299">
        <f t="shared" si="78"/>
        <v>23.498834951456313</v>
      </c>
      <c r="DD10" s="295">
        <f t="shared" si="79"/>
        <v>2.4444210851348718E-2</v>
      </c>
      <c r="DE10" s="301">
        <f t="shared" si="80"/>
        <v>2.0628404745694939E-2</v>
      </c>
      <c r="DF10" s="296">
        <f t="shared" si="81"/>
        <v>181.53038834951457</v>
      </c>
      <c r="DG10" s="300">
        <f t="shared" si="82"/>
        <v>7.1207167799421413E-3</v>
      </c>
      <c r="DH10" s="298">
        <f t="shared" si="83"/>
        <v>6.0091540164408045E-3</v>
      </c>
      <c r="DI10" s="303">
        <f t="shared" si="84"/>
        <v>52.880679611650486</v>
      </c>
      <c r="DJ10" s="295">
        <f t="shared" si="85"/>
        <v>4.0818645996758669E-2</v>
      </c>
      <c r="DK10" s="301">
        <f t="shared" si="86"/>
        <v>3.2774170960333672E-2</v>
      </c>
      <c r="DL10" s="301">
        <f t="shared" si="87"/>
        <v>3.4446747162873499E-2</v>
      </c>
      <c r="DM10" s="296">
        <f t="shared" si="88"/>
        <v>303.13208737864079</v>
      </c>
      <c r="DN10" s="300">
        <f t="shared" si="89"/>
        <v>2.2227964216800281E-3</v>
      </c>
      <c r="DO10" s="298">
        <f t="shared" si="90"/>
        <v>1.8758120085176763E-3</v>
      </c>
      <c r="DP10" s="299">
        <f t="shared" si="91"/>
        <v>16.507184466019417</v>
      </c>
      <c r="DQ10" s="295">
        <f t="shared" si="92"/>
        <v>4.3052299899901343E-2</v>
      </c>
      <c r="DR10" s="301">
        <f t="shared" si="93"/>
        <v>3.6331721771218697E-2</v>
      </c>
      <c r="DS10" s="296">
        <f t="shared" si="94"/>
        <v>319.71990291262136</v>
      </c>
      <c r="DT10" s="300">
        <f t="shared" si="95"/>
        <v>5.0540939262797187E-2</v>
      </c>
      <c r="DU10" s="299">
        <f t="shared" si="96"/>
        <v>444.76131067961165</v>
      </c>
      <c r="DV10" s="295">
        <f t="shared" si="25"/>
        <v>1.9532158425091081E-2</v>
      </c>
      <c r="DW10" s="296">
        <f t="shared" si="97"/>
        <v>171.88339805825245</v>
      </c>
      <c r="DX10" s="295">
        <f t="shared" ref="DX10:DX38" si="103">EB10/BI10</f>
        <v>3.2683568520915111E-5</v>
      </c>
      <c r="DY10" s="301">
        <f t="shared" si="98"/>
        <v>2.624234185483056E-5</v>
      </c>
      <c r="DZ10" s="301">
        <f t="shared" si="99"/>
        <v>2.7581576843823171E-5</v>
      </c>
      <c r="EA10" s="296">
        <f t="shared" si="100"/>
        <v>0.24271844660194175</v>
      </c>
      <c r="EB10" s="304">
        <f>IFERROR(_xlfn.XLOOKUP(A10,'Pupil on roll 24-25'!E:E,'Pupil on roll 24-25'!R:R),0)</f>
        <v>50</v>
      </c>
      <c r="EC10" s="289">
        <f>IFERROR(_xlfn.XLOOKUP(A10,CFR20242025_BenchMarkDataReport!B:B,CFR20242025_BenchMarkDataReport!AK:AK),0)</f>
        <v>6240</v>
      </c>
      <c r="ED10" s="289">
        <f>IFERROR(_xlfn.XLOOKUP(A10,CFR20242025_BenchMarkDataReport!B:B,CFR20242025_BenchMarkDataReport!AL:AL),0)</f>
        <v>49787</v>
      </c>
    </row>
    <row r="11" spans="1:228">
      <c r="A11" s="322">
        <v>3300</v>
      </c>
      <c r="B11" s="323">
        <v>10040</v>
      </c>
      <c r="C11" s="322" t="s">
        <v>33</v>
      </c>
      <c r="D11" s="289">
        <f>IFERROR(_xlfn.XLOOKUP($A11,CFR20242025_BenchMarkDataReport!$B:$B,CFR20242025_BenchMarkDataReport!T:T),0)</f>
        <v>1156846.51</v>
      </c>
      <c r="E11" s="289">
        <f>IFERROR(_xlfn.XLOOKUP($A11,CFR20242025_BenchMarkDataReport!$B:$B,CFR20242025_BenchMarkDataReport!U:U),0)</f>
        <v>0</v>
      </c>
      <c r="F11" s="289">
        <f>IFERROR(_xlfn.XLOOKUP($A11,CFR20242025_BenchMarkDataReport!$B:$B,CFR20242025_BenchMarkDataReport!V:V),0)</f>
        <v>114252.07</v>
      </c>
      <c r="G11" s="289">
        <f>IFERROR(_xlfn.XLOOKUP($A11,CFR20242025_BenchMarkDataReport!$B:$B,CFR20242025_BenchMarkDataReport!W:W),0)</f>
        <v>0</v>
      </c>
      <c r="H11" s="289">
        <f>IFERROR(_xlfn.XLOOKUP($A11,CFR20242025_BenchMarkDataReport!$B:$B,CFR20242025_BenchMarkDataReport!X:X),0)</f>
        <v>131720</v>
      </c>
      <c r="I11" s="289">
        <f>IFERROR(_xlfn.XLOOKUP($A11,CFR20242025_BenchMarkDataReport!$B:$B,CFR20242025_BenchMarkDataReport!Y:Y),0)</f>
        <v>4544.42</v>
      </c>
      <c r="J11" s="289">
        <f>IFERROR(_xlfn.XLOOKUP($A11,CFR20242025_BenchMarkDataReport!$B:$B,CFR20242025_BenchMarkDataReport!Z:Z),0)</f>
        <v>27997.83</v>
      </c>
      <c r="K11" s="289">
        <f>IFERROR(_xlfn.XLOOKUP($A11,CFR20242025_BenchMarkDataReport!$B:$B,CFR20242025_BenchMarkDataReport!AA:AA),0)</f>
        <v>0</v>
      </c>
      <c r="L11" s="289">
        <f>IFERROR(_xlfn.XLOOKUP($A11,CFR20242025_BenchMarkDataReport!$B:$B,CFR20242025_BenchMarkDataReport!AB:AB),0)</f>
        <v>15416.38</v>
      </c>
      <c r="M11" s="289">
        <f>IFERROR(_xlfn.XLOOKUP($A11,CFR20242025_BenchMarkDataReport!$B:$B,CFR20242025_BenchMarkDataReport!AC:AC),0)</f>
        <v>410.54</v>
      </c>
      <c r="N11" s="289">
        <f>IFERROR(_xlfn.XLOOKUP($A11,CFR20242025_BenchMarkDataReport!$B:$B,CFR20242025_BenchMarkDataReport!AD:AD),0)</f>
        <v>0</v>
      </c>
      <c r="O11" s="289">
        <f>IFERROR(_xlfn.XLOOKUP($A11,CFR20242025_BenchMarkDataReport!$B:$B,CFR20242025_BenchMarkDataReport!AE:AE),0)</f>
        <v>1507.2</v>
      </c>
      <c r="P11" s="289">
        <f>IFERROR(_xlfn.XLOOKUP($A11,CFR20242025_BenchMarkDataReport!$B:$B,CFR20242025_BenchMarkDataReport!AF:AF),0)</f>
        <v>11889.75</v>
      </c>
      <c r="Q11" s="289">
        <f>IFERROR(_xlfn.XLOOKUP($A11,CFR20242025_BenchMarkDataReport!$B:$B,CFR20242025_BenchMarkDataReport!AG:AG),0)</f>
        <v>4731.92</v>
      </c>
      <c r="R11" s="289">
        <f>IFERROR(_xlfn.XLOOKUP($A11,CFR20242025_BenchMarkDataReport!$B:$B,CFR20242025_BenchMarkDataReport!AH:AH),0)</f>
        <v>0</v>
      </c>
      <c r="S11" s="289">
        <f>IFERROR(_xlfn.XLOOKUP($A11,CFR20242025_BenchMarkDataReport!$B:$B,CFR20242025_BenchMarkDataReport!AI:AI),0)</f>
        <v>0</v>
      </c>
      <c r="T11" s="289">
        <f>IFERROR(_xlfn.XLOOKUP($A11,CFR20242025_BenchMarkDataReport!$B:$B,CFR20242025_BenchMarkDataReport!AJ:AJ),0)</f>
        <v>0</v>
      </c>
      <c r="U11" s="289">
        <f>INDEX(CFR20242025_BenchMarkDataReport!$B$3:$AM$87,MATCH(A11,CFR20242025_BenchMarkDataReport!$B$3:$B$87),MATCH($U$2,CFR20242025_BenchMarkDataReport!$B$3:$AM$3,0))</f>
        <v>41900.25</v>
      </c>
      <c r="V11" s="289">
        <f>IFERROR(_xlfn.XLOOKUP($A11,CFR20242025_BenchMarkDataReport!$B:$B,CFR20242025_BenchMarkDataReport!AN:AN),0)</f>
        <v>640957.51</v>
      </c>
      <c r="W11" s="289">
        <f>IFERROR(_xlfn.XLOOKUP($A11,CFR20242025_BenchMarkDataReport!$B:$B,CFR20242025_BenchMarkDataReport!AO:AO),0)</f>
        <v>0</v>
      </c>
      <c r="X11" s="289">
        <f>IFERROR(_xlfn.XLOOKUP($A11,CFR20242025_BenchMarkDataReport!$B:$B,CFR20242025_BenchMarkDataReport!AP:AP),0)</f>
        <v>170586.71</v>
      </c>
      <c r="Y11" s="289">
        <f>IFERROR(_xlfn.XLOOKUP($A11,CFR20242025_BenchMarkDataReport!$B:$B,CFR20242025_BenchMarkDataReport!AQ:AQ),0)</f>
        <v>42174.57</v>
      </c>
      <c r="Z11" s="289">
        <f>IFERROR(_xlfn.XLOOKUP($A11,CFR20242025_BenchMarkDataReport!$B:$B,CFR20242025_BenchMarkDataReport!AR:AR),0)</f>
        <v>37108.99</v>
      </c>
      <c r="AA11" s="289">
        <f>IFERROR(_xlfn.XLOOKUP($A11,CFR20242025_BenchMarkDataReport!$B:$B,CFR20242025_BenchMarkDataReport!AS:AS),0)</f>
        <v>0</v>
      </c>
      <c r="AB11" s="289">
        <f>IFERROR(_xlfn.XLOOKUP($A11,CFR20242025_BenchMarkDataReport!$B:$B,CFR20242025_BenchMarkDataReport!AT:AT),0)</f>
        <v>10796.24</v>
      </c>
      <c r="AC11" s="289">
        <f>IFERROR(_xlfn.XLOOKUP($A11,CFR20242025_BenchMarkDataReport!$B:$B,CFR20242025_BenchMarkDataReport!AU:AU),0)</f>
        <v>2457.94</v>
      </c>
      <c r="AD11" s="289">
        <f>IFERROR(_xlfn.XLOOKUP($A11,CFR20242025_BenchMarkDataReport!$B:$B,CFR20242025_BenchMarkDataReport!AV:AV),0)</f>
        <v>1875.25</v>
      </c>
      <c r="AE11" s="289">
        <f>IFERROR(_xlfn.XLOOKUP($A11,CFR20242025_BenchMarkDataReport!$B:$B,CFR20242025_BenchMarkDataReport!AW:AW),0)</f>
        <v>267.26</v>
      </c>
      <c r="AF11" s="289">
        <f>IFERROR(_xlfn.XLOOKUP($A11,CFR20242025_BenchMarkDataReport!$B:$B,CFR20242025_BenchMarkDataReport!AX:AX),0)</f>
        <v>0</v>
      </c>
      <c r="AG11" s="289">
        <f>IFERROR(_xlfn.XLOOKUP($A11,CFR20242025_BenchMarkDataReport!$B:$B,CFR20242025_BenchMarkDataReport!AY:AY),0)</f>
        <v>8662.33</v>
      </c>
      <c r="AH11" s="289">
        <f>IFERROR(_xlfn.XLOOKUP($A11,CFR20242025_BenchMarkDataReport!$B:$B,CFR20242025_BenchMarkDataReport!AZ:AZ),0)</f>
        <v>1498.61</v>
      </c>
      <c r="AI11" s="289">
        <f>IFERROR(_xlfn.XLOOKUP($A11,CFR20242025_BenchMarkDataReport!$B:$B,CFR20242025_BenchMarkDataReport!BA:BA),0)</f>
        <v>27437.3</v>
      </c>
      <c r="AJ11" s="289">
        <f>IFERROR(_xlfn.XLOOKUP($A11,CFR20242025_BenchMarkDataReport!$B:$B,CFR20242025_BenchMarkDataReport!BB:BB),0)</f>
        <v>6145.93</v>
      </c>
      <c r="AK11" s="289">
        <f>IFERROR(_xlfn.XLOOKUP($A11,CFR20242025_BenchMarkDataReport!$B:$B,CFR20242025_BenchMarkDataReport!BC:BC),0)</f>
        <v>22607.53</v>
      </c>
      <c r="AL11" s="289">
        <f>IFERROR(_xlfn.XLOOKUP($A11,CFR20242025_BenchMarkDataReport!$B:$B,CFR20242025_BenchMarkDataReport!BD:BD),0)</f>
        <v>3681.6</v>
      </c>
      <c r="AM11" s="289">
        <f>IFERROR(_xlfn.XLOOKUP($A11,CFR20242025_BenchMarkDataReport!$B:$B,CFR20242025_BenchMarkDataReport!BE:BE),0)</f>
        <v>6289.18</v>
      </c>
      <c r="AN11" s="289">
        <f>IFERROR(_xlfn.XLOOKUP($A11,CFR20242025_BenchMarkDataReport!$B:$B,CFR20242025_BenchMarkDataReport!BF:BF),0)</f>
        <v>46668.97</v>
      </c>
      <c r="AO11" s="289">
        <f>IFERROR(_xlfn.XLOOKUP($A11,CFR20242025_BenchMarkDataReport!$B:$B,CFR20242025_BenchMarkDataReport!BN:BN),0)</f>
        <v>18435.440000000002</v>
      </c>
      <c r="AP11" s="289">
        <f>IFERROR(_xlfn.XLOOKUP($A11,CFR20242025_BenchMarkDataReport!$B:$B,CFR20242025_BenchMarkDataReport!BO:BO),0)</f>
        <v>0</v>
      </c>
      <c r="AQ11" s="289">
        <f>IFERROR(_xlfn.XLOOKUP($A11,CFR20242025_BenchMarkDataReport!$B:$B,CFR20242025_BenchMarkDataReport!BP:BP),0)</f>
        <v>2719.94</v>
      </c>
      <c r="AR11" s="289">
        <f>IFERROR(_xlfn.XLOOKUP($A11,CFR20242025_BenchMarkDataReport!$B:$B,CFR20242025_BenchMarkDataReport!BQ:BQ),0)</f>
        <v>6583.29</v>
      </c>
      <c r="AS11" s="289">
        <f>IFERROR(_xlfn.XLOOKUP($A11,CFR20242025_BenchMarkDataReport!$B:$B,CFR20242025_BenchMarkDataReport!BR:BR),0)</f>
        <v>2048.61</v>
      </c>
      <c r="AT11" s="289">
        <f>IFERROR(_xlfn.XLOOKUP($A11,CFR20242025_BenchMarkDataReport!$B:$B,CFR20242025_BenchMarkDataReport!BS:BS),0)</f>
        <v>71092.820000000007</v>
      </c>
      <c r="AU11" s="289">
        <f>IFERROR(_xlfn.XLOOKUP($A11,CFR20242025_BenchMarkDataReport!$B:$B,CFR20242025_BenchMarkDataReport!BT:BT),0)</f>
        <v>9354.19</v>
      </c>
      <c r="AV11" s="289">
        <f>IFERROR(_xlfn.XLOOKUP($A11,CFR20242025_BenchMarkDataReport!$B:$B,CFR20242025_BenchMarkDataReport!BU:BU),0)</f>
        <v>306395</v>
      </c>
      <c r="AW11" s="289">
        <f>IFERROR(_xlfn.XLOOKUP($A11,CFR20242025_BenchMarkDataReport!$B:$B,CFR20242025_BenchMarkDataReport!BV:BV),0)</f>
        <v>24818.53</v>
      </c>
      <c r="AX11" s="289">
        <f>IFERROR(_xlfn.XLOOKUP($A11,CFR20242025_BenchMarkDataReport!$B:$B,CFR20242025_BenchMarkDataReport!BW:BW),0)</f>
        <v>0</v>
      </c>
      <c r="AY11" s="289">
        <f>IFERROR(_xlfn.XLOOKUP($A11,CFR20242025_BenchMarkDataReport!$B:$B,CFR20242025_BenchMarkDataReport!BX:BX),0)</f>
        <v>0</v>
      </c>
      <c r="AZ11" s="289">
        <f>IFERROR(_xlfn.XLOOKUP($A11,CFR20242025_BenchMarkDataReport!$B:$B,CFR20242025_BenchMarkDataReport!BY:BY),0)</f>
        <v>0</v>
      </c>
      <c r="BA11" s="289">
        <f>IFERROR(_xlfn.XLOOKUP($A11,CFR20242025_BenchMarkDataReport!$B:$B,CFR20242025_BenchMarkDataReport!BZ:BZ),0)</f>
        <v>0</v>
      </c>
      <c r="BB11" s="289">
        <f>IFERROR(_xlfn.XLOOKUP($A11,CFR20242025_BenchMarkDataReport!$B:$B,CFR20242025_BenchMarkDataReport!CA:CA),0)</f>
        <v>0</v>
      </c>
      <c r="BC11" s="290">
        <f t="shared" si="33"/>
        <v>1511216.8699999999</v>
      </c>
      <c r="BD11" s="291">
        <f t="shared" si="101"/>
        <v>1470663.74</v>
      </c>
      <c r="BE11" s="325">
        <f t="shared" si="102"/>
        <v>40553.129999999888</v>
      </c>
      <c r="BF11" s="289">
        <f>IFERROR(_xlfn.XLOOKUP(A11,CFR20242025_BenchMarkDataReport!B:B,CFR20242025_BenchMarkDataReport!Q:Q),0)</f>
        <v>120907.87</v>
      </c>
      <c r="BG11" s="290">
        <f t="shared" si="0"/>
        <v>161460.99999999988</v>
      </c>
      <c r="BH11" s="292">
        <f>_xlfn.XLOOKUP(A11,'Pupil on roll 24-25'!E:E,'Pupil on roll 24-25'!I:I)</f>
        <v>161</v>
      </c>
      <c r="BI11" s="291">
        <f t="shared" si="1"/>
        <v>1271098.58</v>
      </c>
      <c r="BJ11" t="s">
        <v>190</v>
      </c>
      <c r="BK11" s="293">
        <f t="shared" si="34"/>
        <v>0.76550661454699098</v>
      </c>
      <c r="BL11" s="294">
        <f t="shared" si="35"/>
        <v>7185.3820496894414</v>
      </c>
      <c r="BM11" s="295">
        <f t="shared" si="36"/>
        <v>0</v>
      </c>
      <c r="BN11" s="296">
        <f t="shared" si="37"/>
        <v>0</v>
      </c>
      <c r="BO11" s="293">
        <f t="shared" si="38"/>
        <v>7.5602696256295773E-2</v>
      </c>
      <c r="BP11" s="294">
        <f t="shared" si="39"/>
        <v>709.64018633540377</v>
      </c>
      <c r="BQ11" s="295">
        <f t="shared" si="40"/>
        <v>0</v>
      </c>
      <c r="BR11" s="296">
        <f t="shared" si="41"/>
        <v>0</v>
      </c>
      <c r="BS11" s="293">
        <f t="shared" si="42"/>
        <v>8.7161546840064066E-2</v>
      </c>
      <c r="BT11" s="294">
        <f t="shared" si="43"/>
        <v>818.13664596273293</v>
      </c>
      <c r="BU11" s="295">
        <f t="shared" si="44"/>
        <v>3.0071263034537198E-3</v>
      </c>
      <c r="BV11" s="296">
        <f t="shared" si="45"/>
        <v>28.226211180124224</v>
      </c>
      <c r="BW11" s="293">
        <f t="shared" si="46"/>
        <v>1.8526679099340655E-2</v>
      </c>
      <c r="BX11" s="294">
        <f t="shared" si="47"/>
        <v>173.89956521739131</v>
      </c>
      <c r="BY11" s="295">
        <f t="shared" si="48"/>
        <v>1.0201302212831968E-2</v>
      </c>
      <c r="BZ11" s="297">
        <f t="shared" si="49"/>
        <v>95.753913043478249</v>
      </c>
      <c r="CA11" s="298">
        <f t="shared" si="50"/>
        <v>7.867666273471392E-3</v>
      </c>
      <c r="CB11" s="299">
        <f t="shared" si="51"/>
        <v>73.849378881987576</v>
      </c>
      <c r="CC11" s="295">
        <f t="shared" si="52"/>
        <v>3.131198502303644E-3</v>
      </c>
      <c r="CD11" s="296">
        <f t="shared" si="53"/>
        <v>29.390807453416148</v>
      </c>
      <c r="CE11" s="300">
        <f t="shared" si="54"/>
        <v>0.5116138985852694</v>
      </c>
      <c r="CF11" s="298">
        <f t="shared" si="55"/>
        <v>0.43032321363643855</v>
      </c>
      <c r="CG11" s="298">
        <f t="shared" si="56"/>
        <v>0.44218925258876646</v>
      </c>
      <c r="CH11" s="299">
        <f t="shared" si="57"/>
        <v>4039.203105590062</v>
      </c>
      <c r="CI11" s="295">
        <f t="shared" si="58"/>
        <v>0.13420415433081515</v>
      </c>
      <c r="CJ11" s="301">
        <f t="shared" si="59"/>
        <v>0.11288036375612985</v>
      </c>
      <c r="CK11" s="301">
        <f t="shared" si="60"/>
        <v>0.11599300734782514</v>
      </c>
      <c r="CL11" s="302">
        <f t="shared" si="61"/>
        <v>1059.5447826086956</v>
      </c>
      <c r="CM11" s="300">
        <f t="shared" si="62"/>
        <v>3.3179621678123501E-2</v>
      </c>
      <c r="CN11" s="298">
        <f t="shared" si="63"/>
        <v>2.7907688722400251E-2</v>
      </c>
      <c r="CO11" s="298">
        <f t="shared" si="64"/>
        <v>2.8677235218976704E-2</v>
      </c>
      <c r="CP11" s="299">
        <f t="shared" si="65"/>
        <v>261.95385093167704</v>
      </c>
      <c r="CQ11" s="295">
        <f t="shared" si="66"/>
        <v>2.9194423299568156E-2</v>
      </c>
      <c r="CR11" s="301">
        <f t="shared" si="67"/>
        <v>2.4555701260799187E-2</v>
      </c>
      <c r="CS11" s="301">
        <f t="shared" si="68"/>
        <v>2.5232817666395988E-2</v>
      </c>
      <c r="CT11" s="296">
        <f t="shared" si="69"/>
        <v>230.4906211180124</v>
      </c>
      <c r="CU11" s="300">
        <f t="shared" si="70"/>
        <v>0.70932658897313838</v>
      </c>
      <c r="CV11" s="298">
        <f t="shared" si="71"/>
        <v>0.59662119838564265</v>
      </c>
      <c r="CW11" s="298">
        <f t="shared" si="72"/>
        <v>0.61307285647771526</v>
      </c>
      <c r="CX11" s="299">
        <f t="shared" si="73"/>
        <v>5600.1491925465834</v>
      </c>
      <c r="CY11" s="295">
        <f t="shared" si="74"/>
        <v>6.8148372882298391E-3</v>
      </c>
      <c r="CZ11" s="301">
        <f t="shared" si="75"/>
        <v>5.8900819843426613E-3</v>
      </c>
      <c r="DA11" s="296">
        <f t="shared" si="76"/>
        <v>53.803291925465835</v>
      </c>
      <c r="DB11" s="300">
        <f t="shared" si="77"/>
        <v>4.1790178358514507E-3</v>
      </c>
      <c r="DC11" s="299">
        <f t="shared" si="78"/>
        <v>38.173478260869565</v>
      </c>
      <c r="DD11" s="295">
        <f t="shared" si="79"/>
        <v>1.7785819570343628E-2</v>
      </c>
      <c r="DE11" s="301">
        <f t="shared" si="80"/>
        <v>1.5372331135328052E-2</v>
      </c>
      <c r="DF11" s="296">
        <f t="shared" si="81"/>
        <v>140.41944099378881</v>
      </c>
      <c r="DG11" s="300">
        <f t="shared" si="82"/>
        <v>4.9478302461796473E-3</v>
      </c>
      <c r="DH11" s="298">
        <f t="shared" si="83"/>
        <v>4.2764228347671098E-3</v>
      </c>
      <c r="DI11" s="303">
        <f t="shared" si="84"/>
        <v>39.063229813664599</v>
      </c>
      <c r="DJ11" s="295">
        <f t="shared" si="85"/>
        <v>3.6715460731613747E-2</v>
      </c>
      <c r="DK11" s="301">
        <f t="shared" si="86"/>
        <v>3.0881715871792777E-2</v>
      </c>
      <c r="DL11" s="301">
        <f t="shared" si="87"/>
        <v>3.1733270312355698E-2</v>
      </c>
      <c r="DM11" s="296">
        <f t="shared" si="88"/>
        <v>289.86937888198759</v>
      </c>
      <c r="DN11" s="300">
        <f t="shared" si="89"/>
        <v>2.1398340323848051E-3</v>
      </c>
      <c r="DO11" s="298">
        <f t="shared" si="90"/>
        <v>1.8494642425875001E-3</v>
      </c>
      <c r="DP11" s="299">
        <f t="shared" si="91"/>
        <v>16.894037267080744</v>
      </c>
      <c r="DQ11" s="295">
        <f t="shared" si="92"/>
        <v>0.24104739382212195</v>
      </c>
      <c r="DR11" s="301">
        <f t="shared" si="93"/>
        <v>0.20833790326536505</v>
      </c>
      <c r="DS11" s="296">
        <f t="shared" si="94"/>
        <v>1903.0745341614906</v>
      </c>
      <c r="DT11" s="300">
        <f t="shared" si="95"/>
        <v>4.8340635637076364E-2</v>
      </c>
      <c r="DU11" s="299">
        <f t="shared" si="96"/>
        <v>441.57031055900626</v>
      </c>
      <c r="DV11" s="295">
        <f t="shared" si="25"/>
        <v>1.8656406120409277E-2</v>
      </c>
      <c r="DW11" s="296">
        <f t="shared" si="97"/>
        <v>170.41801242236025</v>
      </c>
      <c r="DX11" s="295">
        <f t="shared" si="103"/>
        <v>7.0018172784049525E-5</v>
      </c>
      <c r="DY11" s="301">
        <f t="shared" si="98"/>
        <v>5.8892937054097346E-5</v>
      </c>
      <c r="DZ11" s="301">
        <f t="shared" si="99"/>
        <v>6.0516892869066044E-5</v>
      </c>
      <c r="EA11" s="296">
        <f t="shared" si="100"/>
        <v>0.55279503105590067</v>
      </c>
      <c r="EB11" s="304">
        <f>IFERROR(_xlfn.XLOOKUP(A11,'Pupil on roll 24-25'!E:E,'Pupil on roll 24-25'!R:R),0)</f>
        <v>89</v>
      </c>
      <c r="EC11" s="289">
        <f>IFERROR(_xlfn.XLOOKUP(A11,CFR20242025_BenchMarkDataReport!B:B,CFR20242025_BenchMarkDataReport!AK:AK),0)</f>
        <v>5256.25</v>
      </c>
      <c r="ED11" s="289">
        <f>IFERROR(_xlfn.XLOOKUP(A11,CFR20242025_BenchMarkDataReport!B:B,CFR20242025_BenchMarkDataReport!AL:AL),0)</f>
        <v>36644</v>
      </c>
    </row>
    <row r="12" spans="1:228">
      <c r="A12" s="322">
        <v>3500</v>
      </c>
      <c r="B12" s="323">
        <v>10043</v>
      </c>
      <c r="C12" s="322" t="s">
        <v>34</v>
      </c>
      <c r="D12" s="289">
        <f>IFERROR(_xlfn.XLOOKUP($A12,CFR20242025_BenchMarkDataReport!$B:$B,CFR20242025_BenchMarkDataReport!T:T),0)</f>
        <v>1204129.8400000001</v>
      </c>
      <c r="E12" s="289">
        <f>IFERROR(_xlfn.XLOOKUP($A12,CFR20242025_BenchMarkDataReport!$B:$B,CFR20242025_BenchMarkDataReport!U:U),0)</f>
        <v>0</v>
      </c>
      <c r="F12" s="289">
        <f>IFERROR(_xlfn.XLOOKUP($A12,CFR20242025_BenchMarkDataReport!$B:$B,CFR20242025_BenchMarkDataReport!V:V),0)</f>
        <v>96028.34</v>
      </c>
      <c r="G12" s="289">
        <f>IFERROR(_xlfn.XLOOKUP($A12,CFR20242025_BenchMarkDataReport!$B:$B,CFR20242025_BenchMarkDataReport!W:W),0)</f>
        <v>0</v>
      </c>
      <c r="H12" s="289">
        <f>IFERROR(_xlfn.XLOOKUP($A12,CFR20242025_BenchMarkDataReport!$B:$B,CFR20242025_BenchMarkDataReport!X:X),0)</f>
        <v>56240</v>
      </c>
      <c r="I12" s="289">
        <f>IFERROR(_xlfn.XLOOKUP($A12,CFR20242025_BenchMarkDataReport!$B:$B,CFR20242025_BenchMarkDataReport!Y:Y),0)</f>
        <v>0</v>
      </c>
      <c r="J12" s="289">
        <f>IFERROR(_xlfn.XLOOKUP($A12,CFR20242025_BenchMarkDataReport!$B:$B,CFR20242025_BenchMarkDataReport!Z:Z),0)</f>
        <v>13433.18</v>
      </c>
      <c r="K12" s="289">
        <f>IFERROR(_xlfn.XLOOKUP($A12,CFR20242025_BenchMarkDataReport!$B:$B,CFR20242025_BenchMarkDataReport!AA:AA),0)</f>
        <v>0</v>
      </c>
      <c r="L12" s="289">
        <f>IFERROR(_xlfn.XLOOKUP($A12,CFR20242025_BenchMarkDataReport!$B:$B,CFR20242025_BenchMarkDataReport!AB:AB),0)</f>
        <v>15247.1</v>
      </c>
      <c r="M12" s="289">
        <f>IFERROR(_xlfn.XLOOKUP($A12,CFR20242025_BenchMarkDataReport!$B:$B,CFR20242025_BenchMarkDataReport!AC:AC),0)</f>
        <v>0</v>
      </c>
      <c r="N12" s="289">
        <f>IFERROR(_xlfn.XLOOKUP($A12,CFR20242025_BenchMarkDataReport!$B:$B,CFR20242025_BenchMarkDataReport!AD:AD),0)</f>
        <v>0</v>
      </c>
      <c r="O12" s="289">
        <f>IFERROR(_xlfn.XLOOKUP($A12,CFR20242025_BenchMarkDataReport!$B:$B,CFR20242025_BenchMarkDataReport!AE:AE),0)</f>
        <v>0</v>
      </c>
      <c r="P12" s="289">
        <f>IFERROR(_xlfn.XLOOKUP($A12,CFR20242025_BenchMarkDataReport!$B:$B,CFR20242025_BenchMarkDataReport!AF:AF),0)</f>
        <v>10993</v>
      </c>
      <c r="Q12" s="289">
        <f>IFERROR(_xlfn.XLOOKUP($A12,CFR20242025_BenchMarkDataReport!$B:$B,CFR20242025_BenchMarkDataReport!AG:AG),0)</f>
        <v>838.5</v>
      </c>
      <c r="R12" s="289">
        <f>IFERROR(_xlfn.XLOOKUP($A12,CFR20242025_BenchMarkDataReport!$B:$B,CFR20242025_BenchMarkDataReport!AH:AH),0)</f>
        <v>0</v>
      </c>
      <c r="S12" s="289">
        <f>IFERROR(_xlfn.XLOOKUP($A12,CFR20242025_BenchMarkDataReport!$B:$B,CFR20242025_BenchMarkDataReport!AI:AI),0)</f>
        <v>0</v>
      </c>
      <c r="T12" s="289">
        <f>IFERROR(_xlfn.XLOOKUP($A12,CFR20242025_BenchMarkDataReport!$B:$B,CFR20242025_BenchMarkDataReport!AJ:AJ),0)</f>
        <v>0</v>
      </c>
      <c r="U12" s="289">
        <f>INDEX(CFR20242025_BenchMarkDataReport!$B$3:$AM$87,MATCH(A12,CFR20242025_BenchMarkDataReport!$B$3:$B$87),MATCH($U$2,CFR20242025_BenchMarkDataReport!$B$3:$AM$3,0))</f>
        <v>64586.38</v>
      </c>
      <c r="V12" s="289">
        <f>IFERROR(_xlfn.XLOOKUP($A12,CFR20242025_BenchMarkDataReport!$B:$B,CFR20242025_BenchMarkDataReport!AN:AN),0)</f>
        <v>530482.78</v>
      </c>
      <c r="W12" s="289">
        <f>IFERROR(_xlfn.XLOOKUP($A12,CFR20242025_BenchMarkDataReport!$B:$B,CFR20242025_BenchMarkDataReport!AO:AO),0)</f>
        <v>334.57</v>
      </c>
      <c r="X12" s="289">
        <f>IFERROR(_xlfn.XLOOKUP($A12,CFR20242025_BenchMarkDataReport!$B:$B,CFR20242025_BenchMarkDataReport!AP:AP),0)</f>
        <v>175624.57</v>
      </c>
      <c r="Y12" s="289">
        <f>IFERROR(_xlfn.XLOOKUP($A12,CFR20242025_BenchMarkDataReport!$B:$B,CFR20242025_BenchMarkDataReport!AQ:AQ),0)</f>
        <v>30152.42</v>
      </c>
      <c r="Z12" s="289">
        <f>IFERROR(_xlfn.XLOOKUP($A12,CFR20242025_BenchMarkDataReport!$B:$B,CFR20242025_BenchMarkDataReport!AR:AR),0)</f>
        <v>44701.98</v>
      </c>
      <c r="AA12" s="289">
        <f>IFERROR(_xlfn.XLOOKUP($A12,CFR20242025_BenchMarkDataReport!$B:$B,CFR20242025_BenchMarkDataReport!AS:AS),0)</f>
        <v>0</v>
      </c>
      <c r="AB12" s="289">
        <f>IFERROR(_xlfn.XLOOKUP($A12,CFR20242025_BenchMarkDataReport!$B:$B,CFR20242025_BenchMarkDataReport!AT:AT),0)</f>
        <v>13824.32</v>
      </c>
      <c r="AC12" s="289">
        <f>IFERROR(_xlfn.XLOOKUP($A12,CFR20242025_BenchMarkDataReport!$B:$B,CFR20242025_BenchMarkDataReport!AU:AU),0)</f>
        <v>2172.8000000000002</v>
      </c>
      <c r="AD12" s="289">
        <f>IFERROR(_xlfn.XLOOKUP($A12,CFR20242025_BenchMarkDataReport!$B:$B,CFR20242025_BenchMarkDataReport!AV:AV),0)</f>
        <v>2869.36</v>
      </c>
      <c r="AE12" s="289">
        <f>IFERROR(_xlfn.XLOOKUP($A12,CFR20242025_BenchMarkDataReport!$B:$B,CFR20242025_BenchMarkDataReport!AW:AW),0)</f>
        <v>268.92</v>
      </c>
      <c r="AF12" s="289">
        <f>IFERROR(_xlfn.XLOOKUP($A12,CFR20242025_BenchMarkDataReport!$B:$B,CFR20242025_BenchMarkDataReport!AX:AX),0)</f>
        <v>0</v>
      </c>
      <c r="AG12" s="289">
        <f>IFERROR(_xlfn.XLOOKUP($A12,CFR20242025_BenchMarkDataReport!$B:$B,CFR20242025_BenchMarkDataReport!AY:AY),0)</f>
        <v>23714.23</v>
      </c>
      <c r="AH12" s="289">
        <f>IFERROR(_xlfn.XLOOKUP($A12,CFR20242025_BenchMarkDataReport!$B:$B,CFR20242025_BenchMarkDataReport!AZ:AZ),0)</f>
        <v>2.89</v>
      </c>
      <c r="AI12" s="289">
        <f>IFERROR(_xlfn.XLOOKUP($A12,CFR20242025_BenchMarkDataReport!$B:$B,CFR20242025_BenchMarkDataReport!BA:BA),0)</f>
        <v>12179.72</v>
      </c>
      <c r="AJ12" s="289">
        <f>IFERROR(_xlfn.XLOOKUP($A12,CFR20242025_BenchMarkDataReport!$B:$B,CFR20242025_BenchMarkDataReport!BB:BB),0)</f>
        <v>2387</v>
      </c>
      <c r="AK12" s="289">
        <f>IFERROR(_xlfn.XLOOKUP($A12,CFR20242025_BenchMarkDataReport!$B:$B,CFR20242025_BenchMarkDataReport!BC:BC),0)</f>
        <v>19186.5</v>
      </c>
      <c r="AL12" s="289">
        <f>IFERROR(_xlfn.XLOOKUP($A12,CFR20242025_BenchMarkDataReport!$B:$B,CFR20242025_BenchMarkDataReport!BD:BD),0)</f>
        <v>3001.42</v>
      </c>
      <c r="AM12" s="289">
        <f>IFERROR(_xlfn.XLOOKUP($A12,CFR20242025_BenchMarkDataReport!$B:$B,CFR20242025_BenchMarkDataReport!BE:BE),0)</f>
        <v>5062.78</v>
      </c>
      <c r="AN12" s="289">
        <f>IFERROR(_xlfn.XLOOKUP($A12,CFR20242025_BenchMarkDataReport!$B:$B,CFR20242025_BenchMarkDataReport!BF:BF),0)</f>
        <v>9285.6299999999992</v>
      </c>
      <c r="AO12" s="289">
        <f>IFERROR(_xlfn.XLOOKUP($A12,CFR20242025_BenchMarkDataReport!$B:$B,CFR20242025_BenchMarkDataReport!BN:BN),0)</f>
        <v>36461.18</v>
      </c>
      <c r="AP12" s="289">
        <f>IFERROR(_xlfn.XLOOKUP($A12,CFR20242025_BenchMarkDataReport!$B:$B,CFR20242025_BenchMarkDataReport!BO:BO),0)</f>
        <v>0</v>
      </c>
      <c r="AQ12" s="289">
        <f>IFERROR(_xlfn.XLOOKUP($A12,CFR20242025_BenchMarkDataReport!$B:$B,CFR20242025_BenchMarkDataReport!BP:BP),0)</f>
        <v>1424.04</v>
      </c>
      <c r="AR12" s="289">
        <f>IFERROR(_xlfn.XLOOKUP($A12,CFR20242025_BenchMarkDataReport!$B:$B,CFR20242025_BenchMarkDataReport!BQ:BQ),0)</f>
        <v>7086.68</v>
      </c>
      <c r="AS12" s="289">
        <f>IFERROR(_xlfn.XLOOKUP($A12,CFR20242025_BenchMarkDataReport!$B:$B,CFR20242025_BenchMarkDataReport!BR:BR),0)</f>
        <v>8045.28</v>
      </c>
      <c r="AT12" s="289">
        <f>IFERROR(_xlfn.XLOOKUP($A12,CFR20242025_BenchMarkDataReport!$B:$B,CFR20242025_BenchMarkDataReport!BS:BS),0)</f>
        <v>57597.79</v>
      </c>
      <c r="AU12" s="289">
        <f>IFERROR(_xlfn.XLOOKUP($A12,CFR20242025_BenchMarkDataReport!$B:$B,CFR20242025_BenchMarkDataReport!BT:BT),0)</f>
        <v>74318.11</v>
      </c>
      <c r="AV12" s="289">
        <f>IFERROR(_xlfn.XLOOKUP($A12,CFR20242025_BenchMarkDataReport!$B:$B,CFR20242025_BenchMarkDataReport!BU:BU),0)</f>
        <v>142838.51</v>
      </c>
      <c r="AW12" s="289">
        <f>IFERROR(_xlfn.XLOOKUP($A12,CFR20242025_BenchMarkDataReport!$B:$B,CFR20242025_BenchMarkDataReport!BV:BV),0)</f>
        <v>13681.06</v>
      </c>
      <c r="AX12" s="289">
        <f>IFERROR(_xlfn.XLOOKUP($A12,CFR20242025_BenchMarkDataReport!$B:$B,CFR20242025_BenchMarkDataReport!BW:BW),0)</f>
        <v>0</v>
      </c>
      <c r="AY12" s="289">
        <f>IFERROR(_xlfn.XLOOKUP($A12,CFR20242025_BenchMarkDataReport!$B:$B,CFR20242025_BenchMarkDataReport!BX:BX),0)</f>
        <v>0</v>
      </c>
      <c r="AZ12" s="289">
        <f>IFERROR(_xlfn.XLOOKUP($A12,CFR20242025_BenchMarkDataReport!$B:$B,CFR20242025_BenchMarkDataReport!BY:BY),0)</f>
        <v>0</v>
      </c>
      <c r="BA12" s="289">
        <f>IFERROR(_xlfn.XLOOKUP($A12,CFR20242025_BenchMarkDataReport!$B:$B,CFR20242025_BenchMarkDataReport!BZ:BZ),0)</f>
        <v>0</v>
      </c>
      <c r="BB12" s="289">
        <f>IFERROR(_xlfn.XLOOKUP($A12,CFR20242025_BenchMarkDataReport!$B:$B,CFR20242025_BenchMarkDataReport!CA:CA),0)</f>
        <v>0</v>
      </c>
      <c r="BC12" s="290">
        <f t="shared" si="33"/>
        <v>1461496.34</v>
      </c>
      <c r="BD12" s="291">
        <f t="shared" si="101"/>
        <v>1216704.5400000003</v>
      </c>
      <c r="BE12" s="325">
        <f t="shared" si="102"/>
        <v>244791.79999999981</v>
      </c>
      <c r="BF12" s="289">
        <f>IFERROR(_xlfn.XLOOKUP(A12,CFR20242025_BenchMarkDataReport!B:B,CFR20242025_BenchMarkDataReport!Q:Q),0)</f>
        <v>3286.32</v>
      </c>
      <c r="BG12" s="290">
        <f t="shared" si="0"/>
        <v>248078.11999999982</v>
      </c>
      <c r="BH12" s="292">
        <f>_xlfn.XLOOKUP(A12,'Pupil on roll 24-25'!E:E,'Pupil on roll 24-25'!I:I)</f>
        <v>162</v>
      </c>
      <c r="BI12" s="291">
        <f t="shared" si="1"/>
        <v>1300158.1800000002</v>
      </c>
      <c r="BJ12" t="s">
        <v>190</v>
      </c>
      <c r="BK12" s="293">
        <f t="shared" si="34"/>
        <v>0.82390205643621384</v>
      </c>
      <c r="BL12" s="294">
        <f t="shared" si="35"/>
        <v>7432.9002469135812</v>
      </c>
      <c r="BM12" s="295">
        <f t="shared" si="36"/>
        <v>0</v>
      </c>
      <c r="BN12" s="296">
        <f t="shared" si="37"/>
        <v>0</v>
      </c>
      <c r="BO12" s="293">
        <f t="shared" si="38"/>
        <v>6.5705494684988389E-2</v>
      </c>
      <c r="BP12" s="294">
        <f t="shared" si="39"/>
        <v>592.76753086419751</v>
      </c>
      <c r="BQ12" s="295">
        <f t="shared" si="40"/>
        <v>0</v>
      </c>
      <c r="BR12" s="296">
        <f t="shared" si="41"/>
        <v>0</v>
      </c>
      <c r="BS12" s="293">
        <f t="shared" si="42"/>
        <v>3.8481109025562114E-2</v>
      </c>
      <c r="BT12" s="294">
        <f t="shared" si="43"/>
        <v>347.16049382716051</v>
      </c>
      <c r="BU12" s="295">
        <f t="shared" si="44"/>
        <v>0</v>
      </c>
      <c r="BV12" s="296">
        <f t="shared" si="45"/>
        <v>0</v>
      </c>
      <c r="BW12" s="293">
        <f t="shared" si="46"/>
        <v>9.1913880536984433E-3</v>
      </c>
      <c r="BX12" s="294">
        <f t="shared" si="47"/>
        <v>82.920864197530861</v>
      </c>
      <c r="BY12" s="295">
        <f t="shared" si="48"/>
        <v>1.0432526981217072E-2</v>
      </c>
      <c r="BZ12" s="297">
        <f t="shared" si="49"/>
        <v>94.11790123456791</v>
      </c>
      <c r="CA12" s="298">
        <f t="shared" si="50"/>
        <v>7.5217430924253972E-3</v>
      </c>
      <c r="CB12" s="299">
        <f t="shared" si="51"/>
        <v>67.858024691358025</v>
      </c>
      <c r="CC12" s="295">
        <f t="shared" si="52"/>
        <v>5.7372706112969116E-4</v>
      </c>
      <c r="CD12" s="296">
        <f t="shared" si="53"/>
        <v>5.1759259259259256</v>
      </c>
      <c r="CE12" s="300">
        <f t="shared" si="54"/>
        <v>0.46543218302868339</v>
      </c>
      <c r="CF12" s="298">
        <f t="shared" si="55"/>
        <v>0.41405198455714226</v>
      </c>
      <c r="CG12" s="298">
        <f t="shared" si="56"/>
        <v>0.49735612887579084</v>
      </c>
      <c r="CH12" s="299">
        <f t="shared" si="57"/>
        <v>3735.4040740740738</v>
      </c>
      <c r="CI12" s="295">
        <f t="shared" si="58"/>
        <v>0.13507938703273781</v>
      </c>
      <c r="CJ12" s="301">
        <f t="shared" si="59"/>
        <v>0.12016764270514697</v>
      </c>
      <c r="CK12" s="301">
        <f t="shared" si="60"/>
        <v>0.14434446837849391</v>
      </c>
      <c r="CL12" s="302">
        <f t="shared" si="61"/>
        <v>1084.1022839506172</v>
      </c>
      <c r="CM12" s="300">
        <f t="shared" si="62"/>
        <v>2.3191347378978145E-2</v>
      </c>
      <c r="CN12" s="298">
        <f t="shared" si="63"/>
        <v>2.0631197749013862E-2</v>
      </c>
      <c r="CO12" s="298">
        <f t="shared" si="64"/>
        <v>2.4782039524566903E-2</v>
      </c>
      <c r="CP12" s="299">
        <f t="shared" si="65"/>
        <v>186.12604938271605</v>
      </c>
      <c r="CQ12" s="295">
        <f t="shared" si="66"/>
        <v>3.4381954971048213E-2</v>
      </c>
      <c r="CR12" s="301">
        <f t="shared" si="67"/>
        <v>3.0586446764553649E-2</v>
      </c>
      <c r="CS12" s="301">
        <f t="shared" si="68"/>
        <v>3.6740209747224244E-2</v>
      </c>
      <c r="CT12" s="296">
        <f t="shared" si="69"/>
        <v>275.93814814814817</v>
      </c>
      <c r="CU12" s="300">
        <f t="shared" si="70"/>
        <v>0.6115568491827662</v>
      </c>
      <c r="CV12" s="298">
        <f t="shared" si="71"/>
        <v>0.54404559097287908</v>
      </c>
      <c r="CW12" s="298">
        <f t="shared" si="72"/>
        <v>0.6535034709412687</v>
      </c>
      <c r="CX12" s="299">
        <f t="shared" si="73"/>
        <v>4908.1520987654312</v>
      </c>
      <c r="CY12" s="295">
        <f t="shared" si="74"/>
        <v>1.8239496058856466E-2</v>
      </c>
      <c r="CZ12" s="301">
        <f t="shared" si="75"/>
        <v>1.9490541228686459E-2</v>
      </c>
      <c r="DA12" s="296">
        <f t="shared" si="76"/>
        <v>146.38413580246913</v>
      </c>
      <c r="DB12" s="300">
        <f t="shared" si="77"/>
        <v>1.9618567380376502E-3</v>
      </c>
      <c r="DC12" s="299">
        <f t="shared" si="78"/>
        <v>14.734567901234568</v>
      </c>
      <c r="DD12" s="295">
        <f t="shared" si="79"/>
        <v>1.4757050561340157E-2</v>
      </c>
      <c r="DE12" s="301">
        <f t="shared" si="80"/>
        <v>1.5769235150548542E-2</v>
      </c>
      <c r="DF12" s="296">
        <f t="shared" si="81"/>
        <v>118.43518518518519</v>
      </c>
      <c r="DG12" s="300">
        <f t="shared" si="82"/>
        <v>3.8939723472723904E-3</v>
      </c>
      <c r="DH12" s="298">
        <f t="shared" si="83"/>
        <v>4.1610595124433403E-3</v>
      </c>
      <c r="DI12" s="303">
        <f t="shared" si="84"/>
        <v>31.251728395061726</v>
      </c>
      <c r="DJ12" s="295">
        <f t="shared" si="85"/>
        <v>7.1419233004402574E-3</v>
      </c>
      <c r="DK12" s="301">
        <f t="shared" si="86"/>
        <v>6.3535088976001122E-3</v>
      </c>
      <c r="DL12" s="301">
        <f t="shared" si="87"/>
        <v>7.6317870894112034E-3</v>
      </c>
      <c r="DM12" s="296">
        <f t="shared" si="88"/>
        <v>57.318703703703697</v>
      </c>
      <c r="DN12" s="300">
        <f t="shared" si="89"/>
        <v>1.0952821140578447E-3</v>
      </c>
      <c r="DO12" s="298">
        <f t="shared" si="90"/>
        <v>1.1704074022769733E-3</v>
      </c>
      <c r="DP12" s="299">
        <f t="shared" si="91"/>
        <v>8.7903703703703702</v>
      </c>
      <c r="DQ12" s="295">
        <f t="shared" si="92"/>
        <v>0.10986240920316326</v>
      </c>
      <c r="DR12" s="301">
        <f t="shared" si="93"/>
        <v>0.11739786061782918</v>
      </c>
      <c r="DS12" s="296">
        <f t="shared" si="94"/>
        <v>881.71919753086422</v>
      </c>
      <c r="DT12" s="300">
        <f t="shared" si="95"/>
        <v>4.7339175704892156E-2</v>
      </c>
      <c r="DU12" s="299">
        <f t="shared" si="96"/>
        <v>355.5419135802469</v>
      </c>
      <c r="DV12" s="295">
        <f t="shared" si="25"/>
        <v>1.0010417155178855E-2</v>
      </c>
      <c r="DW12" s="296">
        <f t="shared" si="97"/>
        <v>75.183456790123458</v>
      </c>
      <c r="DX12" s="295">
        <f t="shared" si="103"/>
        <v>2.922721295342694E-5</v>
      </c>
      <c r="DY12" s="301">
        <f t="shared" si="98"/>
        <v>2.6000749341596025E-5</v>
      </c>
      <c r="DZ12" s="301">
        <f t="shared" si="99"/>
        <v>3.1231904501646711E-5</v>
      </c>
      <c r="EA12" s="296">
        <f t="shared" si="100"/>
        <v>0.23456790123456789</v>
      </c>
      <c r="EB12" s="304">
        <f>IFERROR(_xlfn.XLOOKUP(A12,'Pupil on roll 24-25'!E:E,'Pupil on roll 24-25'!R:R),0)</f>
        <v>38</v>
      </c>
      <c r="EC12" s="289">
        <f>IFERROR(_xlfn.XLOOKUP(A12,CFR20242025_BenchMarkDataReport!B:B,CFR20242025_BenchMarkDataReport!AK:AK),0)</f>
        <v>2854.38</v>
      </c>
      <c r="ED12" s="289">
        <f>IFERROR(_xlfn.XLOOKUP(A12,CFR20242025_BenchMarkDataReport!B:B,CFR20242025_BenchMarkDataReport!AL:AL),0)</f>
        <v>61732</v>
      </c>
    </row>
    <row r="13" spans="1:228">
      <c r="A13" s="322">
        <v>3514</v>
      </c>
      <c r="B13" s="323">
        <v>10117</v>
      </c>
      <c r="C13" s="322" t="s">
        <v>35</v>
      </c>
      <c r="D13" s="289">
        <f>IFERROR(_xlfn.XLOOKUP($A13,CFR20242025_BenchMarkDataReport!$B:$B,CFR20242025_BenchMarkDataReport!T:T),0)</f>
        <v>1054637.4099999999</v>
      </c>
      <c r="E13" s="289">
        <f>IFERROR(_xlfn.XLOOKUP($A13,CFR20242025_BenchMarkDataReport!$B:$B,CFR20242025_BenchMarkDataReport!U:U),0)</f>
        <v>0</v>
      </c>
      <c r="F13" s="289">
        <f>IFERROR(_xlfn.XLOOKUP($A13,CFR20242025_BenchMarkDataReport!$B:$B,CFR20242025_BenchMarkDataReport!V:V),0)</f>
        <v>46039.68</v>
      </c>
      <c r="G13" s="289">
        <f>IFERROR(_xlfn.XLOOKUP($A13,CFR20242025_BenchMarkDataReport!$B:$B,CFR20242025_BenchMarkDataReport!W:W),0)</f>
        <v>0</v>
      </c>
      <c r="H13" s="289">
        <f>IFERROR(_xlfn.XLOOKUP($A13,CFR20242025_BenchMarkDataReport!$B:$B,CFR20242025_BenchMarkDataReport!X:X),0)</f>
        <v>71980</v>
      </c>
      <c r="I13" s="289">
        <f>IFERROR(_xlfn.XLOOKUP($A13,CFR20242025_BenchMarkDataReport!$B:$B,CFR20242025_BenchMarkDataReport!Y:Y),0)</f>
        <v>0</v>
      </c>
      <c r="J13" s="289">
        <f>IFERROR(_xlfn.XLOOKUP($A13,CFR20242025_BenchMarkDataReport!$B:$B,CFR20242025_BenchMarkDataReport!Z:Z),0)</f>
        <v>76559.91</v>
      </c>
      <c r="K13" s="289">
        <f>IFERROR(_xlfn.XLOOKUP($A13,CFR20242025_BenchMarkDataReport!$B:$B,CFR20242025_BenchMarkDataReport!AA:AA),0)</f>
        <v>0</v>
      </c>
      <c r="L13" s="289">
        <f>IFERROR(_xlfn.XLOOKUP($A13,CFR20242025_BenchMarkDataReport!$B:$B,CFR20242025_BenchMarkDataReport!AB:AB),0)</f>
        <v>33619.74</v>
      </c>
      <c r="M13" s="289">
        <f>IFERROR(_xlfn.XLOOKUP($A13,CFR20242025_BenchMarkDataReport!$B:$B,CFR20242025_BenchMarkDataReport!AC:AC),0)</f>
        <v>497.18</v>
      </c>
      <c r="N13" s="289">
        <f>IFERROR(_xlfn.XLOOKUP($A13,CFR20242025_BenchMarkDataReport!$B:$B,CFR20242025_BenchMarkDataReport!AD:AD),0)</f>
        <v>0</v>
      </c>
      <c r="O13" s="289">
        <f>IFERROR(_xlfn.XLOOKUP($A13,CFR20242025_BenchMarkDataReport!$B:$B,CFR20242025_BenchMarkDataReport!AE:AE),0)</f>
        <v>0</v>
      </c>
      <c r="P13" s="289">
        <f>IFERROR(_xlfn.XLOOKUP($A13,CFR20242025_BenchMarkDataReport!$B:$B,CFR20242025_BenchMarkDataReport!AF:AF),0)</f>
        <v>10998.75</v>
      </c>
      <c r="Q13" s="289">
        <f>IFERROR(_xlfn.XLOOKUP($A13,CFR20242025_BenchMarkDataReport!$B:$B,CFR20242025_BenchMarkDataReport!AG:AG),0)</f>
        <v>12369.74</v>
      </c>
      <c r="R13" s="289">
        <f>IFERROR(_xlfn.XLOOKUP($A13,CFR20242025_BenchMarkDataReport!$B:$B,CFR20242025_BenchMarkDataReport!AH:AH),0)</f>
        <v>0</v>
      </c>
      <c r="S13" s="289">
        <f>IFERROR(_xlfn.XLOOKUP($A13,CFR20242025_BenchMarkDataReport!$B:$B,CFR20242025_BenchMarkDataReport!AI:AI),0)</f>
        <v>0</v>
      </c>
      <c r="T13" s="289">
        <f>IFERROR(_xlfn.XLOOKUP($A13,CFR20242025_BenchMarkDataReport!$B:$B,CFR20242025_BenchMarkDataReport!AJ:AJ),0)</f>
        <v>0</v>
      </c>
      <c r="U13" s="289">
        <f>INDEX(CFR20242025_BenchMarkDataReport!$B$3:$AM$87,MATCH(A13,CFR20242025_BenchMarkDataReport!$B$3:$B$87),MATCH($U$2,CFR20242025_BenchMarkDataReport!$B$3:$AM$3,0))</f>
        <v>22786.880000000001</v>
      </c>
      <c r="V13" s="289">
        <f>IFERROR(_xlfn.XLOOKUP($A13,CFR20242025_BenchMarkDataReport!$B:$B,CFR20242025_BenchMarkDataReport!AN:AN),0)</f>
        <v>660291.30000000005</v>
      </c>
      <c r="W13" s="289">
        <f>IFERROR(_xlfn.XLOOKUP($A13,CFR20242025_BenchMarkDataReport!$B:$B,CFR20242025_BenchMarkDataReport!AO:AO),0)</f>
        <v>0</v>
      </c>
      <c r="X13" s="289">
        <f>IFERROR(_xlfn.XLOOKUP($A13,CFR20242025_BenchMarkDataReport!$B:$B,CFR20242025_BenchMarkDataReport!AP:AP),0)</f>
        <v>139272.65</v>
      </c>
      <c r="Y13" s="289">
        <f>IFERROR(_xlfn.XLOOKUP($A13,CFR20242025_BenchMarkDataReport!$B:$B,CFR20242025_BenchMarkDataReport!AQ:AQ),0)</f>
        <v>28846.65</v>
      </c>
      <c r="Z13" s="289">
        <f>IFERROR(_xlfn.XLOOKUP($A13,CFR20242025_BenchMarkDataReport!$B:$B,CFR20242025_BenchMarkDataReport!AR:AR),0)</f>
        <v>48523.66</v>
      </c>
      <c r="AA13" s="289">
        <f>IFERROR(_xlfn.XLOOKUP($A13,CFR20242025_BenchMarkDataReport!$B:$B,CFR20242025_BenchMarkDataReport!AS:AS),0)</f>
        <v>0</v>
      </c>
      <c r="AB13" s="289">
        <f>IFERROR(_xlfn.XLOOKUP($A13,CFR20242025_BenchMarkDataReport!$B:$B,CFR20242025_BenchMarkDataReport!AT:AT),0)</f>
        <v>4164.43</v>
      </c>
      <c r="AC13" s="289">
        <f>IFERROR(_xlfn.XLOOKUP($A13,CFR20242025_BenchMarkDataReport!$B:$B,CFR20242025_BenchMarkDataReport!AU:AU),0)</f>
        <v>7841.37</v>
      </c>
      <c r="AD13" s="289">
        <f>IFERROR(_xlfn.XLOOKUP($A13,CFR20242025_BenchMarkDataReport!$B:$B,CFR20242025_BenchMarkDataReport!AV:AV),0)</f>
        <v>1073.0999999999999</v>
      </c>
      <c r="AE13" s="289">
        <f>IFERROR(_xlfn.XLOOKUP($A13,CFR20242025_BenchMarkDataReport!$B:$B,CFR20242025_BenchMarkDataReport!AW:AW),0)</f>
        <v>302.12</v>
      </c>
      <c r="AF13" s="289">
        <f>IFERROR(_xlfn.XLOOKUP($A13,CFR20242025_BenchMarkDataReport!$B:$B,CFR20242025_BenchMarkDataReport!AX:AX),0)</f>
        <v>0</v>
      </c>
      <c r="AG13" s="289">
        <f>IFERROR(_xlfn.XLOOKUP($A13,CFR20242025_BenchMarkDataReport!$B:$B,CFR20242025_BenchMarkDataReport!AY:AY),0)</f>
        <v>9983.0400000000009</v>
      </c>
      <c r="AH13" s="289">
        <f>IFERROR(_xlfn.XLOOKUP($A13,CFR20242025_BenchMarkDataReport!$B:$B,CFR20242025_BenchMarkDataReport!AZ:AZ),0)</f>
        <v>15876.35</v>
      </c>
      <c r="AI13" s="289">
        <f>IFERROR(_xlfn.XLOOKUP($A13,CFR20242025_BenchMarkDataReport!$B:$B,CFR20242025_BenchMarkDataReport!BA:BA),0)</f>
        <v>11816.44</v>
      </c>
      <c r="AJ13" s="289">
        <f>IFERROR(_xlfn.XLOOKUP($A13,CFR20242025_BenchMarkDataReport!$B:$B,CFR20242025_BenchMarkDataReport!BB:BB),0)</f>
        <v>2918.55</v>
      </c>
      <c r="AK13" s="289">
        <f>IFERROR(_xlfn.XLOOKUP($A13,CFR20242025_BenchMarkDataReport!$B:$B,CFR20242025_BenchMarkDataReport!BC:BC),0)</f>
        <v>41039.43</v>
      </c>
      <c r="AL13" s="289">
        <f>IFERROR(_xlfn.XLOOKUP($A13,CFR20242025_BenchMarkDataReport!$B:$B,CFR20242025_BenchMarkDataReport!BD:BD),0)</f>
        <v>5314.56</v>
      </c>
      <c r="AM13" s="289">
        <f>IFERROR(_xlfn.XLOOKUP($A13,CFR20242025_BenchMarkDataReport!$B:$B,CFR20242025_BenchMarkDataReport!BE:BE),0)</f>
        <v>11442.2</v>
      </c>
      <c r="AN13" s="289">
        <f>IFERROR(_xlfn.XLOOKUP($A13,CFR20242025_BenchMarkDataReport!$B:$B,CFR20242025_BenchMarkDataReport!BF:BF),0)</f>
        <v>47791.83</v>
      </c>
      <c r="AO13" s="289">
        <f>IFERROR(_xlfn.XLOOKUP($A13,CFR20242025_BenchMarkDataReport!$B:$B,CFR20242025_BenchMarkDataReport!BN:BN),0)</f>
        <v>10452.209999999999</v>
      </c>
      <c r="AP13" s="289">
        <f>IFERROR(_xlfn.XLOOKUP($A13,CFR20242025_BenchMarkDataReport!$B:$B,CFR20242025_BenchMarkDataReport!BO:BO),0)</f>
        <v>0</v>
      </c>
      <c r="AQ13" s="289">
        <f>IFERROR(_xlfn.XLOOKUP($A13,CFR20242025_BenchMarkDataReport!$B:$B,CFR20242025_BenchMarkDataReport!BP:BP),0)</f>
        <v>12394.05</v>
      </c>
      <c r="AR13" s="289">
        <f>IFERROR(_xlfn.XLOOKUP($A13,CFR20242025_BenchMarkDataReport!$B:$B,CFR20242025_BenchMarkDataReport!BQ:BQ),0)</f>
        <v>2891.98</v>
      </c>
      <c r="AS13" s="289">
        <f>IFERROR(_xlfn.XLOOKUP($A13,CFR20242025_BenchMarkDataReport!$B:$B,CFR20242025_BenchMarkDataReport!BR:BR),0)</f>
        <v>9359.9599999999991</v>
      </c>
      <c r="AT13" s="289">
        <f>IFERROR(_xlfn.XLOOKUP($A13,CFR20242025_BenchMarkDataReport!$B:$B,CFR20242025_BenchMarkDataReport!BS:BS),0)</f>
        <v>56065.54</v>
      </c>
      <c r="AU13" s="289">
        <f>IFERROR(_xlfn.XLOOKUP($A13,CFR20242025_BenchMarkDataReport!$B:$B,CFR20242025_BenchMarkDataReport!BT:BT),0)</f>
        <v>119379.59</v>
      </c>
      <c r="AV13" s="289">
        <f>IFERROR(_xlfn.XLOOKUP($A13,CFR20242025_BenchMarkDataReport!$B:$B,CFR20242025_BenchMarkDataReport!BU:BU),0)</f>
        <v>100529.23</v>
      </c>
      <c r="AW13" s="289">
        <f>IFERROR(_xlfn.XLOOKUP($A13,CFR20242025_BenchMarkDataReport!$B:$B,CFR20242025_BenchMarkDataReport!BV:BV),0)</f>
        <v>29252.93</v>
      </c>
      <c r="AX13" s="289">
        <f>IFERROR(_xlfn.XLOOKUP($A13,CFR20242025_BenchMarkDataReport!$B:$B,CFR20242025_BenchMarkDataReport!BW:BW),0)</f>
        <v>1637.45</v>
      </c>
      <c r="AY13" s="289">
        <f>IFERROR(_xlfn.XLOOKUP($A13,CFR20242025_BenchMarkDataReport!$B:$B,CFR20242025_BenchMarkDataReport!BX:BX),0)</f>
        <v>0</v>
      </c>
      <c r="AZ13" s="289">
        <f>IFERROR(_xlfn.XLOOKUP($A13,CFR20242025_BenchMarkDataReport!$B:$B,CFR20242025_BenchMarkDataReport!BY:BY),0)</f>
        <v>0</v>
      </c>
      <c r="BA13" s="289">
        <f>IFERROR(_xlfn.XLOOKUP($A13,CFR20242025_BenchMarkDataReport!$B:$B,CFR20242025_BenchMarkDataReport!BZ:BZ),0)</f>
        <v>0</v>
      </c>
      <c r="BB13" s="289">
        <f>IFERROR(_xlfn.XLOOKUP($A13,CFR20242025_BenchMarkDataReport!$B:$B,CFR20242025_BenchMarkDataReport!CA:CA),0)</f>
        <v>0</v>
      </c>
      <c r="BC13" s="290">
        <f t="shared" si="33"/>
        <v>1329489.2899999996</v>
      </c>
      <c r="BD13" s="291">
        <f t="shared" si="101"/>
        <v>1378460.62</v>
      </c>
      <c r="BE13" s="325">
        <f t="shared" si="102"/>
        <v>-48971.33000000054</v>
      </c>
      <c r="BF13" s="289">
        <f>IFERROR(_xlfn.XLOOKUP(A13,CFR20242025_BenchMarkDataReport!B:B,CFR20242025_BenchMarkDataReport!Q:Q),0)</f>
        <v>-8583.67</v>
      </c>
      <c r="BG13" s="290">
        <f t="shared" si="0"/>
        <v>-57555.000000000538</v>
      </c>
      <c r="BH13" s="292">
        <f>_xlfn.XLOOKUP(A13,'Pupil on roll 24-25'!E:E,'Pupil on roll 24-25'!I:I)</f>
        <v>181.5</v>
      </c>
      <c r="BI13" s="291">
        <f t="shared" si="1"/>
        <v>1100677.0899999999</v>
      </c>
      <c r="BJ13" t="s">
        <v>190</v>
      </c>
      <c r="BK13" s="293">
        <f t="shared" si="34"/>
        <v>0.79326506646774131</v>
      </c>
      <c r="BL13" s="294">
        <f t="shared" si="35"/>
        <v>5810.6744352617079</v>
      </c>
      <c r="BM13" s="295">
        <f t="shared" si="36"/>
        <v>0</v>
      </c>
      <c r="BN13" s="296">
        <f t="shared" si="37"/>
        <v>0</v>
      </c>
      <c r="BO13" s="293">
        <f t="shared" si="38"/>
        <v>3.4629598257237569E-2</v>
      </c>
      <c r="BP13" s="294">
        <f t="shared" si="39"/>
        <v>253.66214876033058</v>
      </c>
      <c r="BQ13" s="295">
        <f t="shared" si="40"/>
        <v>0</v>
      </c>
      <c r="BR13" s="296">
        <f t="shared" si="41"/>
        <v>0</v>
      </c>
      <c r="BS13" s="293">
        <f t="shared" si="42"/>
        <v>5.4141090523564896E-2</v>
      </c>
      <c r="BT13" s="294">
        <f t="shared" si="43"/>
        <v>396.58402203856747</v>
      </c>
      <c r="BU13" s="295">
        <f t="shared" si="44"/>
        <v>0</v>
      </c>
      <c r="BV13" s="296">
        <f t="shared" si="45"/>
        <v>0</v>
      </c>
      <c r="BW13" s="293">
        <f t="shared" si="46"/>
        <v>5.7585954678882764E-2</v>
      </c>
      <c r="BX13" s="294">
        <f t="shared" si="47"/>
        <v>421.81768595041325</v>
      </c>
      <c r="BY13" s="295">
        <f t="shared" si="48"/>
        <v>2.5287710290618444E-2</v>
      </c>
      <c r="BZ13" s="297">
        <f t="shared" si="49"/>
        <v>185.23272727272726</v>
      </c>
      <c r="CA13" s="298">
        <f t="shared" si="50"/>
        <v>8.2729135787171348E-3</v>
      </c>
      <c r="CB13" s="299">
        <f t="shared" si="51"/>
        <v>60.599173553719005</v>
      </c>
      <c r="CC13" s="295">
        <f t="shared" si="52"/>
        <v>9.3041291065985229E-3</v>
      </c>
      <c r="CD13" s="296">
        <f t="shared" si="53"/>
        <v>68.152837465564744</v>
      </c>
      <c r="CE13" s="300">
        <f t="shared" si="54"/>
        <v>0.7083556994903929</v>
      </c>
      <c r="CF13" s="298">
        <f t="shared" si="55"/>
        <v>0.58644390433562665</v>
      </c>
      <c r="CG13" s="298">
        <f t="shared" si="56"/>
        <v>0.56560983947441312</v>
      </c>
      <c r="CH13" s="299">
        <f t="shared" si="57"/>
        <v>4295.7073829201099</v>
      </c>
      <c r="CI13" s="295">
        <f t="shared" si="58"/>
        <v>0.12653361395938567</v>
      </c>
      <c r="CJ13" s="301">
        <f t="shared" si="59"/>
        <v>0.10475650390534552</v>
      </c>
      <c r="CK13" s="301">
        <f t="shared" si="60"/>
        <v>0.10103491385920041</v>
      </c>
      <c r="CL13" s="302">
        <f t="shared" si="61"/>
        <v>767.34242424242416</v>
      </c>
      <c r="CM13" s="300">
        <f t="shared" si="62"/>
        <v>2.6208095237087205E-2</v>
      </c>
      <c r="CN13" s="298">
        <f t="shared" si="63"/>
        <v>2.1697542219388629E-2</v>
      </c>
      <c r="CO13" s="298">
        <f t="shared" si="64"/>
        <v>2.0926713162106873E-2</v>
      </c>
      <c r="CP13" s="299">
        <f t="shared" si="65"/>
        <v>158.93471074380167</v>
      </c>
      <c r="CQ13" s="295">
        <f t="shared" si="66"/>
        <v>4.4085282087592111E-2</v>
      </c>
      <c r="CR13" s="301">
        <f t="shared" si="67"/>
        <v>3.6497969833213184E-2</v>
      </c>
      <c r="CS13" s="301">
        <f t="shared" si="68"/>
        <v>3.5201339302678082E-2</v>
      </c>
      <c r="CT13" s="296">
        <f t="shared" si="69"/>
        <v>267.34798898071625</v>
      </c>
      <c r="CU13" s="300">
        <f t="shared" si="70"/>
        <v>0.80050606849643824</v>
      </c>
      <c r="CV13" s="298">
        <f t="shared" si="71"/>
        <v>0.66273470318816974</v>
      </c>
      <c r="CW13" s="298">
        <f t="shared" si="72"/>
        <v>0.63919032376855289</v>
      </c>
      <c r="CX13" s="299">
        <f t="shared" si="73"/>
        <v>4854.5382369146018</v>
      </c>
      <c r="CY13" s="295">
        <f t="shared" si="74"/>
        <v>9.0699080508707623E-3</v>
      </c>
      <c r="CZ13" s="301">
        <f t="shared" si="75"/>
        <v>7.2421655397018163E-3</v>
      </c>
      <c r="DA13" s="296">
        <f t="shared" si="76"/>
        <v>55.002975206611573</v>
      </c>
      <c r="DB13" s="300">
        <f t="shared" si="77"/>
        <v>2.1172530848215308E-3</v>
      </c>
      <c r="DC13" s="299">
        <f t="shared" si="78"/>
        <v>16.0801652892562</v>
      </c>
      <c r="DD13" s="295">
        <f t="shared" si="79"/>
        <v>3.72856220710472E-2</v>
      </c>
      <c r="DE13" s="301">
        <f t="shared" si="80"/>
        <v>2.9771927760983117E-2</v>
      </c>
      <c r="DF13" s="296">
        <f t="shared" si="81"/>
        <v>226.11256198347107</v>
      </c>
      <c r="DG13" s="300">
        <f t="shared" si="82"/>
        <v>1.0395601129482946E-2</v>
      </c>
      <c r="DH13" s="298">
        <f t="shared" si="83"/>
        <v>8.3007086557177097E-3</v>
      </c>
      <c r="DI13" s="303">
        <f t="shared" si="84"/>
        <v>63.042424242424246</v>
      </c>
      <c r="DJ13" s="295">
        <f t="shared" si="85"/>
        <v>4.3420391352017702E-2</v>
      </c>
      <c r="DK13" s="301">
        <f t="shared" si="86"/>
        <v>3.5947510340606066E-2</v>
      </c>
      <c r="DL13" s="301">
        <f t="shared" si="87"/>
        <v>3.4670435489118287E-2</v>
      </c>
      <c r="DM13" s="296">
        <f t="shared" si="88"/>
        <v>263.31586776859507</v>
      </c>
      <c r="DN13" s="300">
        <f t="shared" si="89"/>
        <v>1.1260387004148512E-2</v>
      </c>
      <c r="DO13" s="298">
        <f t="shared" si="90"/>
        <v>8.9912252988409627E-3</v>
      </c>
      <c r="DP13" s="299">
        <f t="shared" si="91"/>
        <v>68.28677685950413</v>
      </c>
      <c r="DQ13" s="295">
        <f t="shared" si="92"/>
        <v>9.1333989699013365E-2</v>
      </c>
      <c r="DR13" s="301">
        <f t="shared" si="93"/>
        <v>7.2928619462484162E-2</v>
      </c>
      <c r="DS13" s="296">
        <f t="shared" si="94"/>
        <v>553.88005509641869</v>
      </c>
      <c r="DT13" s="300">
        <f t="shared" si="95"/>
        <v>4.0672572858845978E-2</v>
      </c>
      <c r="DU13" s="299">
        <f t="shared" si="96"/>
        <v>308.90104683195591</v>
      </c>
      <c r="DV13" s="295">
        <f t="shared" si="25"/>
        <v>8.5721999080394466E-3</v>
      </c>
      <c r="DW13" s="296">
        <f t="shared" si="97"/>
        <v>65.104352617079897</v>
      </c>
      <c r="DX13" s="295">
        <f t="shared" si="103"/>
        <v>4.3609520390762385E-5</v>
      </c>
      <c r="DY13" s="301">
        <f t="shared" si="98"/>
        <v>3.6104089262727356E-5</v>
      </c>
      <c r="DZ13" s="301">
        <f t="shared" si="99"/>
        <v>3.4821451772775342E-5</v>
      </c>
      <c r="EA13" s="296">
        <f t="shared" si="100"/>
        <v>0.26446280991735538</v>
      </c>
      <c r="EB13" s="304">
        <f>IFERROR(_xlfn.XLOOKUP(A13,'Pupil on roll 24-25'!E:E,'Pupil on roll 24-25'!R:R),0)</f>
        <v>48</v>
      </c>
      <c r="EC13" s="289">
        <f>IFERROR(_xlfn.XLOOKUP(A13,CFR20242025_BenchMarkDataReport!B:B,CFR20242025_BenchMarkDataReport!AK:AK),0)</f>
        <v>4986.88</v>
      </c>
      <c r="ED13" s="289">
        <f>IFERROR(_xlfn.XLOOKUP(A13,CFR20242025_BenchMarkDataReport!B:B,CFR20242025_BenchMarkDataReport!AL:AL),0)</f>
        <v>17800</v>
      </c>
    </row>
    <row r="14" spans="1:228">
      <c r="A14" s="322">
        <v>2002</v>
      </c>
      <c r="B14" s="323">
        <v>10044</v>
      </c>
      <c r="C14" s="322" t="s">
        <v>36</v>
      </c>
      <c r="D14" s="289">
        <f>IFERROR(_xlfn.XLOOKUP($A14,CFR20242025_BenchMarkDataReport!$B:$B,CFR20242025_BenchMarkDataReport!T:T),0)</f>
        <v>2652474.5099999998</v>
      </c>
      <c r="E14" s="289">
        <f>IFERROR(_xlfn.XLOOKUP($A14,CFR20242025_BenchMarkDataReport!$B:$B,CFR20242025_BenchMarkDataReport!U:U),0)</f>
        <v>0</v>
      </c>
      <c r="F14" s="289">
        <f>IFERROR(_xlfn.XLOOKUP($A14,CFR20242025_BenchMarkDataReport!$B:$B,CFR20242025_BenchMarkDataReport!V:V),0)</f>
        <v>258413.54</v>
      </c>
      <c r="G14" s="289">
        <f>IFERROR(_xlfn.XLOOKUP($A14,CFR20242025_BenchMarkDataReport!$B:$B,CFR20242025_BenchMarkDataReport!W:W),0)</f>
        <v>0</v>
      </c>
      <c r="H14" s="289">
        <f>IFERROR(_xlfn.XLOOKUP($A14,CFR20242025_BenchMarkDataReport!$B:$B,CFR20242025_BenchMarkDataReport!X:X),0)</f>
        <v>125800</v>
      </c>
      <c r="I14" s="289">
        <f>IFERROR(_xlfn.XLOOKUP($A14,CFR20242025_BenchMarkDataReport!$B:$B,CFR20242025_BenchMarkDataReport!Y:Y),0)</f>
        <v>10088.84</v>
      </c>
      <c r="J14" s="289">
        <f>IFERROR(_xlfn.XLOOKUP($A14,CFR20242025_BenchMarkDataReport!$B:$B,CFR20242025_BenchMarkDataReport!Z:Z),0)</f>
        <v>97858.6</v>
      </c>
      <c r="K14" s="289">
        <f>IFERROR(_xlfn.XLOOKUP($A14,CFR20242025_BenchMarkDataReport!$B:$B,CFR20242025_BenchMarkDataReport!AA:AA),0)</f>
        <v>18178.990000000002</v>
      </c>
      <c r="L14" s="289">
        <f>IFERROR(_xlfn.XLOOKUP($A14,CFR20242025_BenchMarkDataReport!$B:$B,CFR20242025_BenchMarkDataReport!AB:AB),0)</f>
        <v>45556.72</v>
      </c>
      <c r="M14" s="289">
        <f>IFERROR(_xlfn.XLOOKUP($A14,CFR20242025_BenchMarkDataReport!$B:$B,CFR20242025_BenchMarkDataReport!AC:AC),0)</f>
        <v>788.58</v>
      </c>
      <c r="N14" s="289">
        <f>IFERROR(_xlfn.XLOOKUP($A14,CFR20242025_BenchMarkDataReport!$B:$B,CFR20242025_BenchMarkDataReport!AD:AD),0)</f>
        <v>0</v>
      </c>
      <c r="O14" s="289">
        <f>IFERROR(_xlfn.XLOOKUP($A14,CFR20242025_BenchMarkDataReport!$B:$B,CFR20242025_BenchMarkDataReport!AE:AE),0)</f>
        <v>0</v>
      </c>
      <c r="P14" s="289">
        <f>IFERROR(_xlfn.XLOOKUP($A14,CFR20242025_BenchMarkDataReport!$B:$B,CFR20242025_BenchMarkDataReport!AF:AF),0)</f>
        <v>31007.46</v>
      </c>
      <c r="Q14" s="289">
        <f>IFERROR(_xlfn.XLOOKUP($A14,CFR20242025_BenchMarkDataReport!$B:$B,CFR20242025_BenchMarkDataReport!AG:AG),0)</f>
        <v>7491.67</v>
      </c>
      <c r="R14" s="289">
        <f>IFERROR(_xlfn.XLOOKUP($A14,CFR20242025_BenchMarkDataReport!$B:$B,CFR20242025_BenchMarkDataReport!AH:AH),0)</f>
        <v>0</v>
      </c>
      <c r="S14" s="289">
        <f>IFERROR(_xlfn.XLOOKUP($A14,CFR20242025_BenchMarkDataReport!$B:$B,CFR20242025_BenchMarkDataReport!AI:AI),0)</f>
        <v>0</v>
      </c>
      <c r="T14" s="289">
        <f>IFERROR(_xlfn.XLOOKUP($A14,CFR20242025_BenchMarkDataReport!$B:$B,CFR20242025_BenchMarkDataReport!AJ:AJ),0)</f>
        <v>0</v>
      </c>
      <c r="U14" s="289">
        <f>INDEX(CFR20242025_BenchMarkDataReport!$B$3:$AM$87,MATCH(A14,CFR20242025_BenchMarkDataReport!$B$3:$B$87),MATCH($U$2,CFR20242025_BenchMarkDataReport!$B$3:$AM$3,0))</f>
        <v>88838.5</v>
      </c>
      <c r="V14" s="289">
        <f>IFERROR(_xlfn.XLOOKUP($A14,CFR20242025_BenchMarkDataReport!$B:$B,CFR20242025_BenchMarkDataReport!AN:AN),0)</f>
        <v>1372842.8</v>
      </c>
      <c r="W14" s="289">
        <f>IFERROR(_xlfn.XLOOKUP($A14,CFR20242025_BenchMarkDataReport!$B:$B,CFR20242025_BenchMarkDataReport!AO:AO),0)</f>
        <v>0</v>
      </c>
      <c r="X14" s="289">
        <f>IFERROR(_xlfn.XLOOKUP($A14,CFR20242025_BenchMarkDataReport!$B:$B,CFR20242025_BenchMarkDataReport!AP:AP),0)</f>
        <v>688780.96</v>
      </c>
      <c r="Y14" s="289">
        <f>IFERROR(_xlfn.XLOOKUP($A14,CFR20242025_BenchMarkDataReport!$B:$B,CFR20242025_BenchMarkDataReport!AQ:AQ),0)</f>
        <v>25413.11</v>
      </c>
      <c r="Z14" s="289">
        <f>IFERROR(_xlfn.XLOOKUP($A14,CFR20242025_BenchMarkDataReport!$B:$B,CFR20242025_BenchMarkDataReport!AR:AR),0)</f>
        <v>119803.56</v>
      </c>
      <c r="AA14" s="289">
        <f>IFERROR(_xlfn.XLOOKUP($A14,CFR20242025_BenchMarkDataReport!$B:$B,CFR20242025_BenchMarkDataReport!AS:AS),0)</f>
        <v>0</v>
      </c>
      <c r="AB14" s="289">
        <f>IFERROR(_xlfn.XLOOKUP($A14,CFR20242025_BenchMarkDataReport!$B:$B,CFR20242025_BenchMarkDataReport!AT:AT),0)</f>
        <v>46366.69</v>
      </c>
      <c r="AC14" s="289">
        <f>IFERROR(_xlfn.XLOOKUP($A14,CFR20242025_BenchMarkDataReport!$B:$B,CFR20242025_BenchMarkDataReport!AU:AU),0)</f>
        <v>6079.6</v>
      </c>
      <c r="AD14" s="289">
        <f>IFERROR(_xlfn.XLOOKUP($A14,CFR20242025_BenchMarkDataReport!$B:$B,CFR20242025_BenchMarkDataReport!AV:AV),0)</f>
        <v>4733.79</v>
      </c>
      <c r="AE14" s="289">
        <f>IFERROR(_xlfn.XLOOKUP($A14,CFR20242025_BenchMarkDataReport!$B:$B,CFR20242025_BenchMarkDataReport!AW:AW),0)</f>
        <v>689</v>
      </c>
      <c r="AF14" s="289">
        <f>IFERROR(_xlfn.XLOOKUP($A14,CFR20242025_BenchMarkDataReport!$B:$B,CFR20242025_BenchMarkDataReport!AX:AX),0)</f>
        <v>0</v>
      </c>
      <c r="AG14" s="289">
        <f>IFERROR(_xlfn.XLOOKUP($A14,CFR20242025_BenchMarkDataReport!$B:$B,CFR20242025_BenchMarkDataReport!AY:AY),0)</f>
        <v>23535.17</v>
      </c>
      <c r="AH14" s="289">
        <f>IFERROR(_xlfn.XLOOKUP($A14,CFR20242025_BenchMarkDataReport!$B:$B,CFR20242025_BenchMarkDataReport!AZ:AZ),0)</f>
        <v>0</v>
      </c>
      <c r="AI14" s="289">
        <f>IFERROR(_xlfn.XLOOKUP($A14,CFR20242025_BenchMarkDataReport!$B:$B,CFR20242025_BenchMarkDataReport!BA:BA),0)</f>
        <v>78262.63</v>
      </c>
      <c r="AJ14" s="289">
        <f>IFERROR(_xlfn.XLOOKUP($A14,CFR20242025_BenchMarkDataReport!$B:$B,CFR20242025_BenchMarkDataReport!BB:BB),0)</f>
        <v>11592.85</v>
      </c>
      <c r="AK14" s="289">
        <f>IFERROR(_xlfn.XLOOKUP($A14,CFR20242025_BenchMarkDataReport!$B:$B,CFR20242025_BenchMarkDataReport!BC:BC),0)</f>
        <v>73965.820000000007</v>
      </c>
      <c r="AL14" s="289">
        <f>IFERROR(_xlfn.XLOOKUP($A14,CFR20242025_BenchMarkDataReport!$B:$B,CFR20242025_BenchMarkDataReport!BD:BD),0)</f>
        <v>36300</v>
      </c>
      <c r="AM14" s="289">
        <f>IFERROR(_xlfn.XLOOKUP($A14,CFR20242025_BenchMarkDataReport!$B:$B,CFR20242025_BenchMarkDataReport!BE:BE),0)</f>
        <v>16882.03</v>
      </c>
      <c r="AN14" s="289">
        <f>IFERROR(_xlfn.XLOOKUP($A14,CFR20242025_BenchMarkDataReport!$B:$B,CFR20242025_BenchMarkDataReport!BF:BF),0)</f>
        <v>89703.9</v>
      </c>
      <c r="AO14" s="289">
        <f>IFERROR(_xlfn.XLOOKUP($A14,CFR20242025_BenchMarkDataReport!$B:$B,CFR20242025_BenchMarkDataReport!BN:BN),0)</f>
        <v>41313.06</v>
      </c>
      <c r="AP14" s="289">
        <f>IFERROR(_xlfn.XLOOKUP($A14,CFR20242025_BenchMarkDataReport!$B:$B,CFR20242025_BenchMarkDataReport!BO:BO),0)</f>
        <v>0</v>
      </c>
      <c r="AQ14" s="289">
        <f>IFERROR(_xlfn.XLOOKUP($A14,CFR20242025_BenchMarkDataReport!$B:$B,CFR20242025_BenchMarkDataReport!BP:BP),0)</f>
        <v>13683.49</v>
      </c>
      <c r="AR14" s="289">
        <f>IFERROR(_xlfn.XLOOKUP($A14,CFR20242025_BenchMarkDataReport!$B:$B,CFR20242025_BenchMarkDataReport!BQ:BQ),0)</f>
        <v>17470.09</v>
      </c>
      <c r="AS14" s="289">
        <f>IFERROR(_xlfn.XLOOKUP($A14,CFR20242025_BenchMarkDataReport!$B:$B,CFR20242025_BenchMarkDataReport!BR:BR),0)</f>
        <v>8083.79</v>
      </c>
      <c r="AT14" s="289">
        <f>IFERROR(_xlfn.XLOOKUP($A14,CFR20242025_BenchMarkDataReport!$B:$B,CFR20242025_BenchMarkDataReport!BS:BS),0)</f>
        <v>178187.05</v>
      </c>
      <c r="AU14" s="289">
        <f>IFERROR(_xlfn.XLOOKUP($A14,CFR20242025_BenchMarkDataReport!$B:$B,CFR20242025_BenchMarkDataReport!BT:BT),0)</f>
        <v>23433.9</v>
      </c>
      <c r="AV14" s="289">
        <f>IFERROR(_xlfn.XLOOKUP($A14,CFR20242025_BenchMarkDataReport!$B:$B,CFR20242025_BenchMarkDataReport!BU:BU),0)</f>
        <v>469374.65</v>
      </c>
      <c r="AW14" s="289">
        <f>IFERROR(_xlfn.XLOOKUP($A14,CFR20242025_BenchMarkDataReport!$B:$B,CFR20242025_BenchMarkDataReport!BV:BV),0)</f>
        <v>64786.97</v>
      </c>
      <c r="AX14" s="289">
        <f>IFERROR(_xlfn.XLOOKUP($A14,CFR20242025_BenchMarkDataReport!$B:$B,CFR20242025_BenchMarkDataReport!BW:BW),0)</f>
        <v>0</v>
      </c>
      <c r="AY14" s="289">
        <f>IFERROR(_xlfn.XLOOKUP($A14,CFR20242025_BenchMarkDataReport!$B:$B,CFR20242025_BenchMarkDataReport!BX:BX),0)</f>
        <v>0</v>
      </c>
      <c r="AZ14" s="289">
        <f>IFERROR(_xlfn.XLOOKUP($A14,CFR20242025_BenchMarkDataReport!$B:$B,CFR20242025_BenchMarkDataReport!BY:BY),0)</f>
        <v>27709</v>
      </c>
      <c r="BA14" s="289">
        <f>IFERROR(_xlfn.XLOOKUP($A14,CFR20242025_BenchMarkDataReport!$B:$B,CFR20242025_BenchMarkDataReport!BZ:BZ),0)</f>
        <v>0</v>
      </c>
      <c r="BB14" s="289">
        <f>IFERROR(_xlfn.XLOOKUP($A14,CFR20242025_BenchMarkDataReport!$B:$B,CFR20242025_BenchMarkDataReport!CA:CA),0)</f>
        <v>0</v>
      </c>
      <c r="BC14" s="290">
        <f t="shared" si="33"/>
        <v>3336497.41</v>
      </c>
      <c r="BD14" s="291">
        <f t="shared" si="101"/>
        <v>3438993.9099999997</v>
      </c>
      <c r="BE14" s="325">
        <f t="shared" si="102"/>
        <v>-102496.49999999953</v>
      </c>
      <c r="BF14" s="289">
        <f>IFERROR(_xlfn.XLOOKUP(A14,CFR20242025_BenchMarkDataReport!B:B,CFR20242025_BenchMarkDataReport!Q:Q),0)</f>
        <v>38294.5</v>
      </c>
      <c r="BG14" s="290">
        <f t="shared" si="0"/>
        <v>-64201.999999999534</v>
      </c>
      <c r="BH14" s="292">
        <f>_xlfn.XLOOKUP(A14,'Pupil on roll 24-25'!E:E,'Pupil on roll 24-25'!I:I)</f>
        <v>415</v>
      </c>
      <c r="BI14" s="291">
        <f t="shared" si="1"/>
        <v>2910888.05</v>
      </c>
      <c r="BJ14" t="s">
        <v>190</v>
      </c>
      <c r="BK14" s="293">
        <f t="shared" si="34"/>
        <v>0.7949877323597262</v>
      </c>
      <c r="BL14" s="294">
        <f t="shared" si="35"/>
        <v>6391.5048433734937</v>
      </c>
      <c r="BM14" s="295">
        <f t="shared" si="36"/>
        <v>0</v>
      </c>
      <c r="BN14" s="296">
        <f t="shared" si="37"/>
        <v>0</v>
      </c>
      <c r="BO14" s="293">
        <f t="shared" si="38"/>
        <v>7.7450544162118801E-2</v>
      </c>
      <c r="BP14" s="294">
        <f t="shared" si="39"/>
        <v>622.68322891566265</v>
      </c>
      <c r="BQ14" s="295">
        <f t="shared" si="40"/>
        <v>0</v>
      </c>
      <c r="BR14" s="296">
        <f t="shared" si="41"/>
        <v>0</v>
      </c>
      <c r="BS14" s="293">
        <f t="shared" si="42"/>
        <v>3.7704210296389831E-2</v>
      </c>
      <c r="BT14" s="294">
        <f t="shared" si="43"/>
        <v>303.13253012048193</v>
      </c>
      <c r="BU14" s="295">
        <f t="shared" si="44"/>
        <v>3.0237817568094559E-3</v>
      </c>
      <c r="BV14" s="296">
        <f t="shared" si="45"/>
        <v>24.310457831325301</v>
      </c>
      <c r="BW14" s="293">
        <f t="shared" si="46"/>
        <v>2.9329739536647807E-2</v>
      </c>
      <c r="BX14" s="294">
        <f t="shared" si="47"/>
        <v>235.80385542168676</v>
      </c>
      <c r="BY14" s="295">
        <f t="shared" si="48"/>
        <v>1.9102580391333199E-2</v>
      </c>
      <c r="BZ14" s="297">
        <f t="shared" si="49"/>
        <v>153.58002409638556</v>
      </c>
      <c r="CA14" s="298">
        <f t="shared" si="50"/>
        <v>9.2934164753330339E-3</v>
      </c>
      <c r="CB14" s="299">
        <f t="shared" si="51"/>
        <v>74.716771084337353</v>
      </c>
      <c r="CC14" s="295">
        <f t="shared" si="52"/>
        <v>2.2453696434908965E-3</v>
      </c>
      <c r="CD14" s="296">
        <f t="shared" si="53"/>
        <v>18.05221686746988</v>
      </c>
      <c r="CE14" s="300">
        <f t="shared" si="54"/>
        <v>0.47967378889751533</v>
      </c>
      <c r="CF14" s="298">
        <f t="shared" si="55"/>
        <v>0.41848577367845158</v>
      </c>
      <c r="CG14" s="298">
        <f t="shared" si="56"/>
        <v>0.40601313539400835</v>
      </c>
      <c r="CH14" s="299">
        <f t="shared" si="57"/>
        <v>3364.5221686746986</v>
      </c>
      <c r="CI14" s="295">
        <f t="shared" si="58"/>
        <v>0.23662227752111595</v>
      </c>
      <c r="CJ14" s="301">
        <f t="shared" si="59"/>
        <v>0.20643833198719611</v>
      </c>
      <c r="CK14" s="301">
        <f t="shared" si="60"/>
        <v>0.20028560038944646</v>
      </c>
      <c r="CL14" s="302">
        <f t="shared" si="61"/>
        <v>1659.7131566265059</v>
      </c>
      <c r="CM14" s="300">
        <f t="shared" si="62"/>
        <v>8.7303632305612035E-3</v>
      </c>
      <c r="CN14" s="298">
        <f t="shared" si="63"/>
        <v>7.6167030502805036E-3</v>
      </c>
      <c r="CO14" s="298">
        <f t="shared" si="64"/>
        <v>7.3896932257143787E-3</v>
      </c>
      <c r="CP14" s="299">
        <f t="shared" si="65"/>
        <v>61.236409638554221</v>
      </c>
      <c r="CQ14" s="295">
        <f t="shared" si="66"/>
        <v>4.1157048276040713E-2</v>
      </c>
      <c r="CR14" s="301">
        <f t="shared" si="67"/>
        <v>3.5906984264675333E-2</v>
      </c>
      <c r="CS14" s="301">
        <f t="shared" si="68"/>
        <v>3.4836804930544356E-2</v>
      </c>
      <c r="CT14" s="296">
        <f t="shared" si="69"/>
        <v>288.68327710843374</v>
      </c>
      <c r="CU14" s="300">
        <f t="shared" si="70"/>
        <v>0.7740617575450901</v>
      </c>
      <c r="CV14" s="298">
        <f t="shared" si="71"/>
        <v>0.67532110567410875</v>
      </c>
      <c r="CW14" s="298">
        <f t="shared" si="72"/>
        <v>0.65519369297167507</v>
      </c>
      <c r="CX14" s="299">
        <f t="shared" si="73"/>
        <v>5429.4147469879517</v>
      </c>
      <c r="CY14" s="295">
        <f t="shared" si="74"/>
        <v>8.0852199039396239E-3</v>
      </c>
      <c r="CZ14" s="301">
        <f t="shared" si="75"/>
        <v>6.8436207262722367E-3</v>
      </c>
      <c r="DA14" s="296">
        <f t="shared" si="76"/>
        <v>56.711253012048189</v>
      </c>
      <c r="DB14" s="300">
        <f t="shared" si="77"/>
        <v>3.3710004447201833E-3</v>
      </c>
      <c r="DC14" s="299">
        <f t="shared" si="78"/>
        <v>27.934578313253013</v>
      </c>
      <c r="DD14" s="295">
        <f t="shared" si="79"/>
        <v>2.5410053127944927E-2</v>
      </c>
      <c r="DE14" s="301">
        <f t="shared" si="80"/>
        <v>2.1507982257520198E-2</v>
      </c>
      <c r="DF14" s="296">
        <f t="shared" si="81"/>
        <v>178.23089156626509</v>
      </c>
      <c r="DG14" s="300">
        <f t="shared" si="82"/>
        <v>5.7996150006524643E-3</v>
      </c>
      <c r="DH14" s="298">
        <f t="shared" si="83"/>
        <v>4.9090025867478205E-3</v>
      </c>
      <c r="DI14" s="303">
        <f t="shared" si="84"/>
        <v>40.679590361445783</v>
      </c>
      <c r="DJ14" s="295">
        <f t="shared" si="85"/>
        <v>3.0816678092446738E-2</v>
      </c>
      <c r="DK14" s="301">
        <f t="shared" si="86"/>
        <v>2.6885649523102729E-2</v>
      </c>
      <c r="DL14" s="301">
        <f t="shared" si="87"/>
        <v>2.6084343952792868E-2</v>
      </c>
      <c r="DM14" s="296">
        <f t="shared" si="88"/>
        <v>216.15397590361445</v>
      </c>
      <c r="DN14" s="300">
        <f t="shared" si="89"/>
        <v>4.7007956901674733E-3</v>
      </c>
      <c r="DO14" s="298">
        <f t="shared" si="90"/>
        <v>3.9789224285075864E-3</v>
      </c>
      <c r="DP14" s="299">
        <f t="shared" si="91"/>
        <v>32.972265060240964</v>
      </c>
      <c r="DQ14" s="295">
        <f t="shared" si="92"/>
        <v>0.16124792226207396</v>
      </c>
      <c r="DR14" s="301">
        <f t="shared" si="93"/>
        <v>0.13648603698748629</v>
      </c>
      <c r="DS14" s="296">
        <f t="shared" si="94"/>
        <v>1131.0232530120481</v>
      </c>
      <c r="DT14" s="300">
        <f t="shared" si="95"/>
        <v>5.1813714901286348E-2</v>
      </c>
      <c r="DU14" s="299">
        <f t="shared" si="96"/>
        <v>429.36638554216864</v>
      </c>
      <c r="DV14" s="295">
        <f t="shared" si="25"/>
        <v>2.2757420352628659E-2</v>
      </c>
      <c r="DW14" s="296">
        <f t="shared" si="97"/>
        <v>188.58465060240965</v>
      </c>
      <c r="DX14" s="295">
        <f t="shared" si="103"/>
        <v>2.9200710759041386E-5</v>
      </c>
      <c r="DY14" s="301">
        <f t="shared" si="98"/>
        <v>2.5475817767830966E-5</v>
      </c>
      <c r="DZ14" s="301">
        <f t="shared" si="99"/>
        <v>2.4716531120579976E-5</v>
      </c>
      <c r="EA14" s="296">
        <f t="shared" si="100"/>
        <v>0.20481927710843373</v>
      </c>
      <c r="EB14" s="304">
        <f>IFERROR(_xlfn.XLOOKUP(A14,'Pupil on roll 24-25'!E:E,'Pupil on roll 24-25'!R:R),0)</f>
        <v>85</v>
      </c>
      <c r="EC14" s="289">
        <f>IFERROR(_xlfn.XLOOKUP(A14,CFR20242025_BenchMarkDataReport!B:B,CFR20242025_BenchMarkDataReport!AK:AK),0)</f>
        <v>2897.5</v>
      </c>
      <c r="ED14" s="289">
        <f>IFERROR(_xlfn.XLOOKUP(A14,CFR20242025_BenchMarkDataReport!B:B,CFR20242025_BenchMarkDataReport!AL:AL),0)</f>
        <v>85941</v>
      </c>
    </row>
    <row r="15" spans="1:228">
      <c r="A15" s="322">
        <v>2079</v>
      </c>
      <c r="B15" s="323">
        <v>10128</v>
      </c>
      <c r="C15" s="322" t="s">
        <v>37</v>
      </c>
      <c r="D15" s="289">
        <f>IFERROR(_xlfn.XLOOKUP($A15,CFR20242025_BenchMarkDataReport!$B:$B,CFR20242025_BenchMarkDataReport!T:T),0)</f>
        <v>2324713.67</v>
      </c>
      <c r="E15" s="289">
        <f>IFERROR(_xlfn.XLOOKUP($A15,CFR20242025_BenchMarkDataReport!$B:$B,CFR20242025_BenchMarkDataReport!U:U),0)</f>
        <v>0</v>
      </c>
      <c r="F15" s="289">
        <f>IFERROR(_xlfn.XLOOKUP($A15,CFR20242025_BenchMarkDataReport!$B:$B,CFR20242025_BenchMarkDataReport!V:V),0)</f>
        <v>41305.51</v>
      </c>
      <c r="G15" s="289">
        <f>IFERROR(_xlfn.XLOOKUP($A15,CFR20242025_BenchMarkDataReport!$B:$B,CFR20242025_BenchMarkDataReport!W:W),0)</f>
        <v>0</v>
      </c>
      <c r="H15" s="289">
        <f>IFERROR(_xlfn.XLOOKUP($A15,CFR20242025_BenchMarkDataReport!$B:$B,CFR20242025_BenchMarkDataReport!X:X),0)</f>
        <v>14800</v>
      </c>
      <c r="I15" s="289">
        <f>IFERROR(_xlfn.XLOOKUP($A15,CFR20242025_BenchMarkDataReport!$B:$B,CFR20242025_BenchMarkDataReport!Y:Y),0)</f>
        <v>3300</v>
      </c>
      <c r="J15" s="289">
        <f>IFERROR(_xlfn.XLOOKUP($A15,CFR20242025_BenchMarkDataReport!$B:$B,CFR20242025_BenchMarkDataReport!Z:Z),0)</f>
        <v>176967.3</v>
      </c>
      <c r="K15" s="289">
        <f>IFERROR(_xlfn.XLOOKUP($A15,CFR20242025_BenchMarkDataReport!$B:$B,CFR20242025_BenchMarkDataReport!AA:AA),0)</f>
        <v>0</v>
      </c>
      <c r="L15" s="289">
        <f>IFERROR(_xlfn.XLOOKUP($A15,CFR20242025_BenchMarkDataReport!$B:$B,CFR20242025_BenchMarkDataReport!AB:AB),0)</f>
        <v>0</v>
      </c>
      <c r="M15" s="289">
        <f>IFERROR(_xlfn.XLOOKUP($A15,CFR20242025_BenchMarkDataReport!$B:$B,CFR20242025_BenchMarkDataReport!AC:AC),0)</f>
        <v>0</v>
      </c>
      <c r="N15" s="289">
        <f>IFERROR(_xlfn.XLOOKUP($A15,CFR20242025_BenchMarkDataReport!$B:$B,CFR20242025_BenchMarkDataReport!AD:AD),0)</f>
        <v>0</v>
      </c>
      <c r="O15" s="289">
        <f>IFERROR(_xlfn.XLOOKUP($A15,CFR20242025_BenchMarkDataReport!$B:$B,CFR20242025_BenchMarkDataReport!AE:AE),0)</f>
        <v>0</v>
      </c>
      <c r="P15" s="289">
        <f>IFERROR(_xlfn.XLOOKUP($A15,CFR20242025_BenchMarkDataReport!$B:$B,CFR20242025_BenchMarkDataReport!AF:AF),0)</f>
        <v>5403.51</v>
      </c>
      <c r="Q15" s="289">
        <f>IFERROR(_xlfn.XLOOKUP($A15,CFR20242025_BenchMarkDataReport!$B:$B,CFR20242025_BenchMarkDataReport!AG:AG),0)</f>
        <v>0</v>
      </c>
      <c r="R15" s="289">
        <f>IFERROR(_xlfn.XLOOKUP($A15,CFR20242025_BenchMarkDataReport!$B:$B,CFR20242025_BenchMarkDataReport!AH:AH),0)</f>
        <v>0</v>
      </c>
      <c r="S15" s="289">
        <f>IFERROR(_xlfn.XLOOKUP($A15,CFR20242025_BenchMarkDataReport!$B:$B,CFR20242025_BenchMarkDataReport!AI:AI),0)</f>
        <v>0</v>
      </c>
      <c r="T15" s="289">
        <f>IFERROR(_xlfn.XLOOKUP($A15,CFR20242025_BenchMarkDataReport!$B:$B,CFR20242025_BenchMarkDataReport!AJ:AJ),0)</f>
        <v>0</v>
      </c>
      <c r="U15" s="289">
        <f>INDEX(CFR20242025_BenchMarkDataReport!$B$3:$AM$87,MATCH(A15,CFR20242025_BenchMarkDataReport!$B$3:$B$87),MATCH($U$2,CFR20242025_BenchMarkDataReport!$B$3:$AM$3,0))</f>
        <v>108061.66</v>
      </c>
      <c r="V15" s="289">
        <f>IFERROR(_xlfn.XLOOKUP($A15,CFR20242025_BenchMarkDataReport!$B:$B,CFR20242025_BenchMarkDataReport!AN:AN),0)</f>
        <v>1447343.74</v>
      </c>
      <c r="W15" s="289">
        <f>IFERROR(_xlfn.XLOOKUP($A15,CFR20242025_BenchMarkDataReport!$B:$B,CFR20242025_BenchMarkDataReport!AO:AO),0)</f>
        <v>0</v>
      </c>
      <c r="X15" s="289">
        <f>IFERROR(_xlfn.XLOOKUP($A15,CFR20242025_BenchMarkDataReport!$B:$B,CFR20242025_BenchMarkDataReport!AP:AP),0)</f>
        <v>190955.45</v>
      </c>
      <c r="Y15" s="289">
        <f>IFERROR(_xlfn.XLOOKUP($A15,CFR20242025_BenchMarkDataReport!$B:$B,CFR20242025_BenchMarkDataReport!AQ:AQ),0)</f>
        <v>60329.35</v>
      </c>
      <c r="Z15" s="289">
        <f>IFERROR(_xlfn.XLOOKUP($A15,CFR20242025_BenchMarkDataReport!$B:$B,CFR20242025_BenchMarkDataReport!AR:AR),0)</f>
        <v>128022.35</v>
      </c>
      <c r="AA15" s="289">
        <f>IFERROR(_xlfn.XLOOKUP($A15,CFR20242025_BenchMarkDataReport!$B:$B,CFR20242025_BenchMarkDataReport!AS:AS),0)</f>
        <v>0</v>
      </c>
      <c r="AB15" s="289">
        <f>IFERROR(_xlfn.XLOOKUP($A15,CFR20242025_BenchMarkDataReport!$B:$B,CFR20242025_BenchMarkDataReport!AT:AT),0)</f>
        <v>22194.18</v>
      </c>
      <c r="AC15" s="289">
        <f>IFERROR(_xlfn.XLOOKUP($A15,CFR20242025_BenchMarkDataReport!$B:$B,CFR20242025_BenchMarkDataReport!AU:AU),0)</f>
        <v>39330.480000000003</v>
      </c>
      <c r="AD15" s="289">
        <f>IFERROR(_xlfn.XLOOKUP($A15,CFR20242025_BenchMarkDataReport!$B:$B,CFR20242025_BenchMarkDataReport!AV:AV),0)</f>
        <v>1128.5999999999999</v>
      </c>
      <c r="AE15" s="289">
        <f>IFERROR(_xlfn.XLOOKUP($A15,CFR20242025_BenchMarkDataReport!$B:$B,CFR20242025_BenchMarkDataReport!AW:AW),0)</f>
        <v>687.24</v>
      </c>
      <c r="AF15" s="289">
        <f>IFERROR(_xlfn.XLOOKUP($A15,CFR20242025_BenchMarkDataReport!$B:$B,CFR20242025_BenchMarkDataReport!AX:AX),0)</f>
        <v>0</v>
      </c>
      <c r="AG15" s="289">
        <f>IFERROR(_xlfn.XLOOKUP($A15,CFR20242025_BenchMarkDataReport!$B:$B,CFR20242025_BenchMarkDataReport!AY:AY),0)</f>
        <v>40874.400000000001</v>
      </c>
      <c r="AH15" s="289">
        <f>IFERROR(_xlfn.XLOOKUP($A15,CFR20242025_BenchMarkDataReport!$B:$B,CFR20242025_BenchMarkDataReport!AZ:AZ),0)</f>
        <v>0</v>
      </c>
      <c r="AI15" s="289">
        <f>IFERROR(_xlfn.XLOOKUP($A15,CFR20242025_BenchMarkDataReport!$B:$B,CFR20242025_BenchMarkDataReport!BA:BA),0)</f>
        <v>70421.63</v>
      </c>
      <c r="AJ15" s="289">
        <f>IFERROR(_xlfn.XLOOKUP($A15,CFR20242025_BenchMarkDataReport!$B:$B,CFR20242025_BenchMarkDataReport!BB:BB),0)</f>
        <v>5712.27</v>
      </c>
      <c r="AK15" s="289">
        <f>IFERROR(_xlfn.XLOOKUP($A15,CFR20242025_BenchMarkDataReport!$B:$B,CFR20242025_BenchMarkDataReport!BC:BC),0)</f>
        <v>53079.21</v>
      </c>
      <c r="AL15" s="289">
        <f>IFERROR(_xlfn.XLOOKUP($A15,CFR20242025_BenchMarkDataReport!$B:$B,CFR20242025_BenchMarkDataReport!BD:BD),0)</f>
        <v>34473.599999999999</v>
      </c>
      <c r="AM15" s="289">
        <f>IFERROR(_xlfn.XLOOKUP($A15,CFR20242025_BenchMarkDataReport!$B:$B,CFR20242025_BenchMarkDataReport!BE:BE),0)</f>
        <v>22584.41</v>
      </c>
      <c r="AN15" s="289">
        <f>IFERROR(_xlfn.XLOOKUP($A15,CFR20242025_BenchMarkDataReport!$B:$B,CFR20242025_BenchMarkDataReport!BF:BF),0)</f>
        <v>200725.16</v>
      </c>
      <c r="AO15" s="289">
        <f>IFERROR(_xlfn.XLOOKUP($A15,CFR20242025_BenchMarkDataReport!$B:$B,CFR20242025_BenchMarkDataReport!BN:BN),0)</f>
        <v>22609.68</v>
      </c>
      <c r="AP15" s="289">
        <f>IFERROR(_xlfn.XLOOKUP($A15,CFR20242025_BenchMarkDataReport!$B:$B,CFR20242025_BenchMarkDataReport!BO:BO),0)</f>
        <v>0</v>
      </c>
      <c r="AQ15" s="289">
        <f>IFERROR(_xlfn.XLOOKUP($A15,CFR20242025_BenchMarkDataReport!$B:$B,CFR20242025_BenchMarkDataReport!BP:BP),0)</f>
        <v>23094.25</v>
      </c>
      <c r="AR15" s="289">
        <f>IFERROR(_xlfn.XLOOKUP($A15,CFR20242025_BenchMarkDataReport!$B:$B,CFR20242025_BenchMarkDataReport!BQ:BQ),0)</f>
        <v>18178.46</v>
      </c>
      <c r="AS15" s="289">
        <f>IFERROR(_xlfn.XLOOKUP($A15,CFR20242025_BenchMarkDataReport!$B:$B,CFR20242025_BenchMarkDataReport!BR:BR),0)</f>
        <v>100870.34</v>
      </c>
      <c r="AT15" s="289">
        <f>IFERROR(_xlfn.XLOOKUP($A15,CFR20242025_BenchMarkDataReport!$B:$B,CFR20242025_BenchMarkDataReport!BS:BS),0)</f>
        <v>37416.26</v>
      </c>
      <c r="AU15" s="289">
        <f>IFERROR(_xlfn.XLOOKUP($A15,CFR20242025_BenchMarkDataReport!$B:$B,CFR20242025_BenchMarkDataReport!BT:BT),0)</f>
        <v>0</v>
      </c>
      <c r="AV15" s="289">
        <f>IFERROR(_xlfn.XLOOKUP($A15,CFR20242025_BenchMarkDataReport!$B:$B,CFR20242025_BenchMarkDataReport!BU:BU),0)</f>
        <v>37104.97</v>
      </c>
      <c r="AW15" s="289">
        <f>IFERROR(_xlfn.XLOOKUP($A15,CFR20242025_BenchMarkDataReport!$B:$B,CFR20242025_BenchMarkDataReport!BV:BV),0)</f>
        <v>0</v>
      </c>
      <c r="AX15" s="289">
        <f>IFERROR(_xlfn.XLOOKUP($A15,CFR20242025_BenchMarkDataReport!$B:$B,CFR20242025_BenchMarkDataReport!BW:BW),0)</f>
        <v>45457.83</v>
      </c>
      <c r="AY15" s="289">
        <f>IFERROR(_xlfn.XLOOKUP($A15,CFR20242025_BenchMarkDataReport!$B:$B,CFR20242025_BenchMarkDataReport!BX:BX),0)</f>
        <v>0</v>
      </c>
      <c r="AZ15" s="289">
        <f>IFERROR(_xlfn.XLOOKUP($A15,CFR20242025_BenchMarkDataReport!$B:$B,CFR20242025_BenchMarkDataReport!BY:BY),0)</f>
        <v>0</v>
      </c>
      <c r="BA15" s="289">
        <f>IFERROR(_xlfn.XLOOKUP($A15,CFR20242025_BenchMarkDataReport!$B:$B,CFR20242025_BenchMarkDataReport!BZ:BZ),0)</f>
        <v>0</v>
      </c>
      <c r="BB15" s="289">
        <f>IFERROR(_xlfn.XLOOKUP($A15,CFR20242025_BenchMarkDataReport!$B:$B,CFR20242025_BenchMarkDataReport!CA:CA),0)</f>
        <v>0</v>
      </c>
      <c r="BC15" s="290">
        <f t="shared" si="33"/>
        <v>2674551.6499999994</v>
      </c>
      <c r="BD15" s="291">
        <f t="shared" si="101"/>
        <v>2602593.8600000003</v>
      </c>
      <c r="BE15" s="325">
        <f t="shared" si="102"/>
        <v>71957.789999999106</v>
      </c>
      <c r="BF15" s="289">
        <f>IFERROR(_xlfn.XLOOKUP(A15,CFR20242025_BenchMarkDataReport!B:B,CFR20242025_BenchMarkDataReport!Q:Q),0)</f>
        <v>11719.19</v>
      </c>
      <c r="BG15" s="290">
        <f t="shared" si="0"/>
        <v>83676.979999999108</v>
      </c>
      <c r="BH15" s="292">
        <f>_xlfn.XLOOKUP(A15,'Pupil on roll 24-25'!E:E,'Pupil on roll 24-25'!I:I)</f>
        <v>414</v>
      </c>
      <c r="BI15" s="291">
        <f t="shared" si="1"/>
        <v>2366019.1799999997</v>
      </c>
      <c r="BJ15" t="s">
        <v>190</v>
      </c>
      <c r="BK15" s="293">
        <f t="shared" si="34"/>
        <v>0.86919752325590738</v>
      </c>
      <c r="BL15" s="294">
        <f t="shared" si="35"/>
        <v>5615.2504106280194</v>
      </c>
      <c r="BM15" s="295">
        <f t="shared" si="36"/>
        <v>0</v>
      </c>
      <c r="BN15" s="296">
        <f t="shared" si="37"/>
        <v>0</v>
      </c>
      <c r="BO15" s="293">
        <f t="shared" si="38"/>
        <v>1.5443900662752207E-2</v>
      </c>
      <c r="BP15" s="294">
        <f t="shared" si="39"/>
        <v>99.771763285024164</v>
      </c>
      <c r="BQ15" s="295">
        <f t="shared" si="40"/>
        <v>0</v>
      </c>
      <c r="BR15" s="296">
        <f t="shared" si="41"/>
        <v>0</v>
      </c>
      <c r="BS15" s="293">
        <f t="shared" si="42"/>
        <v>5.5336377594353073E-3</v>
      </c>
      <c r="BT15" s="294">
        <f t="shared" si="43"/>
        <v>35.748792270531403</v>
      </c>
      <c r="BU15" s="295">
        <f t="shared" si="44"/>
        <v>1.2338516625767914E-3</v>
      </c>
      <c r="BV15" s="296">
        <f t="shared" si="45"/>
        <v>7.9710144927536231</v>
      </c>
      <c r="BW15" s="293">
        <f t="shared" si="46"/>
        <v>6.6167090099007814E-2</v>
      </c>
      <c r="BX15" s="294">
        <f t="shared" si="47"/>
        <v>427.45724637681155</v>
      </c>
      <c r="BY15" s="295">
        <f t="shared" si="48"/>
        <v>0</v>
      </c>
      <c r="BZ15" s="297">
        <f t="shared" si="49"/>
        <v>0</v>
      </c>
      <c r="CA15" s="298">
        <f t="shared" si="50"/>
        <v>2.0203423628031266E-3</v>
      </c>
      <c r="CB15" s="299">
        <f t="shared" si="51"/>
        <v>13.051956521739131</v>
      </c>
      <c r="CC15" s="295">
        <f t="shared" si="52"/>
        <v>0</v>
      </c>
      <c r="CD15" s="296">
        <f t="shared" si="53"/>
        <v>0</v>
      </c>
      <c r="CE15" s="300">
        <f t="shared" si="54"/>
        <v>0.61172105122157128</v>
      </c>
      <c r="CF15" s="298">
        <f t="shared" si="55"/>
        <v>0.54115378179367013</v>
      </c>
      <c r="CG15" s="298">
        <f t="shared" si="56"/>
        <v>0.55611586665312418</v>
      </c>
      <c r="CH15" s="299">
        <f t="shared" si="57"/>
        <v>3495.9993719806762</v>
      </c>
      <c r="CI15" s="295">
        <f t="shared" si="58"/>
        <v>8.0707481838756701E-2</v>
      </c>
      <c r="CJ15" s="301">
        <f t="shared" si="59"/>
        <v>7.1397181654727082E-2</v>
      </c>
      <c r="CK15" s="301">
        <f t="shared" si="60"/>
        <v>7.3371205909169401E-2</v>
      </c>
      <c r="CL15" s="302">
        <f t="shared" si="61"/>
        <v>461.2450483091788</v>
      </c>
      <c r="CM15" s="300">
        <f t="shared" si="62"/>
        <v>2.5498250610123965E-2</v>
      </c>
      <c r="CN15" s="298">
        <f t="shared" si="63"/>
        <v>2.2556808727174894E-2</v>
      </c>
      <c r="CO15" s="298">
        <f t="shared" si="64"/>
        <v>2.3180470424993622E-2</v>
      </c>
      <c r="CP15" s="299">
        <f t="shared" si="65"/>
        <v>145.72306763285025</v>
      </c>
      <c r="CQ15" s="295">
        <f t="shared" si="66"/>
        <v>5.4108754097251244E-2</v>
      </c>
      <c r="CR15" s="301">
        <f t="shared" si="67"/>
        <v>4.7866845271056939E-2</v>
      </c>
      <c r="CS15" s="301">
        <f t="shared" si="68"/>
        <v>4.9190291258122E-2</v>
      </c>
      <c r="CT15" s="296">
        <f t="shared" si="69"/>
        <v>309.23272946859908</v>
      </c>
      <c r="CU15" s="300">
        <f t="shared" si="70"/>
        <v>0.78141592664519322</v>
      </c>
      <c r="CV15" s="298">
        <f t="shared" si="71"/>
        <v>0.69127289802012248</v>
      </c>
      <c r="CW15" s="298">
        <f t="shared" si="72"/>
        <v>0.7103855497453605</v>
      </c>
      <c r="CX15" s="299">
        <f t="shared" si="73"/>
        <v>4465.8093478260871</v>
      </c>
      <c r="CY15" s="295">
        <f t="shared" si="74"/>
        <v>1.7275599600168924E-2</v>
      </c>
      <c r="CZ15" s="301">
        <f t="shared" si="75"/>
        <v>1.5705254910576019E-2</v>
      </c>
      <c r="DA15" s="296">
        <f t="shared" si="76"/>
        <v>98.730434782608697</v>
      </c>
      <c r="DB15" s="300">
        <f t="shared" si="77"/>
        <v>2.19483726900055E-3</v>
      </c>
      <c r="DC15" s="299">
        <f t="shared" si="78"/>
        <v>13.797753623188408</v>
      </c>
      <c r="DD15" s="295">
        <f t="shared" si="79"/>
        <v>2.2433972830262518E-2</v>
      </c>
      <c r="DE15" s="301">
        <f t="shared" si="80"/>
        <v>2.0394734197982007E-2</v>
      </c>
      <c r="DF15" s="296">
        <f t="shared" si="81"/>
        <v>128.21065217391305</v>
      </c>
      <c r="DG15" s="300">
        <f t="shared" si="82"/>
        <v>9.545319915792062E-3</v>
      </c>
      <c r="DH15" s="298">
        <f t="shared" si="83"/>
        <v>8.6776543766994042E-3</v>
      </c>
      <c r="DI15" s="303">
        <f t="shared" si="84"/>
        <v>54.551714975845407</v>
      </c>
      <c r="DJ15" s="295">
        <f t="shared" si="85"/>
        <v>8.4836658002070811E-2</v>
      </c>
      <c r="DK15" s="301">
        <f t="shared" si="86"/>
        <v>7.5050021935452266E-2</v>
      </c>
      <c r="DL15" s="301">
        <f t="shared" si="87"/>
        <v>7.7125041707429523E-2</v>
      </c>
      <c r="DM15" s="296">
        <f t="shared" si="88"/>
        <v>484.8433816425121</v>
      </c>
      <c r="DN15" s="300">
        <f t="shared" si="89"/>
        <v>9.7608042213757559E-3</v>
      </c>
      <c r="DO15" s="298">
        <f t="shared" si="90"/>
        <v>8.8735512501362766E-3</v>
      </c>
      <c r="DP15" s="299">
        <f t="shared" si="91"/>
        <v>55.783212560386474</v>
      </c>
      <c r="DQ15" s="295">
        <f t="shared" si="92"/>
        <v>1.5682446834602584E-2</v>
      </c>
      <c r="DR15" s="301">
        <f t="shared" si="93"/>
        <v>1.4256919056898104E-2</v>
      </c>
      <c r="DS15" s="296">
        <f t="shared" si="94"/>
        <v>89.625531400966182</v>
      </c>
      <c r="DT15" s="300">
        <f t="shared" si="95"/>
        <v>1.4376526654835034E-2</v>
      </c>
      <c r="DU15" s="299">
        <f t="shared" si="96"/>
        <v>90.377439613526576</v>
      </c>
      <c r="DV15" s="295">
        <f t="shared" si="25"/>
        <v>2.7058247958826737E-2</v>
      </c>
      <c r="DW15" s="296">
        <f t="shared" si="97"/>
        <v>170.10055555555556</v>
      </c>
      <c r="DX15" s="295">
        <f t="shared" si="103"/>
        <v>4.2265084258530829E-6</v>
      </c>
      <c r="DY15" s="301">
        <f t="shared" si="98"/>
        <v>3.7389444320508831E-6</v>
      </c>
      <c r="DZ15" s="301">
        <f t="shared" si="99"/>
        <v>3.8423205993423804E-6</v>
      </c>
      <c r="EA15" s="296">
        <f t="shared" si="100"/>
        <v>2.4154589371980676E-2</v>
      </c>
      <c r="EB15" s="304">
        <f>IFERROR(_xlfn.XLOOKUP(A15,'Pupil on roll 24-25'!E:E,'Pupil on roll 24-25'!R:R),0)</f>
        <v>10</v>
      </c>
      <c r="EC15" s="289">
        <f>IFERROR(_xlfn.XLOOKUP(A15,CFR20242025_BenchMarkDataReport!B:B,CFR20242025_BenchMarkDataReport!AK:AK),0)</f>
        <v>1373.13</v>
      </c>
      <c r="ED15" s="289">
        <f>IFERROR(_xlfn.XLOOKUP(A15,CFR20242025_BenchMarkDataReport!B:B,CFR20242025_BenchMarkDataReport!AL:AL),0)</f>
        <v>106688.53</v>
      </c>
    </row>
    <row r="16" spans="1:228">
      <c r="A16" s="208">
        <v>3524</v>
      </c>
      <c r="B16" s="326">
        <v>11278</v>
      </c>
      <c r="C16" t="s">
        <v>330</v>
      </c>
      <c r="D16" s="289">
        <f>IFERROR(_xlfn.XLOOKUP($A16,CFR20242025_BenchMarkDataReport!$B:$B,CFR20242025_BenchMarkDataReport!T:T),0)</f>
        <v>1276367.8400000001</v>
      </c>
      <c r="E16" s="289">
        <f>IFERROR(_xlfn.XLOOKUP($A16,CFR20242025_BenchMarkDataReport!$B:$B,CFR20242025_BenchMarkDataReport!U:U),0)</f>
        <v>0</v>
      </c>
      <c r="F16" s="289">
        <f>IFERROR(_xlfn.XLOOKUP($A16,CFR20242025_BenchMarkDataReport!$B:$B,CFR20242025_BenchMarkDataReport!V:V),0)</f>
        <v>104711.34</v>
      </c>
      <c r="G16" s="289">
        <f>IFERROR(_xlfn.XLOOKUP($A16,CFR20242025_BenchMarkDataReport!$B:$B,CFR20242025_BenchMarkDataReport!W:W),0)</f>
        <v>0</v>
      </c>
      <c r="H16" s="289">
        <f>IFERROR(_xlfn.XLOOKUP($A16,CFR20242025_BenchMarkDataReport!$B:$B,CFR20242025_BenchMarkDataReport!X:X),0)</f>
        <v>14800</v>
      </c>
      <c r="I16" s="289">
        <f>IFERROR(_xlfn.XLOOKUP($A16,CFR20242025_BenchMarkDataReport!$B:$B,CFR20242025_BenchMarkDataReport!Y:Y),0)</f>
        <v>47034.55</v>
      </c>
      <c r="J16" s="289">
        <f>IFERROR(_xlfn.XLOOKUP($A16,CFR20242025_BenchMarkDataReport!$B:$B,CFR20242025_BenchMarkDataReport!Z:Z),0)</f>
        <v>83536.91</v>
      </c>
      <c r="K16" s="289">
        <f>IFERROR(_xlfn.XLOOKUP($A16,CFR20242025_BenchMarkDataReport!$B:$B,CFR20242025_BenchMarkDataReport!AA:AA),0)</f>
        <v>0</v>
      </c>
      <c r="L16" s="289">
        <f>IFERROR(_xlfn.XLOOKUP($A16,CFR20242025_BenchMarkDataReport!$B:$B,CFR20242025_BenchMarkDataReport!AB:AB),0)</f>
        <v>12315.61</v>
      </c>
      <c r="M16" s="289">
        <f>IFERROR(_xlfn.XLOOKUP($A16,CFR20242025_BenchMarkDataReport!$B:$B,CFR20242025_BenchMarkDataReport!AC:AC),0)</f>
        <v>12348.68</v>
      </c>
      <c r="N16" s="289">
        <f>IFERROR(_xlfn.XLOOKUP($A16,CFR20242025_BenchMarkDataReport!$B:$B,CFR20242025_BenchMarkDataReport!AD:AD),0)</f>
        <v>0</v>
      </c>
      <c r="O16" s="289">
        <f>IFERROR(_xlfn.XLOOKUP($A16,CFR20242025_BenchMarkDataReport!$B:$B,CFR20242025_BenchMarkDataReport!AE:AE),0)</f>
        <v>7447.83</v>
      </c>
      <c r="P16" s="289">
        <f>IFERROR(_xlfn.XLOOKUP($A16,CFR20242025_BenchMarkDataReport!$B:$B,CFR20242025_BenchMarkDataReport!AF:AF),0)</f>
        <v>112731.35</v>
      </c>
      <c r="Q16" s="289">
        <f>IFERROR(_xlfn.XLOOKUP($A16,CFR20242025_BenchMarkDataReport!$B:$B,CFR20242025_BenchMarkDataReport!AG:AG),0)</f>
        <v>430263.65</v>
      </c>
      <c r="R16" s="289">
        <f>IFERROR(_xlfn.XLOOKUP($A16,CFR20242025_BenchMarkDataReport!$B:$B,CFR20242025_BenchMarkDataReport!AH:AH),0)</f>
        <v>0</v>
      </c>
      <c r="S16" s="289">
        <f>IFERROR(_xlfn.XLOOKUP($A16,CFR20242025_BenchMarkDataReport!$B:$B,CFR20242025_BenchMarkDataReport!AI:AI),0)</f>
        <v>0</v>
      </c>
      <c r="T16" s="289">
        <f>IFERROR(_xlfn.XLOOKUP($A16,CFR20242025_BenchMarkDataReport!$B:$B,CFR20242025_BenchMarkDataReport!AJ:AJ),0)</f>
        <v>0</v>
      </c>
      <c r="U16" s="289">
        <f>INDEX(CFR20242025_BenchMarkDataReport!$B$3:$AM$87,MATCH(A16,CFR20242025_BenchMarkDataReport!$B$3:$B$87),MATCH($U$2,CFR20242025_BenchMarkDataReport!$B$3:$AM$3,0))</f>
        <v>59476.88</v>
      </c>
      <c r="V16" s="289">
        <f>IFERROR(_xlfn.XLOOKUP($A16,CFR20242025_BenchMarkDataReport!$B:$B,CFR20242025_BenchMarkDataReport!AN:AN),0)</f>
        <v>1067183.1100000001</v>
      </c>
      <c r="W16" s="289">
        <f>IFERROR(_xlfn.XLOOKUP($A16,CFR20242025_BenchMarkDataReport!$B:$B,CFR20242025_BenchMarkDataReport!AO:AO),0)</f>
        <v>0</v>
      </c>
      <c r="X16" s="289">
        <f>IFERROR(_xlfn.XLOOKUP($A16,CFR20242025_BenchMarkDataReport!$B:$B,CFR20242025_BenchMarkDataReport!AP:AP),0)</f>
        <v>376947.7</v>
      </c>
      <c r="Y16" s="289">
        <f>IFERROR(_xlfn.XLOOKUP($A16,CFR20242025_BenchMarkDataReport!$B:$B,CFR20242025_BenchMarkDataReport!AQ:AQ),0)</f>
        <v>39850.18</v>
      </c>
      <c r="Z16" s="289">
        <f>IFERROR(_xlfn.XLOOKUP($A16,CFR20242025_BenchMarkDataReport!$B:$B,CFR20242025_BenchMarkDataReport!AR:AR),0)</f>
        <v>125828.01</v>
      </c>
      <c r="AA16" s="289">
        <f>IFERROR(_xlfn.XLOOKUP($A16,CFR20242025_BenchMarkDataReport!$B:$B,CFR20242025_BenchMarkDataReport!AS:AS),0)</f>
        <v>0</v>
      </c>
      <c r="AB16" s="289">
        <f>IFERROR(_xlfn.XLOOKUP($A16,CFR20242025_BenchMarkDataReport!$B:$B,CFR20242025_BenchMarkDataReport!AT:AT),0)</f>
        <v>10529</v>
      </c>
      <c r="AC16" s="289">
        <f>IFERROR(_xlfn.XLOOKUP($A16,CFR20242025_BenchMarkDataReport!$B:$B,CFR20242025_BenchMarkDataReport!AU:AU),0)</f>
        <v>2727.69</v>
      </c>
      <c r="AD16" s="289">
        <f>IFERROR(_xlfn.XLOOKUP($A16,CFR20242025_BenchMarkDataReport!$B:$B,CFR20242025_BenchMarkDataReport!AV:AV),0)</f>
        <v>1061.6199999999999</v>
      </c>
      <c r="AE16" s="289">
        <f>IFERROR(_xlfn.XLOOKUP($A16,CFR20242025_BenchMarkDataReport!$B:$B,CFR20242025_BenchMarkDataReport!AW:AW),0)</f>
        <v>343.62</v>
      </c>
      <c r="AF16" s="289">
        <f>IFERROR(_xlfn.XLOOKUP($A16,CFR20242025_BenchMarkDataReport!$B:$B,CFR20242025_BenchMarkDataReport!AX:AX),0)</f>
        <v>0</v>
      </c>
      <c r="AG16" s="289">
        <f>IFERROR(_xlfn.XLOOKUP($A16,CFR20242025_BenchMarkDataReport!$B:$B,CFR20242025_BenchMarkDataReport!AY:AY),0)</f>
        <v>61845.43</v>
      </c>
      <c r="AH16" s="289">
        <f>IFERROR(_xlfn.XLOOKUP($A16,CFR20242025_BenchMarkDataReport!$B:$B,CFR20242025_BenchMarkDataReport!AZ:AZ),0)</f>
        <v>817.36</v>
      </c>
      <c r="AI16" s="289">
        <f>IFERROR(_xlfn.XLOOKUP($A16,CFR20242025_BenchMarkDataReport!$B:$B,CFR20242025_BenchMarkDataReport!BA:BA),0)</f>
        <v>36245.14</v>
      </c>
      <c r="AJ16" s="289">
        <f>IFERROR(_xlfn.XLOOKUP($A16,CFR20242025_BenchMarkDataReport!$B:$B,CFR20242025_BenchMarkDataReport!BB:BB),0)</f>
        <v>6629.61</v>
      </c>
      <c r="AK16" s="289">
        <f>IFERROR(_xlfn.XLOOKUP($A16,CFR20242025_BenchMarkDataReport!$B:$B,CFR20242025_BenchMarkDataReport!BC:BC),0)</f>
        <v>44052.08</v>
      </c>
      <c r="AL16" s="289">
        <f>IFERROR(_xlfn.XLOOKUP($A16,CFR20242025_BenchMarkDataReport!$B:$B,CFR20242025_BenchMarkDataReport!BD:BD),0)</f>
        <v>9592</v>
      </c>
      <c r="AM16" s="289">
        <f>IFERROR(_xlfn.XLOOKUP($A16,CFR20242025_BenchMarkDataReport!$B:$B,CFR20242025_BenchMarkDataReport!BE:BE),0)</f>
        <v>64302.68</v>
      </c>
      <c r="AN16" s="289">
        <f>IFERROR(_xlfn.XLOOKUP($A16,CFR20242025_BenchMarkDataReport!$B:$B,CFR20242025_BenchMarkDataReport!BF:BF),0)</f>
        <v>87680.47</v>
      </c>
      <c r="AO16" s="289">
        <f>IFERROR(_xlfn.XLOOKUP($A16,CFR20242025_BenchMarkDataReport!$B:$B,CFR20242025_BenchMarkDataReport!BN:BN),0)</f>
        <v>11964.38</v>
      </c>
      <c r="AP16" s="289">
        <f>IFERROR(_xlfn.XLOOKUP($A16,CFR20242025_BenchMarkDataReport!$B:$B,CFR20242025_BenchMarkDataReport!BO:BO),0)</f>
        <v>0</v>
      </c>
      <c r="AQ16" s="289">
        <f>IFERROR(_xlfn.XLOOKUP($A16,CFR20242025_BenchMarkDataReport!$B:$B,CFR20242025_BenchMarkDataReport!BP:BP),0)</f>
        <v>24621.38</v>
      </c>
      <c r="AR16" s="289">
        <f>IFERROR(_xlfn.XLOOKUP($A16,CFR20242025_BenchMarkDataReport!$B:$B,CFR20242025_BenchMarkDataReport!BQ:BQ),0)</f>
        <v>16103.94</v>
      </c>
      <c r="AS16" s="289">
        <f>IFERROR(_xlfn.XLOOKUP($A16,CFR20242025_BenchMarkDataReport!$B:$B,CFR20242025_BenchMarkDataReport!BR:BR),0)</f>
        <v>0</v>
      </c>
      <c r="AT16" s="289">
        <f>IFERROR(_xlfn.XLOOKUP($A16,CFR20242025_BenchMarkDataReport!$B:$B,CFR20242025_BenchMarkDataReport!BS:BS),0)</f>
        <v>75701.25</v>
      </c>
      <c r="AU16" s="289">
        <f>IFERROR(_xlfn.XLOOKUP($A16,CFR20242025_BenchMarkDataReport!$B:$B,CFR20242025_BenchMarkDataReport!BT:BT),0)</f>
        <v>22046.09</v>
      </c>
      <c r="AV16" s="289">
        <f>IFERROR(_xlfn.XLOOKUP($A16,CFR20242025_BenchMarkDataReport!$B:$B,CFR20242025_BenchMarkDataReport!BU:BU),0)</f>
        <v>29587.7</v>
      </c>
      <c r="AW16" s="289">
        <f>IFERROR(_xlfn.XLOOKUP($A16,CFR20242025_BenchMarkDataReport!$B:$B,CFR20242025_BenchMarkDataReport!BV:BV),0)</f>
        <v>21760.77</v>
      </c>
      <c r="AX16" s="289">
        <f>IFERROR(_xlfn.XLOOKUP($A16,CFR20242025_BenchMarkDataReport!$B:$B,CFR20242025_BenchMarkDataReport!BW:BW),0)</f>
        <v>26550.65</v>
      </c>
      <c r="AY16" s="289">
        <f>IFERROR(_xlfn.XLOOKUP($A16,CFR20242025_BenchMarkDataReport!$B:$B,CFR20242025_BenchMarkDataReport!BX:BX),0)</f>
        <v>0</v>
      </c>
      <c r="AZ16" s="289">
        <f>IFERROR(_xlfn.XLOOKUP($A16,CFR20242025_BenchMarkDataReport!$B:$B,CFR20242025_BenchMarkDataReport!BY:BY),0)</f>
        <v>0</v>
      </c>
      <c r="BA16" s="289">
        <f>IFERROR(_xlfn.XLOOKUP($A16,CFR20242025_BenchMarkDataReport!$B:$B,CFR20242025_BenchMarkDataReport!BZ:BZ),0)</f>
        <v>0</v>
      </c>
      <c r="BB16" s="289">
        <f>IFERROR(_xlfn.XLOOKUP($A16,CFR20242025_BenchMarkDataReport!$B:$B,CFR20242025_BenchMarkDataReport!CA:CA),0)</f>
        <v>0</v>
      </c>
      <c r="BC16" s="290">
        <f t="shared" si="33"/>
        <v>2161034.64</v>
      </c>
      <c r="BD16" s="291">
        <f t="shared" si="101"/>
        <v>2163971.86</v>
      </c>
      <c r="BE16" s="327">
        <f t="shared" si="102"/>
        <v>-2937.2199999997392</v>
      </c>
      <c r="BF16" s="289">
        <f>IFERROR(_xlfn.XLOOKUP(A16,CFR20242025_BenchMarkDataReport!B:B,CFR20242025_BenchMarkDataReport!Q:Q),0)</f>
        <v>91702.22</v>
      </c>
      <c r="BG16" s="290">
        <f t="shared" si="0"/>
        <v>88765.000000000262</v>
      </c>
      <c r="BH16" s="292">
        <f>_xlfn.XLOOKUP(A16,'Pupil on roll 24-25'!E:E,'Pupil on roll 24-25'!I:I)</f>
        <v>207</v>
      </c>
      <c r="BI16" s="291">
        <f t="shared" si="1"/>
        <v>1381079.1800000002</v>
      </c>
      <c r="BJ16" t="s">
        <v>190</v>
      </c>
      <c r="BK16" s="293">
        <f t="shared" si="34"/>
        <v>0.59062812616460425</v>
      </c>
      <c r="BL16" s="294">
        <f t="shared" si="35"/>
        <v>6166.0282125603871</v>
      </c>
      <c r="BM16" s="295">
        <f t="shared" si="36"/>
        <v>0</v>
      </c>
      <c r="BN16" s="296">
        <f t="shared" si="37"/>
        <v>0</v>
      </c>
      <c r="BO16" s="293">
        <f t="shared" si="38"/>
        <v>4.8454262630422247E-2</v>
      </c>
      <c r="BP16" s="294">
        <f t="shared" si="39"/>
        <v>505.85188405797101</v>
      </c>
      <c r="BQ16" s="295">
        <f t="shared" si="40"/>
        <v>0</v>
      </c>
      <c r="BR16" s="296">
        <f t="shared" si="41"/>
        <v>0</v>
      </c>
      <c r="BS16" s="293">
        <f t="shared" si="42"/>
        <v>6.8485713861578821E-3</v>
      </c>
      <c r="BT16" s="294">
        <f t="shared" si="43"/>
        <v>71.497584541062807</v>
      </c>
      <c r="BU16" s="295">
        <f t="shared" si="44"/>
        <v>2.1764829276406231E-2</v>
      </c>
      <c r="BV16" s="296">
        <f t="shared" si="45"/>
        <v>227.22004830917876</v>
      </c>
      <c r="BW16" s="293">
        <f t="shared" si="46"/>
        <v>3.8655979156354478E-2</v>
      </c>
      <c r="BX16" s="294">
        <f t="shared" si="47"/>
        <v>403.55995169082126</v>
      </c>
      <c r="BY16" s="295">
        <f t="shared" si="48"/>
        <v>5.6989415033162081E-3</v>
      </c>
      <c r="BZ16" s="297">
        <f t="shared" si="49"/>
        <v>59.495700483091788</v>
      </c>
      <c r="CA16" s="298">
        <f t="shared" si="50"/>
        <v>5.2165452563037118E-2</v>
      </c>
      <c r="CB16" s="299">
        <f t="shared" si="51"/>
        <v>544.59589371980678</v>
      </c>
      <c r="CC16" s="295">
        <f t="shared" si="52"/>
        <v>0.19910076499282769</v>
      </c>
      <c r="CD16" s="296">
        <f t="shared" si="53"/>
        <v>2078.5683574879226</v>
      </c>
      <c r="CE16" s="300">
        <f t="shared" si="54"/>
        <v>0.78867976273453055</v>
      </c>
      <c r="CF16" s="298">
        <f t="shared" si="55"/>
        <v>0.50403134676267847</v>
      </c>
      <c r="CG16" s="298">
        <f t="shared" si="56"/>
        <v>0.50334721080892442</v>
      </c>
      <c r="CH16" s="299">
        <f t="shared" si="57"/>
        <v>5261.9768115942034</v>
      </c>
      <c r="CI16" s="295">
        <f t="shared" si="58"/>
        <v>0.27293706650476041</v>
      </c>
      <c r="CJ16" s="301">
        <f t="shared" si="59"/>
        <v>0.17442927245256928</v>
      </c>
      <c r="CK16" s="301">
        <f t="shared" si="60"/>
        <v>0.17419251468454863</v>
      </c>
      <c r="CL16" s="302">
        <f t="shared" si="61"/>
        <v>1821.0033816425121</v>
      </c>
      <c r="CM16" s="300">
        <f t="shared" si="62"/>
        <v>2.885437748761081E-2</v>
      </c>
      <c r="CN16" s="298">
        <f t="shared" si="63"/>
        <v>1.8440324491975749E-2</v>
      </c>
      <c r="CO16" s="298">
        <f t="shared" si="64"/>
        <v>1.8415294919777746E-2</v>
      </c>
      <c r="CP16" s="299">
        <f t="shared" si="65"/>
        <v>192.51294685990339</v>
      </c>
      <c r="CQ16" s="295">
        <f t="shared" si="66"/>
        <v>9.1108469247939847E-2</v>
      </c>
      <c r="CR16" s="301">
        <f t="shared" si="67"/>
        <v>5.8225818166431603E-2</v>
      </c>
      <c r="CS16" s="301">
        <f t="shared" si="68"/>
        <v>5.8146786622262268E-2</v>
      </c>
      <c r="CT16" s="296">
        <f t="shared" si="69"/>
        <v>607.86478260869558</v>
      </c>
      <c r="CU16" s="300">
        <f t="shared" si="70"/>
        <v>1.1732404799556821</v>
      </c>
      <c r="CV16" s="298">
        <f t="shared" si="71"/>
        <v>0.74979732856110071</v>
      </c>
      <c r="CW16" s="298">
        <f t="shared" si="72"/>
        <v>0.74877960751301087</v>
      </c>
      <c r="CX16" s="299">
        <f t="shared" si="73"/>
        <v>7827.7198067632853</v>
      </c>
      <c r="CY16" s="295">
        <f t="shared" si="74"/>
        <v>4.4780509977711776E-2</v>
      </c>
      <c r="CZ16" s="301">
        <f t="shared" si="75"/>
        <v>2.8579590679150516E-2</v>
      </c>
      <c r="DA16" s="296">
        <f t="shared" si="76"/>
        <v>298.77019323671499</v>
      </c>
      <c r="DB16" s="300">
        <f t="shared" si="77"/>
        <v>3.0636304115340945E-3</v>
      </c>
      <c r="DC16" s="299">
        <f t="shared" si="78"/>
        <v>32.027101449275364</v>
      </c>
      <c r="DD16" s="295">
        <f t="shared" si="79"/>
        <v>3.1896853299895521E-2</v>
      </c>
      <c r="DE16" s="301">
        <f t="shared" si="80"/>
        <v>2.0357048450713219E-2</v>
      </c>
      <c r="DF16" s="296">
        <f t="shared" si="81"/>
        <v>212.81198067632852</v>
      </c>
      <c r="DG16" s="300">
        <f t="shared" si="82"/>
        <v>4.6559734540346912E-2</v>
      </c>
      <c r="DH16" s="298">
        <f t="shared" si="83"/>
        <v>2.9715118384210416E-2</v>
      </c>
      <c r="DI16" s="303">
        <f t="shared" si="84"/>
        <v>310.6409661835749</v>
      </c>
      <c r="DJ16" s="295">
        <f t="shared" si="85"/>
        <v>6.3486924768498779E-2</v>
      </c>
      <c r="DK16" s="301">
        <f t="shared" si="86"/>
        <v>4.0573375538302335E-2</v>
      </c>
      <c r="DL16" s="301">
        <f t="shared" si="87"/>
        <v>4.0518304152069709E-2</v>
      </c>
      <c r="DM16" s="296">
        <f t="shared" si="88"/>
        <v>423.57714975845408</v>
      </c>
      <c r="DN16" s="300">
        <f t="shared" si="89"/>
        <v>1.7827638238670718E-2</v>
      </c>
      <c r="DO16" s="298">
        <f t="shared" si="90"/>
        <v>1.1377865144697401E-2</v>
      </c>
      <c r="DP16" s="299">
        <f t="shared" si="91"/>
        <v>118.94386473429952</v>
      </c>
      <c r="DQ16" s="295">
        <f t="shared" si="92"/>
        <v>2.1423608746313876E-2</v>
      </c>
      <c r="DR16" s="301">
        <f t="shared" si="93"/>
        <v>1.3672867261776685E-2</v>
      </c>
      <c r="DS16" s="296">
        <f t="shared" si="94"/>
        <v>142.93574879227054</v>
      </c>
      <c r="DT16" s="300">
        <f t="shared" si="95"/>
        <v>3.4982548248108924E-2</v>
      </c>
      <c r="DU16" s="299">
        <f t="shared" si="96"/>
        <v>365.70652173913044</v>
      </c>
      <c r="DV16" s="295">
        <f t="shared" si="25"/>
        <v>1.6749358284169187E-2</v>
      </c>
      <c r="DW16" s="296">
        <f t="shared" si="97"/>
        <v>175.09729468599033</v>
      </c>
      <c r="DX16" s="295">
        <f t="shared" si="103"/>
        <v>7.2407144679423801E-6</v>
      </c>
      <c r="DY16" s="301">
        <f t="shared" si="98"/>
        <v>4.6274130987553253E-6</v>
      </c>
      <c r="DZ16" s="301">
        <f t="shared" si="99"/>
        <v>4.6211321805265995E-6</v>
      </c>
      <c r="EA16" s="296">
        <f t="shared" si="100"/>
        <v>4.8309178743961352E-2</v>
      </c>
      <c r="EB16" s="304">
        <f>IFERROR(_xlfn.XLOOKUP(A16,'Pupil on roll 24-25'!E:E,'Pupil on roll 24-25'!R:R),0)</f>
        <v>10</v>
      </c>
      <c r="EC16" s="289">
        <f>IFERROR(_xlfn.XLOOKUP(A16,CFR20242025_BenchMarkDataReport!B:B,CFR20242025_BenchMarkDataReport!AK:AK),0)</f>
        <v>0</v>
      </c>
      <c r="ED16" s="289">
        <f>IFERROR(_xlfn.XLOOKUP(A16,CFR20242025_BenchMarkDataReport!B:B,CFR20242025_BenchMarkDataReport!AL:AL),0)</f>
        <v>59476.88</v>
      </c>
    </row>
    <row r="17" spans="1:134">
      <c r="A17" s="322">
        <v>3511</v>
      </c>
      <c r="B17" s="323">
        <v>10115</v>
      </c>
      <c r="C17" s="322" t="s">
        <v>39</v>
      </c>
      <c r="D17" s="289">
        <f>IFERROR(_xlfn.XLOOKUP($A17,CFR20242025_BenchMarkDataReport!$B:$B,CFR20242025_BenchMarkDataReport!T:T),0)</f>
        <v>2620266.91</v>
      </c>
      <c r="E17" s="289">
        <f>IFERROR(_xlfn.XLOOKUP($A17,CFR20242025_BenchMarkDataReport!$B:$B,CFR20242025_BenchMarkDataReport!U:U),0)</f>
        <v>0</v>
      </c>
      <c r="F17" s="289">
        <f>IFERROR(_xlfn.XLOOKUP($A17,CFR20242025_BenchMarkDataReport!$B:$B,CFR20242025_BenchMarkDataReport!V:V),0)</f>
        <v>144975.82999999999</v>
      </c>
      <c r="G17" s="289">
        <f>IFERROR(_xlfn.XLOOKUP($A17,CFR20242025_BenchMarkDataReport!$B:$B,CFR20242025_BenchMarkDataReport!W:W),0)</f>
        <v>0</v>
      </c>
      <c r="H17" s="289">
        <f>IFERROR(_xlfn.XLOOKUP($A17,CFR20242025_BenchMarkDataReport!$B:$B,CFR20242025_BenchMarkDataReport!X:X),0)</f>
        <v>129390</v>
      </c>
      <c r="I17" s="289">
        <f>IFERROR(_xlfn.XLOOKUP($A17,CFR20242025_BenchMarkDataReport!$B:$B,CFR20242025_BenchMarkDataReport!Y:Y),0)</f>
        <v>8829.61</v>
      </c>
      <c r="J17" s="289">
        <f>IFERROR(_xlfn.XLOOKUP($A17,CFR20242025_BenchMarkDataReport!$B:$B,CFR20242025_BenchMarkDataReport!Z:Z),0)</f>
        <v>91699.93</v>
      </c>
      <c r="K17" s="289">
        <f>IFERROR(_xlfn.XLOOKUP($A17,CFR20242025_BenchMarkDataReport!$B:$B,CFR20242025_BenchMarkDataReport!AA:AA),0)</f>
        <v>0</v>
      </c>
      <c r="L17" s="289">
        <f>IFERROR(_xlfn.XLOOKUP($A17,CFR20242025_BenchMarkDataReport!$B:$B,CFR20242025_BenchMarkDataReport!AB:AB),0)</f>
        <v>57683.7</v>
      </c>
      <c r="M17" s="289">
        <f>IFERROR(_xlfn.XLOOKUP($A17,CFR20242025_BenchMarkDataReport!$B:$B,CFR20242025_BenchMarkDataReport!AC:AC),0)</f>
        <v>1132.18</v>
      </c>
      <c r="N17" s="289">
        <f>IFERROR(_xlfn.XLOOKUP($A17,CFR20242025_BenchMarkDataReport!$B:$B,CFR20242025_BenchMarkDataReport!AD:AD),0)</f>
        <v>3000</v>
      </c>
      <c r="O17" s="289">
        <f>IFERROR(_xlfn.XLOOKUP($A17,CFR20242025_BenchMarkDataReport!$B:$B,CFR20242025_BenchMarkDataReport!AE:AE),0)</f>
        <v>0</v>
      </c>
      <c r="P17" s="289">
        <f>IFERROR(_xlfn.XLOOKUP($A17,CFR20242025_BenchMarkDataReport!$B:$B,CFR20242025_BenchMarkDataReport!AF:AF),0)</f>
        <v>73642.22</v>
      </c>
      <c r="Q17" s="289">
        <f>IFERROR(_xlfn.XLOOKUP($A17,CFR20242025_BenchMarkDataReport!$B:$B,CFR20242025_BenchMarkDataReport!AG:AG),0)</f>
        <v>7422.84</v>
      </c>
      <c r="R17" s="289">
        <f>IFERROR(_xlfn.XLOOKUP($A17,CFR20242025_BenchMarkDataReport!$B:$B,CFR20242025_BenchMarkDataReport!AH:AH),0)</f>
        <v>0</v>
      </c>
      <c r="S17" s="289">
        <f>IFERROR(_xlfn.XLOOKUP($A17,CFR20242025_BenchMarkDataReport!$B:$B,CFR20242025_BenchMarkDataReport!AI:AI),0)</f>
        <v>0</v>
      </c>
      <c r="T17" s="289">
        <f>IFERROR(_xlfn.XLOOKUP($A17,CFR20242025_BenchMarkDataReport!$B:$B,CFR20242025_BenchMarkDataReport!AJ:AJ),0)</f>
        <v>0</v>
      </c>
      <c r="U17" s="289">
        <f>INDEX(CFR20242025_BenchMarkDataReport!$B$3:$AM$87,MATCH(A17,CFR20242025_BenchMarkDataReport!$B$3:$B$87),MATCH($U$2,CFR20242025_BenchMarkDataReport!$B$3:$AM$3,0))</f>
        <v>78036.63</v>
      </c>
      <c r="V17" s="289">
        <f>IFERROR(_xlfn.XLOOKUP($A17,CFR20242025_BenchMarkDataReport!$B:$B,CFR20242025_BenchMarkDataReport!AN:AN),0)</f>
        <v>1251689.79</v>
      </c>
      <c r="W17" s="289">
        <f>IFERROR(_xlfn.XLOOKUP($A17,CFR20242025_BenchMarkDataReport!$B:$B,CFR20242025_BenchMarkDataReport!AO:AO),0)</f>
        <v>5997.23</v>
      </c>
      <c r="X17" s="289">
        <f>IFERROR(_xlfn.XLOOKUP($A17,CFR20242025_BenchMarkDataReport!$B:$B,CFR20242025_BenchMarkDataReport!AP:AP),0)</f>
        <v>626409.68000000005</v>
      </c>
      <c r="Y17" s="289">
        <f>IFERROR(_xlfn.XLOOKUP($A17,CFR20242025_BenchMarkDataReport!$B:$B,CFR20242025_BenchMarkDataReport!AQ:AQ),0)</f>
        <v>50980.47</v>
      </c>
      <c r="Z17" s="289">
        <f>IFERROR(_xlfn.XLOOKUP($A17,CFR20242025_BenchMarkDataReport!$B:$B,CFR20242025_BenchMarkDataReport!AR:AR),0)</f>
        <v>171270.18</v>
      </c>
      <c r="AA17" s="289">
        <f>IFERROR(_xlfn.XLOOKUP($A17,CFR20242025_BenchMarkDataReport!$B:$B,CFR20242025_BenchMarkDataReport!AS:AS),0)</f>
        <v>0</v>
      </c>
      <c r="AB17" s="289">
        <f>IFERROR(_xlfn.XLOOKUP($A17,CFR20242025_BenchMarkDataReport!$B:$B,CFR20242025_BenchMarkDataReport!AT:AT),0)</f>
        <v>13899.74</v>
      </c>
      <c r="AC17" s="289">
        <f>IFERROR(_xlfn.XLOOKUP($A17,CFR20242025_BenchMarkDataReport!$B:$B,CFR20242025_BenchMarkDataReport!AU:AU),0)</f>
        <v>2518.44</v>
      </c>
      <c r="AD17" s="289">
        <f>IFERROR(_xlfn.XLOOKUP($A17,CFR20242025_BenchMarkDataReport!$B:$B,CFR20242025_BenchMarkDataReport!AV:AV),0)</f>
        <v>8521.82</v>
      </c>
      <c r="AE17" s="289">
        <f>IFERROR(_xlfn.XLOOKUP($A17,CFR20242025_BenchMarkDataReport!$B:$B,CFR20242025_BenchMarkDataReport!AW:AW),0)</f>
        <v>12816.84</v>
      </c>
      <c r="AF17" s="289">
        <f>IFERROR(_xlfn.XLOOKUP($A17,CFR20242025_BenchMarkDataReport!$B:$B,CFR20242025_BenchMarkDataReport!AX:AX),0)</f>
        <v>0</v>
      </c>
      <c r="AG17" s="289">
        <f>IFERROR(_xlfn.XLOOKUP($A17,CFR20242025_BenchMarkDataReport!$B:$B,CFR20242025_BenchMarkDataReport!AY:AY),0)</f>
        <v>21826.38</v>
      </c>
      <c r="AH17" s="289">
        <f>IFERROR(_xlfn.XLOOKUP($A17,CFR20242025_BenchMarkDataReport!$B:$B,CFR20242025_BenchMarkDataReport!AZ:AZ),0)</f>
        <v>7775.83</v>
      </c>
      <c r="AI17" s="289">
        <f>IFERROR(_xlfn.XLOOKUP($A17,CFR20242025_BenchMarkDataReport!$B:$B,CFR20242025_BenchMarkDataReport!BA:BA),0)</f>
        <v>61088.38</v>
      </c>
      <c r="AJ17" s="289">
        <f>IFERROR(_xlfn.XLOOKUP($A17,CFR20242025_BenchMarkDataReport!$B:$B,CFR20242025_BenchMarkDataReport!BB:BB),0)</f>
        <v>750.5</v>
      </c>
      <c r="AK17" s="289">
        <f>IFERROR(_xlfn.XLOOKUP($A17,CFR20242025_BenchMarkDataReport!$B:$B,CFR20242025_BenchMarkDataReport!BC:BC),0)</f>
        <v>29117.91</v>
      </c>
      <c r="AL17" s="289">
        <f>IFERROR(_xlfn.XLOOKUP($A17,CFR20242025_BenchMarkDataReport!$B:$B,CFR20242025_BenchMarkDataReport!BD:BD),0)</f>
        <v>5023.2</v>
      </c>
      <c r="AM17" s="289">
        <f>IFERROR(_xlfn.XLOOKUP($A17,CFR20242025_BenchMarkDataReport!$B:$B,CFR20242025_BenchMarkDataReport!BE:BE),0)</f>
        <v>13698.92</v>
      </c>
      <c r="AN17" s="289">
        <f>IFERROR(_xlfn.XLOOKUP($A17,CFR20242025_BenchMarkDataReport!$B:$B,CFR20242025_BenchMarkDataReport!BF:BF),0)</f>
        <v>113166.15</v>
      </c>
      <c r="AO17" s="289">
        <f>IFERROR(_xlfn.XLOOKUP($A17,CFR20242025_BenchMarkDataReport!$B:$B,CFR20242025_BenchMarkDataReport!BN:BN),0)</f>
        <v>56642.45</v>
      </c>
      <c r="AP17" s="289">
        <f>IFERROR(_xlfn.XLOOKUP($A17,CFR20242025_BenchMarkDataReport!$B:$B,CFR20242025_BenchMarkDataReport!BO:BO),0)</f>
        <v>0</v>
      </c>
      <c r="AQ17" s="289">
        <f>IFERROR(_xlfn.XLOOKUP($A17,CFR20242025_BenchMarkDataReport!$B:$B,CFR20242025_BenchMarkDataReport!BP:BP),0)</f>
        <v>7325.15</v>
      </c>
      <c r="AR17" s="289">
        <f>IFERROR(_xlfn.XLOOKUP($A17,CFR20242025_BenchMarkDataReport!$B:$B,CFR20242025_BenchMarkDataReport!BQ:BQ),0)</f>
        <v>17615.96</v>
      </c>
      <c r="AS17" s="289">
        <f>IFERROR(_xlfn.XLOOKUP($A17,CFR20242025_BenchMarkDataReport!$B:$B,CFR20242025_BenchMarkDataReport!BR:BR),0)</f>
        <v>66704.17</v>
      </c>
      <c r="AT17" s="289">
        <f>IFERROR(_xlfn.XLOOKUP($A17,CFR20242025_BenchMarkDataReport!$B:$B,CFR20242025_BenchMarkDataReport!BS:BS),0)</f>
        <v>175991.4</v>
      </c>
      <c r="AU17" s="289">
        <f>IFERROR(_xlfn.XLOOKUP($A17,CFR20242025_BenchMarkDataReport!$B:$B,CFR20242025_BenchMarkDataReport!BT:BT),0)</f>
        <v>209871.69</v>
      </c>
      <c r="AV17" s="289">
        <f>IFERROR(_xlfn.XLOOKUP($A17,CFR20242025_BenchMarkDataReport!$B:$B,CFR20242025_BenchMarkDataReport!BU:BU),0)</f>
        <v>279655.3</v>
      </c>
      <c r="AW17" s="289">
        <f>IFERROR(_xlfn.XLOOKUP($A17,CFR20242025_BenchMarkDataReport!$B:$B,CFR20242025_BenchMarkDataReport!BV:BV),0)</f>
        <v>28583.96</v>
      </c>
      <c r="AX17" s="289">
        <f>IFERROR(_xlfn.XLOOKUP($A17,CFR20242025_BenchMarkDataReport!$B:$B,CFR20242025_BenchMarkDataReport!BW:BW),0)</f>
        <v>0</v>
      </c>
      <c r="AY17" s="289">
        <f>IFERROR(_xlfn.XLOOKUP($A17,CFR20242025_BenchMarkDataReport!$B:$B,CFR20242025_BenchMarkDataReport!BX:BX),0)</f>
        <v>0</v>
      </c>
      <c r="AZ17" s="289">
        <f>IFERROR(_xlfn.XLOOKUP($A17,CFR20242025_BenchMarkDataReport!$B:$B,CFR20242025_BenchMarkDataReport!BY:BY),0)</f>
        <v>0</v>
      </c>
      <c r="BA17" s="289">
        <f>IFERROR(_xlfn.XLOOKUP($A17,CFR20242025_BenchMarkDataReport!$B:$B,CFR20242025_BenchMarkDataReport!BZ:BZ),0)</f>
        <v>0</v>
      </c>
      <c r="BB17" s="289">
        <f>IFERROR(_xlfn.XLOOKUP($A17,CFR20242025_BenchMarkDataReport!$B:$B,CFR20242025_BenchMarkDataReport!CA:CA),0)</f>
        <v>0</v>
      </c>
      <c r="BC17" s="290">
        <f t="shared" si="33"/>
        <v>3216079.8500000006</v>
      </c>
      <c r="BD17" s="291">
        <f t="shared" si="101"/>
        <v>3238941.5399999996</v>
      </c>
      <c r="BE17" s="325">
        <f t="shared" si="102"/>
        <v>-22861.689999999013</v>
      </c>
      <c r="BF17" s="289">
        <f>IFERROR(_xlfn.XLOOKUP(A17,CFR20242025_BenchMarkDataReport!B:B,CFR20242025_BenchMarkDataReport!Q:Q),0)</f>
        <v>295856.69</v>
      </c>
      <c r="BG17" s="290">
        <f t="shared" si="0"/>
        <v>272995.00000000099</v>
      </c>
      <c r="BH17" s="292">
        <f>_xlfn.XLOOKUP(A17,'Pupil on roll 24-25'!E:E,'Pupil on roll 24-25'!I:I)</f>
        <v>414</v>
      </c>
      <c r="BI17" s="291">
        <f t="shared" si="1"/>
        <v>2765242.74</v>
      </c>
      <c r="BJ17" t="s">
        <v>190</v>
      </c>
      <c r="BK17" s="293">
        <f t="shared" si="34"/>
        <v>0.81473938217050168</v>
      </c>
      <c r="BL17" s="294">
        <f t="shared" si="35"/>
        <v>6329.1471256038649</v>
      </c>
      <c r="BM17" s="295">
        <f t="shared" si="36"/>
        <v>0</v>
      </c>
      <c r="BN17" s="296">
        <f t="shared" si="37"/>
        <v>0</v>
      </c>
      <c r="BO17" s="293">
        <f t="shared" si="38"/>
        <v>4.5078429877914869E-2</v>
      </c>
      <c r="BP17" s="294">
        <f t="shared" si="39"/>
        <v>350.1831642512077</v>
      </c>
      <c r="BQ17" s="295">
        <f t="shared" si="40"/>
        <v>0</v>
      </c>
      <c r="BR17" s="296">
        <f t="shared" si="41"/>
        <v>0</v>
      </c>
      <c r="BS17" s="293">
        <f t="shared" si="42"/>
        <v>4.023221003048167E-2</v>
      </c>
      <c r="BT17" s="294">
        <f t="shared" si="43"/>
        <v>312.536231884058</v>
      </c>
      <c r="BU17" s="295">
        <f t="shared" si="44"/>
        <v>2.745457330607012E-3</v>
      </c>
      <c r="BV17" s="296">
        <f t="shared" si="45"/>
        <v>21.327560386473433</v>
      </c>
      <c r="BW17" s="293">
        <f t="shared" si="46"/>
        <v>2.8512951878355872E-2</v>
      </c>
      <c r="BX17" s="294">
        <f t="shared" si="47"/>
        <v>221.49741545893718</v>
      </c>
      <c r="BY17" s="295">
        <f t="shared" si="48"/>
        <v>1.7936028547301145E-2</v>
      </c>
      <c r="BZ17" s="297">
        <f t="shared" si="49"/>
        <v>139.33260869565217</v>
      </c>
      <c r="CA17" s="298">
        <f t="shared" si="50"/>
        <v>2.2898131711499636E-2</v>
      </c>
      <c r="CB17" s="299">
        <f t="shared" si="51"/>
        <v>177.87975845410628</v>
      </c>
      <c r="CC17" s="295">
        <f t="shared" si="52"/>
        <v>2.3080397086533777E-3</v>
      </c>
      <c r="CD17" s="296">
        <f t="shared" si="53"/>
        <v>17.929565217391303</v>
      </c>
      <c r="CE17" s="300">
        <f t="shared" si="54"/>
        <v>0.53071605207432881</v>
      </c>
      <c r="CF17" s="298">
        <f t="shared" si="55"/>
        <v>0.45631911471352293</v>
      </c>
      <c r="CG17" s="298">
        <f t="shared" si="56"/>
        <v>0.45309823961811924</v>
      </c>
      <c r="CH17" s="299">
        <f t="shared" si="57"/>
        <v>3544.827801932367</v>
      </c>
      <c r="CI17" s="295">
        <f t="shared" si="58"/>
        <v>0.22652972592199988</v>
      </c>
      <c r="CJ17" s="301">
        <f t="shared" si="59"/>
        <v>0.19477429330618143</v>
      </c>
      <c r="CK17" s="301">
        <f t="shared" si="60"/>
        <v>0.19339950173969492</v>
      </c>
      <c r="CL17" s="302">
        <f t="shared" si="61"/>
        <v>1513.0668599033818</v>
      </c>
      <c r="CM17" s="300">
        <f t="shared" si="62"/>
        <v>1.8436164486594041E-2</v>
      </c>
      <c r="CN17" s="298">
        <f t="shared" si="63"/>
        <v>1.5851742611428007E-2</v>
      </c>
      <c r="CO17" s="298">
        <f t="shared" si="64"/>
        <v>1.5739854940388955E-2</v>
      </c>
      <c r="CP17" s="299">
        <f t="shared" si="65"/>
        <v>123.14123188405797</v>
      </c>
      <c r="CQ17" s="295">
        <f t="shared" si="66"/>
        <v>6.1936761472159214E-2</v>
      </c>
      <c r="CR17" s="301">
        <f t="shared" si="67"/>
        <v>5.3254330734356599E-2</v>
      </c>
      <c r="CS17" s="301">
        <f t="shared" si="68"/>
        <v>5.2878441270045283E-2</v>
      </c>
      <c r="CT17" s="296">
        <f t="shared" si="69"/>
        <v>413.6960869565217</v>
      </c>
      <c r="CU17" s="300">
        <f t="shared" si="70"/>
        <v>0.7667489943396435</v>
      </c>
      <c r="CV17" s="298">
        <f t="shared" si="71"/>
        <v>0.65926444270343598</v>
      </c>
      <c r="CW17" s="298">
        <f t="shared" si="72"/>
        <v>0.65461110174899928</v>
      </c>
      <c r="CX17" s="299">
        <f t="shared" si="73"/>
        <v>5121.3697826086964</v>
      </c>
      <c r="CY17" s="295">
        <f t="shared" si="74"/>
        <v>7.893115379809296E-3</v>
      </c>
      <c r="CZ17" s="301">
        <f t="shared" si="75"/>
        <v>6.7387384830662929E-3</v>
      </c>
      <c r="DA17" s="296">
        <f t="shared" si="76"/>
        <v>52.720724637681165</v>
      </c>
      <c r="DB17" s="300">
        <f t="shared" si="77"/>
        <v>2.3171149918315602E-4</v>
      </c>
      <c r="DC17" s="299">
        <f t="shared" si="78"/>
        <v>1.8128019323671498</v>
      </c>
      <c r="DD17" s="295">
        <f t="shared" si="79"/>
        <v>1.0529965264459928E-2</v>
      </c>
      <c r="DE17" s="301">
        <f t="shared" si="80"/>
        <v>8.989946141479294E-3</v>
      </c>
      <c r="DF17" s="296">
        <f t="shared" si="81"/>
        <v>70.333115942028982</v>
      </c>
      <c r="DG17" s="300">
        <f t="shared" si="82"/>
        <v>4.9539665367677628E-3</v>
      </c>
      <c r="DH17" s="298">
        <f t="shared" si="83"/>
        <v>4.229443424903557E-3</v>
      </c>
      <c r="DI17" s="303">
        <f t="shared" si="84"/>
        <v>33.089178743961355</v>
      </c>
      <c r="DJ17" s="295">
        <f t="shared" si="85"/>
        <v>4.0924490412006284E-2</v>
      </c>
      <c r="DK17" s="301">
        <f t="shared" si="86"/>
        <v>3.5187605805247643E-2</v>
      </c>
      <c r="DL17" s="301">
        <f t="shared" si="87"/>
        <v>3.4939238205577497E-2</v>
      </c>
      <c r="DM17" s="296">
        <f t="shared" si="88"/>
        <v>273.34818840579709</v>
      </c>
      <c r="DN17" s="300">
        <f t="shared" si="89"/>
        <v>2.6490079492985123E-3</v>
      </c>
      <c r="DO17" s="298">
        <f t="shared" si="90"/>
        <v>2.2615875925935981E-3</v>
      </c>
      <c r="DP17" s="299">
        <f t="shared" si="91"/>
        <v>17.693599033816426</v>
      </c>
      <c r="DQ17" s="295">
        <f t="shared" si="92"/>
        <v>0.10113227889715026</v>
      </c>
      <c r="DR17" s="301">
        <f t="shared" si="93"/>
        <v>8.6341570709547302E-2</v>
      </c>
      <c r="DS17" s="296">
        <f t="shared" si="94"/>
        <v>675.49589371980676</v>
      </c>
      <c r="DT17" s="300">
        <f t="shared" si="95"/>
        <v>5.4336084127038616E-2</v>
      </c>
      <c r="DU17" s="299">
        <f t="shared" si="96"/>
        <v>425.09999999999997</v>
      </c>
      <c r="DV17" s="295">
        <f t="shared" si="25"/>
        <v>1.8860599750127015E-2</v>
      </c>
      <c r="DW17" s="296">
        <f t="shared" si="97"/>
        <v>147.55647342995169</v>
      </c>
      <c r="DX17" s="295">
        <f t="shared" si="103"/>
        <v>2.8568920499181925E-5</v>
      </c>
      <c r="DY17" s="301">
        <f t="shared" si="98"/>
        <v>2.4564066716191759E-5</v>
      </c>
      <c r="DZ17" s="301">
        <f t="shared" si="99"/>
        <v>2.439068412454274E-5</v>
      </c>
      <c r="EA17" s="296">
        <f t="shared" si="100"/>
        <v>0.19082125603864733</v>
      </c>
      <c r="EB17" s="304">
        <f>IFERROR(_xlfn.XLOOKUP(A17,'Pupil on roll 24-25'!E:E,'Pupil on roll 24-25'!R:R),0)</f>
        <v>79</v>
      </c>
      <c r="EC17" s="289">
        <f>IFERROR(_xlfn.XLOOKUP(A17,CFR20242025_BenchMarkDataReport!B:B,CFR20242025_BenchMarkDataReport!AK:AK),0)</f>
        <v>2875.63</v>
      </c>
      <c r="ED17" s="289">
        <f>IFERROR(_xlfn.XLOOKUP(A17,CFR20242025_BenchMarkDataReport!B:B,CFR20242025_BenchMarkDataReport!AL:AL),0)</f>
        <v>75161</v>
      </c>
    </row>
    <row r="18" spans="1:134" ht="12.75" customHeight="1">
      <c r="A18" s="322">
        <v>2008</v>
      </c>
      <c r="B18" s="323">
        <v>10047</v>
      </c>
      <c r="C18" s="322" t="s">
        <v>41</v>
      </c>
      <c r="D18" s="289">
        <f>IFERROR(_xlfn.XLOOKUP($A18,CFR20242025_BenchMarkDataReport!$B:$B,CFR20242025_BenchMarkDataReport!T:T),0)</f>
        <v>1740040.66</v>
      </c>
      <c r="E18" s="289">
        <f>IFERROR(_xlfn.XLOOKUP($A18,CFR20242025_BenchMarkDataReport!$B:$B,CFR20242025_BenchMarkDataReport!U:U),0)</f>
        <v>0</v>
      </c>
      <c r="F18" s="289">
        <f>IFERROR(_xlfn.XLOOKUP($A18,CFR20242025_BenchMarkDataReport!$B:$B,CFR20242025_BenchMarkDataReport!V:V),0)</f>
        <v>126424.48</v>
      </c>
      <c r="G18" s="289">
        <f>IFERROR(_xlfn.XLOOKUP($A18,CFR20242025_BenchMarkDataReport!$B:$B,CFR20242025_BenchMarkDataReport!W:W),0)</f>
        <v>0</v>
      </c>
      <c r="H18" s="289">
        <f>IFERROR(_xlfn.XLOOKUP($A18,CFR20242025_BenchMarkDataReport!$B:$B,CFR20242025_BenchMarkDataReport!X:X),0)</f>
        <v>41440</v>
      </c>
      <c r="I18" s="289">
        <f>IFERROR(_xlfn.XLOOKUP($A18,CFR20242025_BenchMarkDataReport!$B:$B,CFR20242025_BenchMarkDataReport!Y:Y),0)</f>
        <v>2914.81</v>
      </c>
      <c r="J18" s="289">
        <f>IFERROR(_xlfn.XLOOKUP($A18,CFR20242025_BenchMarkDataReport!$B:$B,CFR20242025_BenchMarkDataReport!Z:Z),0)</f>
        <v>2205.9499999999998</v>
      </c>
      <c r="K18" s="289">
        <f>IFERROR(_xlfn.XLOOKUP($A18,CFR20242025_BenchMarkDataReport!$B:$B,CFR20242025_BenchMarkDataReport!AA:AA),0)</f>
        <v>46173.43</v>
      </c>
      <c r="L18" s="289">
        <f>IFERROR(_xlfn.XLOOKUP($A18,CFR20242025_BenchMarkDataReport!$B:$B,CFR20242025_BenchMarkDataReport!AB:AB),0)</f>
        <v>11622.17</v>
      </c>
      <c r="M18" s="289">
        <f>IFERROR(_xlfn.XLOOKUP($A18,CFR20242025_BenchMarkDataReport!$B:$B,CFR20242025_BenchMarkDataReport!AC:AC),0)</f>
        <v>14092.74</v>
      </c>
      <c r="N18" s="289">
        <f>IFERROR(_xlfn.XLOOKUP($A18,CFR20242025_BenchMarkDataReport!$B:$B,CFR20242025_BenchMarkDataReport!AD:AD),0)</f>
        <v>0</v>
      </c>
      <c r="O18" s="289">
        <f>IFERROR(_xlfn.XLOOKUP($A18,CFR20242025_BenchMarkDataReport!$B:$B,CFR20242025_BenchMarkDataReport!AE:AE),0)</f>
        <v>22523.05</v>
      </c>
      <c r="P18" s="289">
        <f>IFERROR(_xlfn.XLOOKUP($A18,CFR20242025_BenchMarkDataReport!$B:$B,CFR20242025_BenchMarkDataReport!AF:AF),0)</f>
        <v>119382.36</v>
      </c>
      <c r="Q18" s="289">
        <f>IFERROR(_xlfn.XLOOKUP($A18,CFR20242025_BenchMarkDataReport!$B:$B,CFR20242025_BenchMarkDataReport!AG:AG),0)</f>
        <v>15497.93</v>
      </c>
      <c r="R18" s="289">
        <f>IFERROR(_xlfn.XLOOKUP($A18,CFR20242025_BenchMarkDataReport!$B:$B,CFR20242025_BenchMarkDataReport!AH:AH),0)</f>
        <v>0</v>
      </c>
      <c r="S18" s="289">
        <f>IFERROR(_xlfn.XLOOKUP($A18,CFR20242025_BenchMarkDataReport!$B:$B,CFR20242025_BenchMarkDataReport!AI:AI),0)</f>
        <v>0</v>
      </c>
      <c r="T18" s="289">
        <f>IFERROR(_xlfn.XLOOKUP($A18,CFR20242025_BenchMarkDataReport!$B:$B,CFR20242025_BenchMarkDataReport!AJ:AJ),0)</f>
        <v>0</v>
      </c>
      <c r="U18" s="289">
        <f>INDEX(CFR20242025_BenchMarkDataReport!$B$3:$AM$87,MATCH(A18,CFR20242025_BenchMarkDataReport!$B$3:$B$87),MATCH($U$2,CFR20242025_BenchMarkDataReport!$B$3:$AM$3,0))</f>
        <v>127897</v>
      </c>
      <c r="V18" s="289">
        <f>IFERROR(_xlfn.XLOOKUP($A18,CFR20242025_BenchMarkDataReport!$B:$B,CFR20242025_BenchMarkDataReport!AN:AN),0)</f>
        <v>1005556.64</v>
      </c>
      <c r="W18" s="289">
        <f>IFERROR(_xlfn.XLOOKUP($A18,CFR20242025_BenchMarkDataReport!$B:$B,CFR20242025_BenchMarkDataReport!AO:AO),0)</f>
        <v>0</v>
      </c>
      <c r="X18" s="289">
        <f>IFERROR(_xlfn.XLOOKUP($A18,CFR20242025_BenchMarkDataReport!$B:$B,CFR20242025_BenchMarkDataReport!AP:AP),0)</f>
        <v>460161.97</v>
      </c>
      <c r="Y18" s="289">
        <f>IFERROR(_xlfn.XLOOKUP($A18,CFR20242025_BenchMarkDataReport!$B:$B,CFR20242025_BenchMarkDataReport!AQ:AQ),0)</f>
        <v>30894.63</v>
      </c>
      <c r="Z18" s="289">
        <f>IFERROR(_xlfn.XLOOKUP($A18,CFR20242025_BenchMarkDataReport!$B:$B,CFR20242025_BenchMarkDataReport!AR:AR),0)</f>
        <v>36505.18</v>
      </c>
      <c r="AA18" s="289">
        <f>IFERROR(_xlfn.XLOOKUP($A18,CFR20242025_BenchMarkDataReport!$B:$B,CFR20242025_BenchMarkDataReport!AS:AS),0)</f>
        <v>0</v>
      </c>
      <c r="AB18" s="289">
        <f>IFERROR(_xlfn.XLOOKUP($A18,CFR20242025_BenchMarkDataReport!$B:$B,CFR20242025_BenchMarkDataReport!AT:AT),0)</f>
        <v>17052.68</v>
      </c>
      <c r="AC18" s="289">
        <f>IFERROR(_xlfn.XLOOKUP($A18,CFR20242025_BenchMarkDataReport!$B:$B,CFR20242025_BenchMarkDataReport!AU:AU),0)</f>
        <v>7042.66</v>
      </c>
      <c r="AD18" s="289">
        <f>IFERROR(_xlfn.XLOOKUP($A18,CFR20242025_BenchMarkDataReport!$B:$B,CFR20242025_BenchMarkDataReport!AV:AV),0)</f>
        <v>4080</v>
      </c>
      <c r="AE18" s="289">
        <f>IFERROR(_xlfn.XLOOKUP($A18,CFR20242025_BenchMarkDataReport!$B:$B,CFR20242025_BenchMarkDataReport!AW:AW),0)</f>
        <v>21660.41</v>
      </c>
      <c r="AF18" s="289">
        <f>IFERROR(_xlfn.XLOOKUP($A18,CFR20242025_BenchMarkDataReport!$B:$B,CFR20242025_BenchMarkDataReport!AX:AX),0)</f>
        <v>0</v>
      </c>
      <c r="AG18" s="289">
        <f>IFERROR(_xlfn.XLOOKUP($A18,CFR20242025_BenchMarkDataReport!$B:$B,CFR20242025_BenchMarkDataReport!AY:AY),0)</f>
        <v>18857.57</v>
      </c>
      <c r="AH18" s="289">
        <f>IFERROR(_xlfn.XLOOKUP($A18,CFR20242025_BenchMarkDataReport!$B:$B,CFR20242025_BenchMarkDataReport!AZ:AZ),0)</f>
        <v>5278.06</v>
      </c>
      <c r="AI18" s="289">
        <f>IFERROR(_xlfn.XLOOKUP($A18,CFR20242025_BenchMarkDataReport!$B:$B,CFR20242025_BenchMarkDataReport!BA:BA),0)</f>
        <v>49302.559999999998</v>
      </c>
      <c r="AJ18" s="289">
        <f>IFERROR(_xlfn.XLOOKUP($A18,CFR20242025_BenchMarkDataReport!$B:$B,CFR20242025_BenchMarkDataReport!BB:BB),0)</f>
        <v>4675.79</v>
      </c>
      <c r="AK18" s="289">
        <f>IFERROR(_xlfn.XLOOKUP($A18,CFR20242025_BenchMarkDataReport!$B:$B,CFR20242025_BenchMarkDataReport!BC:BC),0)</f>
        <v>52807.12</v>
      </c>
      <c r="AL18" s="289">
        <f>IFERROR(_xlfn.XLOOKUP($A18,CFR20242025_BenchMarkDataReport!$B:$B,CFR20242025_BenchMarkDataReport!BD:BD),0)</f>
        <v>4016.6</v>
      </c>
      <c r="AM18" s="289">
        <f>IFERROR(_xlfn.XLOOKUP($A18,CFR20242025_BenchMarkDataReport!$B:$B,CFR20242025_BenchMarkDataReport!BE:BE),0)</f>
        <v>10275.32</v>
      </c>
      <c r="AN18" s="289">
        <f>IFERROR(_xlfn.XLOOKUP($A18,CFR20242025_BenchMarkDataReport!$B:$B,CFR20242025_BenchMarkDataReport!BF:BF),0)</f>
        <v>53359.71</v>
      </c>
      <c r="AO18" s="289">
        <f>IFERROR(_xlfn.XLOOKUP($A18,CFR20242025_BenchMarkDataReport!$B:$B,CFR20242025_BenchMarkDataReport!BN:BN),0)</f>
        <v>20229.46</v>
      </c>
      <c r="AP18" s="289">
        <f>IFERROR(_xlfn.XLOOKUP($A18,CFR20242025_BenchMarkDataReport!$B:$B,CFR20242025_BenchMarkDataReport!BO:BO),0)</f>
        <v>0</v>
      </c>
      <c r="AQ18" s="289">
        <f>IFERROR(_xlfn.XLOOKUP($A18,CFR20242025_BenchMarkDataReport!$B:$B,CFR20242025_BenchMarkDataReport!BP:BP),0)</f>
        <v>12029.82</v>
      </c>
      <c r="AR18" s="289">
        <f>IFERROR(_xlfn.XLOOKUP($A18,CFR20242025_BenchMarkDataReport!$B:$B,CFR20242025_BenchMarkDataReport!BQ:BQ),0)</f>
        <v>10631.4</v>
      </c>
      <c r="AS18" s="289">
        <f>IFERROR(_xlfn.XLOOKUP($A18,CFR20242025_BenchMarkDataReport!$B:$B,CFR20242025_BenchMarkDataReport!BR:BR),0)</f>
        <v>11004.74</v>
      </c>
      <c r="AT18" s="289">
        <f>IFERROR(_xlfn.XLOOKUP($A18,CFR20242025_BenchMarkDataReport!$B:$B,CFR20242025_BenchMarkDataReport!BS:BS),0)</f>
        <v>104263.41</v>
      </c>
      <c r="AU18" s="289">
        <f>IFERROR(_xlfn.XLOOKUP($A18,CFR20242025_BenchMarkDataReport!$B:$B,CFR20242025_BenchMarkDataReport!BT:BT),0)</f>
        <v>98518.02</v>
      </c>
      <c r="AV18" s="289">
        <f>IFERROR(_xlfn.XLOOKUP($A18,CFR20242025_BenchMarkDataReport!$B:$B,CFR20242025_BenchMarkDataReport!BU:BU),0)</f>
        <v>325546.36</v>
      </c>
      <c r="AW18" s="289">
        <f>IFERROR(_xlfn.XLOOKUP($A18,CFR20242025_BenchMarkDataReport!$B:$B,CFR20242025_BenchMarkDataReport!BV:BV),0)</f>
        <v>33704.959999999999</v>
      </c>
      <c r="AX18" s="289">
        <f>IFERROR(_xlfn.XLOOKUP($A18,CFR20242025_BenchMarkDataReport!$B:$B,CFR20242025_BenchMarkDataReport!BW:BW),0)</f>
        <v>0</v>
      </c>
      <c r="AY18" s="289">
        <f>IFERROR(_xlfn.XLOOKUP($A18,CFR20242025_BenchMarkDataReport!$B:$B,CFR20242025_BenchMarkDataReport!BX:BX),0)</f>
        <v>0</v>
      </c>
      <c r="AZ18" s="289">
        <f>IFERROR(_xlfn.XLOOKUP($A18,CFR20242025_BenchMarkDataReport!$B:$B,CFR20242025_BenchMarkDataReport!BY:BY),0)</f>
        <v>0</v>
      </c>
      <c r="BA18" s="289">
        <f>IFERROR(_xlfn.XLOOKUP($A18,CFR20242025_BenchMarkDataReport!$B:$B,CFR20242025_BenchMarkDataReport!BZ:BZ),0)</f>
        <v>0</v>
      </c>
      <c r="BB18" s="289">
        <f>IFERROR(_xlfn.XLOOKUP($A18,CFR20242025_BenchMarkDataReport!$B:$B,CFR20242025_BenchMarkDataReport!CA:CA),0)</f>
        <v>0</v>
      </c>
      <c r="BC18" s="290">
        <f t="shared" si="33"/>
        <v>2270214.58</v>
      </c>
      <c r="BD18" s="291">
        <f t="shared" si="101"/>
        <v>2397455.0699999998</v>
      </c>
      <c r="BE18" s="325">
        <f t="shared" si="102"/>
        <v>-127240.48999999976</v>
      </c>
      <c r="BF18" s="289">
        <f>IFERROR(_xlfn.XLOOKUP(A18,CFR20242025_BenchMarkDataReport!B:B,CFR20242025_BenchMarkDataReport!Q:Q),0)</f>
        <v>34078.49</v>
      </c>
      <c r="BG18" s="290">
        <f t="shared" si="0"/>
        <v>-93161.999999999767</v>
      </c>
      <c r="BH18" s="292">
        <f>_xlfn.XLOOKUP(A18,'Pupil on roll 24-25'!E:E,'Pupil on roll 24-25'!I:I)</f>
        <v>260</v>
      </c>
      <c r="BI18" s="291">
        <f t="shared" si="1"/>
        <v>1866465.14</v>
      </c>
      <c r="BJ18" t="s">
        <v>190</v>
      </c>
      <c r="BK18" s="293">
        <f t="shared" si="34"/>
        <v>0.76646528276635417</v>
      </c>
      <c r="BL18" s="294">
        <f t="shared" si="35"/>
        <v>6692.4640769230764</v>
      </c>
      <c r="BM18" s="295">
        <f t="shared" si="36"/>
        <v>0</v>
      </c>
      <c r="BN18" s="296">
        <f t="shared" si="37"/>
        <v>0</v>
      </c>
      <c r="BO18" s="293">
        <f t="shared" si="38"/>
        <v>5.568833938155749E-2</v>
      </c>
      <c r="BP18" s="294">
        <f t="shared" si="39"/>
        <v>486.24799999999999</v>
      </c>
      <c r="BQ18" s="295">
        <f t="shared" si="40"/>
        <v>0</v>
      </c>
      <c r="BR18" s="296">
        <f t="shared" si="41"/>
        <v>0</v>
      </c>
      <c r="BS18" s="293">
        <f t="shared" si="42"/>
        <v>1.8253781102929925E-2</v>
      </c>
      <c r="BT18" s="294">
        <f t="shared" si="43"/>
        <v>159.38461538461539</v>
      </c>
      <c r="BU18" s="295">
        <f t="shared" si="44"/>
        <v>1.2839359000152311E-3</v>
      </c>
      <c r="BV18" s="296">
        <f t="shared" si="45"/>
        <v>11.210807692307693</v>
      </c>
      <c r="BW18" s="293">
        <f t="shared" si="46"/>
        <v>9.7169228822413772E-4</v>
      </c>
      <c r="BX18" s="294">
        <f t="shared" si="47"/>
        <v>8.4844230769230755</v>
      </c>
      <c r="BY18" s="295">
        <f t="shared" si="48"/>
        <v>2.5458210210243647E-2</v>
      </c>
      <c r="BZ18" s="297">
        <f t="shared" si="49"/>
        <v>222.29076923076923</v>
      </c>
      <c r="CA18" s="298">
        <f t="shared" si="50"/>
        <v>5.2586377099207951E-2</v>
      </c>
      <c r="CB18" s="299">
        <f t="shared" si="51"/>
        <v>459.16292307692311</v>
      </c>
      <c r="CC18" s="295">
        <f t="shared" si="52"/>
        <v>6.8266366256884842E-3</v>
      </c>
      <c r="CD18" s="296">
        <f t="shared" si="53"/>
        <v>59.607423076923077</v>
      </c>
      <c r="CE18" s="300">
        <f t="shared" si="54"/>
        <v>0.59153243012082191</v>
      </c>
      <c r="CF18" s="298">
        <f t="shared" si="55"/>
        <v>0.48633053004179011</v>
      </c>
      <c r="CG18" s="298">
        <f t="shared" si="56"/>
        <v>0.46051943738824686</v>
      </c>
      <c r="CH18" s="299">
        <f t="shared" si="57"/>
        <v>4246.4409999999998</v>
      </c>
      <c r="CI18" s="295">
        <f t="shared" si="58"/>
        <v>0.24654195791730671</v>
      </c>
      <c r="CJ18" s="301">
        <f t="shared" si="59"/>
        <v>0.20269536371315172</v>
      </c>
      <c r="CK18" s="301">
        <f t="shared" si="60"/>
        <v>0.19193768248595375</v>
      </c>
      <c r="CL18" s="302">
        <f t="shared" si="61"/>
        <v>1769.8537307692307</v>
      </c>
      <c r="CM18" s="300">
        <f t="shared" si="62"/>
        <v>1.6552481660600422E-2</v>
      </c>
      <c r="CN18" s="298">
        <f t="shared" si="63"/>
        <v>1.3608682752799518E-2</v>
      </c>
      <c r="CO18" s="298">
        <f t="shared" si="64"/>
        <v>1.2886427106223102E-2</v>
      </c>
      <c r="CP18" s="299">
        <f t="shared" si="65"/>
        <v>118.82550000000001</v>
      </c>
      <c r="CQ18" s="295">
        <f t="shared" si="66"/>
        <v>1.9558457973664595E-2</v>
      </c>
      <c r="CR18" s="301">
        <f t="shared" si="67"/>
        <v>1.6080057066676048E-2</v>
      </c>
      <c r="CS18" s="301">
        <f t="shared" si="68"/>
        <v>1.5226637803060061E-2</v>
      </c>
      <c r="CT18" s="296">
        <f t="shared" si="69"/>
        <v>140.40453846153846</v>
      </c>
      <c r="CU18" s="300">
        <f t="shared" si="70"/>
        <v>0.83053846909779394</v>
      </c>
      <c r="CV18" s="298">
        <f t="shared" si="71"/>
        <v>0.68283021070193262</v>
      </c>
      <c r="CW18" s="298">
        <f t="shared" si="72"/>
        <v>0.64659026123063057</v>
      </c>
      <c r="CX18" s="299">
        <f t="shared" si="73"/>
        <v>5962.1965384615369</v>
      </c>
      <c r="CY18" s="295">
        <f t="shared" si="74"/>
        <v>1.010336040886357E-2</v>
      </c>
      <c r="CZ18" s="301">
        <f t="shared" si="75"/>
        <v>7.8656614824485528E-3</v>
      </c>
      <c r="DA18" s="296">
        <f t="shared" si="76"/>
        <v>72.52911538461538</v>
      </c>
      <c r="DB18" s="300">
        <f t="shared" si="77"/>
        <v>1.9503139218371255E-3</v>
      </c>
      <c r="DC18" s="299">
        <f t="shared" si="78"/>
        <v>17.983807692307693</v>
      </c>
      <c r="DD18" s="295">
        <f t="shared" si="79"/>
        <v>2.8292583058904603E-2</v>
      </c>
      <c r="DE18" s="301">
        <f t="shared" si="80"/>
        <v>2.2026323104357492E-2</v>
      </c>
      <c r="DF18" s="296">
        <f t="shared" si="81"/>
        <v>203.10430769230771</v>
      </c>
      <c r="DG18" s="300">
        <f t="shared" si="82"/>
        <v>5.5052300628556077E-3</v>
      </c>
      <c r="DH18" s="298">
        <f t="shared" si="83"/>
        <v>4.2859280778930302E-3</v>
      </c>
      <c r="DI18" s="303">
        <f t="shared" si="84"/>
        <v>39.520461538461539</v>
      </c>
      <c r="DJ18" s="295">
        <f t="shared" si="85"/>
        <v>2.8588645379147022E-2</v>
      </c>
      <c r="DK18" s="301">
        <f t="shared" si="86"/>
        <v>2.350425835076788E-2</v>
      </c>
      <c r="DL18" s="301">
        <f t="shared" si="87"/>
        <v>2.2256813346662636E-2</v>
      </c>
      <c r="DM18" s="296">
        <f t="shared" si="88"/>
        <v>205.22965384615384</v>
      </c>
      <c r="DN18" s="300">
        <f t="shared" si="89"/>
        <v>6.4452422615297279E-3</v>
      </c>
      <c r="DO18" s="298">
        <f t="shared" si="90"/>
        <v>5.0177457548766496E-3</v>
      </c>
      <c r="DP18" s="299">
        <f t="shared" si="91"/>
        <v>46.268538461538462</v>
      </c>
      <c r="DQ18" s="295">
        <f t="shared" si="92"/>
        <v>0.17441866607806025</v>
      </c>
      <c r="DR18" s="301">
        <f t="shared" si="93"/>
        <v>0.1357883048878159</v>
      </c>
      <c r="DS18" s="296">
        <f t="shared" si="94"/>
        <v>1252.1013846153846</v>
      </c>
      <c r="DT18" s="300">
        <f t="shared" si="95"/>
        <v>4.3489202907147709E-2</v>
      </c>
      <c r="DU18" s="299">
        <f t="shared" si="96"/>
        <v>401.01311538461539</v>
      </c>
      <c r="DV18" s="295">
        <f t="shared" si="25"/>
        <v>2.0564539714189513E-2</v>
      </c>
      <c r="DW18" s="296">
        <f t="shared" si="97"/>
        <v>189.62523076923077</v>
      </c>
      <c r="DX18" s="295">
        <f t="shared" si="103"/>
        <v>1.5001619585565902E-5</v>
      </c>
      <c r="DY18" s="301">
        <f t="shared" si="98"/>
        <v>1.2333635880358058E-5</v>
      </c>
      <c r="DZ18" s="301">
        <f t="shared" si="99"/>
        <v>1.1679050986344451E-5</v>
      </c>
      <c r="EA18" s="296">
        <f t="shared" si="100"/>
        <v>0.1076923076923077</v>
      </c>
      <c r="EB18" s="304">
        <f>IFERROR(_xlfn.XLOOKUP(A18,'Pupil on roll 24-25'!E:E,'Pupil on roll 24-25'!R:R),0)</f>
        <v>28</v>
      </c>
      <c r="EC18" s="289">
        <f>IFERROR(_xlfn.XLOOKUP(A18,CFR20242025_BenchMarkDataReport!B:B,CFR20242025_BenchMarkDataReport!AK:AK),0)</f>
        <v>12151</v>
      </c>
      <c r="ED18" s="289">
        <f>IFERROR(_xlfn.XLOOKUP(A18,CFR20242025_BenchMarkDataReport!B:B,CFR20242025_BenchMarkDataReport!AL:AL),0)</f>
        <v>115746</v>
      </c>
    </row>
    <row r="19" spans="1:134">
      <c r="A19" s="322">
        <v>2007</v>
      </c>
      <c r="B19" s="323">
        <v>10046</v>
      </c>
      <c r="C19" s="322" t="s">
        <v>42</v>
      </c>
      <c r="D19" s="289">
        <f>IFERROR(_xlfn.XLOOKUP($A19,CFR20242025_BenchMarkDataReport!$B:$B,CFR20242025_BenchMarkDataReport!T:T),0)</f>
        <v>1920869.46</v>
      </c>
      <c r="E19" s="289">
        <f>IFERROR(_xlfn.XLOOKUP($A19,CFR20242025_BenchMarkDataReport!$B:$B,CFR20242025_BenchMarkDataReport!U:U),0)</f>
        <v>0</v>
      </c>
      <c r="F19" s="289">
        <f>IFERROR(_xlfn.XLOOKUP($A19,CFR20242025_BenchMarkDataReport!$B:$B,CFR20242025_BenchMarkDataReport!V:V),0)</f>
        <v>157213.07999999999</v>
      </c>
      <c r="G19" s="289">
        <f>IFERROR(_xlfn.XLOOKUP($A19,CFR20242025_BenchMarkDataReport!$B:$B,CFR20242025_BenchMarkDataReport!W:W),0)</f>
        <v>0</v>
      </c>
      <c r="H19" s="289">
        <f>IFERROR(_xlfn.XLOOKUP($A19,CFR20242025_BenchMarkDataReport!$B:$B,CFR20242025_BenchMarkDataReport!X:X),0)</f>
        <v>106730</v>
      </c>
      <c r="I19" s="289">
        <f>IFERROR(_xlfn.XLOOKUP($A19,CFR20242025_BenchMarkDataReport!$B:$B,CFR20242025_BenchMarkDataReport!Y:Y),0)</f>
        <v>2114.81</v>
      </c>
      <c r="J19" s="289">
        <f>IFERROR(_xlfn.XLOOKUP($A19,CFR20242025_BenchMarkDataReport!$B:$B,CFR20242025_BenchMarkDataReport!Z:Z),0)</f>
        <v>167586.47</v>
      </c>
      <c r="K19" s="289">
        <f>IFERROR(_xlfn.XLOOKUP($A19,CFR20242025_BenchMarkDataReport!$B:$B,CFR20242025_BenchMarkDataReport!AA:AA),0)</f>
        <v>49397.98</v>
      </c>
      <c r="L19" s="289">
        <f>IFERROR(_xlfn.XLOOKUP($A19,CFR20242025_BenchMarkDataReport!$B:$B,CFR20242025_BenchMarkDataReport!AB:AB),0)</f>
        <v>69747.38</v>
      </c>
      <c r="M19" s="289">
        <f>IFERROR(_xlfn.XLOOKUP($A19,CFR20242025_BenchMarkDataReport!$B:$B,CFR20242025_BenchMarkDataReport!AC:AC),0)</f>
        <v>0</v>
      </c>
      <c r="N19" s="289">
        <f>IFERROR(_xlfn.XLOOKUP($A19,CFR20242025_BenchMarkDataReport!$B:$B,CFR20242025_BenchMarkDataReport!AD:AD),0)</f>
        <v>4440</v>
      </c>
      <c r="O19" s="289">
        <f>IFERROR(_xlfn.XLOOKUP($A19,CFR20242025_BenchMarkDataReport!$B:$B,CFR20242025_BenchMarkDataReport!AE:AE),0)</f>
        <v>3200</v>
      </c>
      <c r="P19" s="289">
        <f>IFERROR(_xlfn.XLOOKUP($A19,CFR20242025_BenchMarkDataReport!$B:$B,CFR20242025_BenchMarkDataReport!AF:AF),0)</f>
        <v>94782.59</v>
      </c>
      <c r="Q19" s="289">
        <f>IFERROR(_xlfn.XLOOKUP($A19,CFR20242025_BenchMarkDataReport!$B:$B,CFR20242025_BenchMarkDataReport!AG:AG),0)</f>
        <v>30877.94</v>
      </c>
      <c r="R19" s="289">
        <f>IFERROR(_xlfn.XLOOKUP($A19,CFR20242025_BenchMarkDataReport!$B:$B,CFR20242025_BenchMarkDataReport!AH:AH),0)</f>
        <v>0</v>
      </c>
      <c r="S19" s="289">
        <f>IFERROR(_xlfn.XLOOKUP($A19,CFR20242025_BenchMarkDataReport!$B:$B,CFR20242025_BenchMarkDataReport!AI:AI),0)</f>
        <v>0</v>
      </c>
      <c r="T19" s="289">
        <f>IFERROR(_xlfn.XLOOKUP($A19,CFR20242025_BenchMarkDataReport!$B:$B,CFR20242025_BenchMarkDataReport!AJ:AJ),0)</f>
        <v>0</v>
      </c>
      <c r="U19" s="289">
        <f>INDEX(CFR20242025_BenchMarkDataReport!$B$3:$AM$87,MATCH(A19,CFR20242025_BenchMarkDataReport!$B$3:$B$87),MATCH($U$2,CFR20242025_BenchMarkDataReport!$B$3:$AM$3,0))</f>
        <v>27014.13</v>
      </c>
      <c r="V19" s="289">
        <f>IFERROR(_xlfn.XLOOKUP($A19,CFR20242025_BenchMarkDataReport!$B:$B,CFR20242025_BenchMarkDataReport!AN:AN),0)</f>
        <v>1230210.44</v>
      </c>
      <c r="W19" s="289">
        <f>IFERROR(_xlfn.XLOOKUP($A19,CFR20242025_BenchMarkDataReport!$B:$B,CFR20242025_BenchMarkDataReport!AO:AO),0)</f>
        <v>0</v>
      </c>
      <c r="X19" s="289">
        <f>IFERROR(_xlfn.XLOOKUP($A19,CFR20242025_BenchMarkDataReport!$B:$B,CFR20242025_BenchMarkDataReport!AP:AP),0)</f>
        <v>465956.76</v>
      </c>
      <c r="Y19" s="289">
        <f>IFERROR(_xlfn.XLOOKUP($A19,CFR20242025_BenchMarkDataReport!$B:$B,CFR20242025_BenchMarkDataReport!AQ:AQ),0)</f>
        <v>41930.51</v>
      </c>
      <c r="Z19" s="289">
        <f>IFERROR(_xlfn.XLOOKUP($A19,CFR20242025_BenchMarkDataReport!$B:$B,CFR20242025_BenchMarkDataReport!AR:AR),0)</f>
        <v>123129.19</v>
      </c>
      <c r="AA19" s="289">
        <f>IFERROR(_xlfn.XLOOKUP($A19,CFR20242025_BenchMarkDataReport!$B:$B,CFR20242025_BenchMarkDataReport!AS:AS),0)</f>
        <v>0</v>
      </c>
      <c r="AB19" s="289">
        <f>IFERROR(_xlfn.XLOOKUP($A19,CFR20242025_BenchMarkDataReport!$B:$B,CFR20242025_BenchMarkDataReport!AT:AT),0)</f>
        <v>61825.34</v>
      </c>
      <c r="AC19" s="289">
        <f>IFERROR(_xlfn.XLOOKUP($A19,CFR20242025_BenchMarkDataReport!$B:$B,CFR20242025_BenchMarkDataReport!AU:AU),0)</f>
        <v>7780.33</v>
      </c>
      <c r="AD19" s="289">
        <f>IFERROR(_xlfn.XLOOKUP($A19,CFR20242025_BenchMarkDataReport!$B:$B,CFR20242025_BenchMarkDataReport!AV:AV),0)</f>
        <v>3686</v>
      </c>
      <c r="AE19" s="289">
        <f>IFERROR(_xlfn.XLOOKUP($A19,CFR20242025_BenchMarkDataReport!$B:$B,CFR20242025_BenchMarkDataReport!AW:AW),0)</f>
        <v>25380.94</v>
      </c>
      <c r="AF19" s="289">
        <f>IFERROR(_xlfn.XLOOKUP($A19,CFR20242025_BenchMarkDataReport!$B:$B,CFR20242025_BenchMarkDataReport!AX:AX),0)</f>
        <v>0</v>
      </c>
      <c r="AG19" s="289">
        <f>IFERROR(_xlfn.XLOOKUP($A19,CFR20242025_BenchMarkDataReport!$B:$B,CFR20242025_BenchMarkDataReport!AY:AY),0)</f>
        <v>62155.15</v>
      </c>
      <c r="AH19" s="289">
        <f>IFERROR(_xlfn.XLOOKUP($A19,CFR20242025_BenchMarkDataReport!$B:$B,CFR20242025_BenchMarkDataReport!AZ:AZ),0)</f>
        <v>6461.48</v>
      </c>
      <c r="AI19" s="289">
        <f>IFERROR(_xlfn.XLOOKUP($A19,CFR20242025_BenchMarkDataReport!$B:$B,CFR20242025_BenchMarkDataReport!BA:BA),0)</f>
        <v>56618.62</v>
      </c>
      <c r="AJ19" s="289">
        <f>IFERROR(_xlfn.XLOOKUP($A19,CFR20242025_BenchMarkDataReport!$B:$B,CFR20242025_BenchMarkDataReport!BB:BB),0)</f>
        <v>2661.81</v>
      </c>
      <c r="AK19" s="289">
        <f>IFERROR(_xlfn.XLOOKUP($A19,CFR20242025_BenchMarkDataReport!$B:$B,CFR20242025_BenchMarkDataReport!BC:BC),0)</f>
        <v>77101.09</v>
      </c>
      <c r="AL19" s="289">
        <f>IFERROR(_xlfn.XLOOKUP($A19,CFR20242025_BenchMarkDataReport!$B:$B,CFR20242025_BenchMarkDataReport!BD:BD),0)</f>
        <v>24099.599999999999</v>
      </c>
      <c r="AM19" s="289">
        <f>IFERROR(_xlfn.XLOOKUP($A19,CFR20242025_BenchMarkDataReport!$B:$B,CFR20242025_BenchMarkDataReport!BE:BE),0)</f>
        <v>9381.8799999999992</v>
      </c>
      <c r="AN19" s="289">
        <f>IFERROR(_xlfn.XLOOKUP($A19,CFR20242025_BenchMarkDataReport!$B:$B,CFR20242025_BenchMarkDataReport!BF:BF),0)</f>
        <v>115918.33</v>
      </c>
      <c r="AO19" s="289">
        <f>IFERROR(_xlfn.XLOOKUP($A19,CFR20242025_BenchMarkDataReport!$B:$B,CFR20242025_BenchMarkDataReport!BN:BN),0)</f>
        <v>14866.98</v>
      </c>
      <c r="AP19" s="289">
        <f>IFERROR(_xlfn.XLOOKUP($A19,CFR20242025_BenchMarkDataReport!$B:$B,CFR20242025_BenchMarkDataReport!BO:BO),0)</f>
        <v>0</v>
      </c>
      <c r="AQ19" s="289">
        <f>IFERROR(_xlfn.XLOOKUP($A19,CFR20242025_BenchMarkDataReport!$B:$B,CFR20242025_BenchMarkDataReport!BP:BP),0)</f>
        <v>23325.65</v>
      </c>
      <c r="AR19" s="289">
        <f>IFERROR(_xlfn.XLOOKUP($A19,CFR20242025_BenchMarkDataReport!$B:$B,CFR20242025_BenchMarkDataReport!BQ:BQ),0)</f>
        <v>14434.17</v>
      </c>
      <c r="AS19" s="289">
        <f>IFERROR(_xlfn.XLOOKUP($A19,CFR20242025_BenchMarkDataReport!$B:$B,CFR20242025_BenchMarkDataReport!BR:BR),0)</f>
        <v>6682.36</v>
      </c>
      <c r="AT19" s="289">
        <f>IFERROR(_xlfn.XLOOKUP($A19,CFR20242025_BenchMarkDataReport!$B:$B,CFR20242025_BenchMarkDataReport!BS:BS),0)</f>
        <v>114755.24</v>
      </c>
      <c r="AU19" s="289">
        <f>IFERROR(_xlfn.XLOOKUP($A19,CFR20242025_BenchMarkDataReport!$B:$B,CFR20242025_BenchMarkDataReport!BT:BT),0)</f>
        <v>26267.200000000001</v>
      </c>
      <c r="AV19" s="289">
        <f>IFERROR(_xlfn.XLOOKUP($A19,CFR20242025_BenchMarkDataReport!$B:$B,CFR20242025_BenchMarkDataReport!BU:BU),0)</f>
        <v>187784.57</v>
      </c>
      <c r="AW19" s="289">
        <f>IFERROR(_xlfn.XLOOKUP($A19,CFR20242025_BenchMarkDataReport!$B:$B,CFR20242025_BenchMarkDataReport!BV:BV),0)</f>
        <v>35455.29</v>
      </c>
      <c r="AX19" s="289">
        <f>IFERROR(_xlfn.XLOOKUP($A19,CFR20242025_BenchMarkDataReport!$B:$B,CFR20242025_BenchMarkDataReport!BW:BW),0)</f>
        <v>0</v>
      </c>
      <c r="AY19" s="289">
        <f>IFERROR(_xlfn.XLOOKUP($A19,CFR20242025_BenchMarkDataReport!$B:$B,CFR20242025_BenchMarkDataReport!BX:BX),0)</f>
        <v>0</v>
      </c>
      <c r="AZ19" s="289">
        <f>IFERROR(_xlfn.XLOOKUP($A19,CFR20242025_BenchMarkDataReport!$B:$B,CFR20242025_BenchMarkDataReport!BY:BY),0)</f>
        <v>0</v>
      </c>
      <c r="BA19" s="289">
        <f>IFERROR(_xlfn.XLOOKUP($A19,CFR20242025_BenchMarkDataReport!$B:$B,CFR20242025_BenchMarkDataReport!BZ:BZ),0)</f>
        <v>0</v>
      </c>
      <c r="BB19" s="289">
        <f>IFERROR(_xlfn.XLOOKUP($A19,CFR20242025_BenchMarkDataReport!$B:$B,CFR20242025_BenchMarkDataReport!CA:CA),0)</f>
        <v>0</v>
      </c>
      <c r="BC19" s="290">
        <f t="shared" si="33"/>
        <v>2633973.84</v>
      </c>
      <c r="BD19" s="291">
        <f t="shared" si="101"/>
        <v>2737868.93</v>
      </c>
      <c r="BE19" s="325">
        <f t="shared" si="102"/>
        <v>-103895.09000000032</v>
      </c>
      <c r="BF19" s="289">
        <f>IFERROR(_xlfn.XLOOKUP(A19,CFR20242025_BenchMarkDataReport!B:B,CFR20242025_BenchMarkDataReport!Q:Q),0)</f>
        <v>150290.09</v>
      </c>
      <c r="BG19" s="290">
        <f t="shared" si="0"/>
        <v>46394.99999999968</v>
      </c>
      <c r="BH19" s="292">
        <f>_xlfn.XLOOKUP(A19,'Pupil on roll 24-25'!E:E,'Pupil on roll 24-25'!I:I)</f>
        <v>353</v>
      </c>
      <c r="BI19" s="291">
        <f t="shared" si="1"/>
        <v>2078082.54</v>
      </c>
      <c r="BJ19" t="s">
        <v>190</v>
      </c>
      <c r="BK19" s="293">
        <f t="shared" si="34"/>
        <v>0.72926671891319927</v>
      </c>
      <c r="BL19" s="294">
        <f t="shared" si="35"/>
        <v>5441.556543909348</v>
      </c>
      <c r="BM19" s="295">
        <f t="shared" si="36"/>
        <v>0</v>
      </c>
      <c r="BN19" s="296">
        <f t="shared" si="37"/>
        <v>0</v>
      </c>
      <c r="BO19" s="293">
        <f t="shared" si="38"/>
        <v>5.9686652013218169E-2</v>
      </c>
      <c r="BP19" s="294">
        <f t="shared" si="39"/>
        <v>445.36283286118976</v>
      </c>
      <c r="BQ19" s="295">
        <f t="shared" si="40"/>
        <v>0</v>
      </c>
      <c r="BR19" s="296">
        <f t="shared" si="41"/>
        <v>0</v>
      </c>
      <c r="BS19" s="293">
        <f t="shared" si="42"/>
        <v>4.052052392441377E-2</v>
      </c>
      <c r="BT19" s="294">
        <f t="shared" si="43"/>
        <v>302.35127478753543</v>
      </c>
      <c r="BU19" s="295">
        <f t="shared" si="44"/>
        <v>8.0289711609284628E-4</v>
      </c>
      <c r="BV19" s="296">
        <f t="shared" si="45"/>
        <v>5.9909631728045323</v>
      </c>
      <c r="BW19" s="293">
        <f t="shared" si="46"/>
        <v>6.362495612333037E-2</v>
      </c>
      <c r="BX19" s="294">
        <f t="shared" si="47"/>
        <v>474.74920679886685</v>
      </c>
      <c r="BY19" s="295">
        <f t="shared" si="48"/>
        <v>4.5234071117426139E-2</v>
      </c>
      <c r="BZ19" s="297">
        <f t="shared" si="49"/>
        <v>337.52226628895187</v>
      </c>
      <c r="CA19" s="298">
        <f t="shared" si="50"/>
        <v>3.5984636050903226E-2</v>
      </c>
      <c r="CB19" s="299">
        <f t="shared" si="51"/>
        <v>268.50592067988669</v>
      </c>
      <c r="CC19" s="295">
        <f t="shared" si="52"/>
        <v>1.1722948622754735E-2</v>
      </c>
      <c r="CD19" s="296">
        <f t="shared" si="53"/>
        <v>87.472917847025485</v>
      </c>
      <c r="CE19" s="300">
        <f t="shared" si="54"/>
        <v>0.60463317304037401</v>
      </c>
      <c r="CF19" s="298">
        <f t="shared" si="55"/>
        <v>0.47702738004413892</v>
      </c>
      <c r="CG19" s="298">
        <f t="shared" si="56"/>
        <v>0.45892541685697125</v>
      </c>
      <c r="CH19" s="299">
        <f t="shared" si="57"/>
        <v>3559.4267422096314</v>
      </c>
      <c r="CI19" s="295">
        <f t="shared" si="58"/>
        <v>0.22422437561118241</v>
      </c>
      <c r="CJ19" s="301">
        <f t="shared" si="59"/>
        <v>0.17690257698231354</v>
      </c>
      <c r="CK19" s="301">
        <f t="shared" si="60"/>
        <v>0.1701895787976965</v>
      </c>
      <c r="CL19" s="302">
        <f t="shared" si="61"/>
        <v>1319.9908215297451</v>
      </c>
      <c r="CM19" s="300">
        <f t="shared" si="62"/>
        <v>2.0177499783045193E-2</v>
      </c>
      <c r="CN19" s="298">
        <f t="shared" si="63"/>
        <v>1.5919106470700561E-2</v>
      </c>
      <c r="CO19" s="298">
        <f t="shared" si="64"/>
        <v>1.5315017289742938E-2</v>
      </c>
      <c r="CP19" s="299">
        <f t="shared" si="65"/>
        <v>118.78331444759208</v>
      </c>
      <c r="CQ19" s="295">
        <f t="shared" si="66"/>
        <v>5.9251347157750531E-2</v>
      </c>
      <c r="CR19" s="301">
        <f t="shared" si="67"/>
        <v>4.6746550072038685E-2</v>
      </c>
      <c r="CS19" s="301">
        <f t="shared" si="68"/>
        <v>4.4972638628102621E-2</v>
      </c>
      <c r="CT19" s="296">
        <f t="shared" si="69"/>
        <v>348.80790368271954</v>
      </c>
      <c r="CU19" s="300">
        <f t="shared" si="70"/>
        <v>0.92539742911270495</v>
      </c>
      <c r="CV19" s="298">
        <f t="shared" si="71"/>
        <v>0.73009542114510906</v>
      </c>
      <c r="CW19" s="298">
        <f t="shared" si="72"/>
        <v>0.70239017614331156</v>
      </c>
      <c r="CX19" s="299">
        <f t="shared" si="73"/>
        <v>5447.7400566572242</v>
      </c>
      <c r="CY19" s="295">
        <f t="shared" si="74"/>
        <v>2.9909856227366215E-2</v>
      </c>
      <c r="CZ19" s="301">
        <f t="shared" si="75"/>
        <v>2.2702018098433953E-2</v>
      </c>
      <c r="DA19" s="296">
        <f t="shared" si="76"/>
        <v>176.07691218130313</v>
      </c>
      <c r="DB19" s="300">
        <f t="shared" si="77"/>
        <v>9.7221965990899341E-4</v>
      </c>
      <c r="DC19" s="299">
        <f t="shared" si="78"/>
        <v>7.5405382436260622</v>
      </c>
      <c r="DD19" s="295">
        <f t="shared" si="79"/>
        <v>3.7102034455282026E-2</v>
      </c>
      <c r="DE19" s="301">
        <f t="shared" si="80"/>
        <v>2.8160986508583518E-2</v>
      </c>
      <c r="DF19" s="296">
        <f t="shared" si="81"/>
        <v>218.41668555240793</v>
      </c>
      <c r="DG19" s="300">
        <f t="shared" si="82"/>
        <v>4.5146811156018853E-3</v>
      </c>
      <c r="DH19" s="298">
        <f t="shared" si="83"/>
        <v>3.4267089622876867E-3</v>
      </c>
      <c r="DI19" s="303">
        <f t="shared" si="84"/>
        <v>26.577563739376767</v>
      </c>
      <c r="DJ19" s="295">
        <f t="shared" si="85"/>
        <v>5.5781388741180604E-2</v>
      </c>
      <c r="DK19" s="301">
        <f t="shared" si="86"/>
        <v>4.4008914682311349E-2</v>
      </c>
      <c r="DL19" s="301">
        <f t="shared" si="87"/>
        <v>4.2338889466122104E-2</v>
      </c>
      <c r="DM19" s="296">
        <f t="shared" si="88"/>
        <v>328.38053824362606</v>
      </c>
      <c r="DN19" s="300">
        <f t="shared" si="89"/>
        <v>1.1224602272054122E-2</v>
      </c>
      <c r="DO19" s="298">
        <f t="shared" si="90"/>
        <v>8.5196372055692231E-3</v>
      </c>
      <c r="DP19" s="299">
        <f t="shared" si="91"/>
        <v>66.078328611898016</v>
      </c>
      <c r="DQ19" s="295">
        <f t="shared" si="92"/>
        <v>9.0364346163073969E-2</v>
      </c>
      <c r="DR19" s="301">
        <f t="shared" si="93"/>
        <v>6.8587859682530533E-2</v>
      </c>
      <c r="DS19" s="296">
        <f t="shared" si="94"/>
        <v>531.96762039660064</v>
      </c>
      <c r="DT19" s="300">
        <f t="shared" si="95"/>
        <v>4.1914073658741578E-2</v>
      </c>
      <c r="DU19" s="299">
        <f t="shared" si="96"/>
        <v>325.08566572237964</v>
      </c>
      <c r="DV19" s="295">
        <f t="shared" si="25"/>
        <v>2.0679813916439017E-2</v>
      </c>
      <c r="DW19" s="296">
        <f t="shared" si="97"/>
        <v>160.39269121813032</v>
      </c>
      <c r="DX19" s="295">
        <f t="shared" si="103"/>
        <v>3.2722473092911894E-5</v>
      </c>
      <c r="DY19" s="301">
        <f t="shared" si="98"/>
        <v>2.581650545170183E-5</v>
      </c>
      <c r="DZ19" s="301">
        <f t="shared" si="99"/>
        <v>2.4836835414177405E-5</v>
      </c>
      <c r="EA19" s="296">
        <f t="shared" si="100"/>
        <v>0.19263456090651557</v>
      </c>
      <c r="EB19" s="304">
        <f>IFERROR(_xlfn.XLOOKUP(A19,'Pupil on roll 24-25'!E:E,'Pupil on roll 24-25'!R:R),0)</f>
        <v>68</v>
      </c>
      <c r="EC19" s="289">
        <f>IFERROR(_xlfn.XLOOKUP(A19,CFR20242025_BenchMarkDataReport!B:B,CFR20242025_BenchMarkDataReport!AK:AK),0)</f>
        <v>7458.13</v>
      </c>
      <c r="ED19" s="289">
        <f>IFERROR(_xlfn.XLOOKUP(A19,CFR20242025_BenchMarkDataReport!B:B,CFR20242025_BenchMarkDataReport!AL:AL),0)</f>
        <v>19556</v>
      </c>
    </row>
    <row r="20" spans="1:134">
      <c r="A20" s="322">
        <v>2009</v>
      </c>
      <c r="B20" s="323">
        <v>10048</v>
      </c>
      <c r="C20" s="322" t="s">
        <v>43</v>
      </c>
      <c r="D20" s="289">
        <f>IFERROR(_xlfn.XLOOKUP($A20,CFR20242025_BenchMarkDataReport!$B:$B,CFR20242025_BenchMarkDataReport!T:T),0)</f>
        <v>2549294.31</v>
      </c>
      <c r="E20" s="289">
        <f>IFERROR(_xlfn.XLOOKUP($A20,CFR20242025_BenchMarkDataReport!$B:$B,CFR20242025_BenchMarkDataReport!U:U),0)</f>
        <v>0</v>
      </c>
      <c r="F20" s="289">
        <f>IFERROR(_xlfn.XLOOKUP($A20,CFR20242025_BenchMarkDataReport!$B:$B,CFR20242025_BenchMarkDataReport!V:V),0)</f>
        <v>302857.89</v>
      </c>
      <c r="G20" s="289">
        <f>IFERROR(_xlfn.XLOOKUP($A20,CFR20242025_BenchMarkDataReport!$B:$B,CFR20242025_BenchMarkDataReport!W:W),0)</f>
        <v>0</v>
      </c>
      <c r="H20" s="289">
        <f>IFERROR(_xlfn.XLOOKUP($A20,CFR20242025_BenchMarkDataReport!$B:$B,CFR20242025_BenchMarkDataReport!X:X),0)</f>
        <v>126110</v>
      </c>
      <c r="I20" s="289">
        <f>IFERROR(_xlfn.XLOOKUP($A20,CFR20242025_BenchMarkDataReport!$B:$B,CFR20242025_BenchMarkDataReport!Y:Y),0)</f>
        <v>8213.11</v>
      </c>
      <c r="J20" s="289">
        <f>IFERROR(_xlfn.XLOOKUP($A20,CFR20242025_BenchMarkDataReport!$B:$B,CFR20242025_BenchMarkDataReport!Z:Z),0)</f>
        <v>112392.34</v>
      </c>
      <c r="K20" s="289">
        <f>IFERROR(_xlfn.XLOOKUP($A20,CFR20242025_BenchMarkDataReport!$B:$B,CFR20242025_BenchMarkDataReport!AA:AA),0)</f>
        <v>39243</v>
      </c>
      <c r="L20" s="289">
        <f>IFERROR(_xlfn.XLOOKUP($A20,CFR20242025_BenchMarkDataReport!$B:$B,CFR20242025_BenchMarkDataReport!AB:AB),0)</f>
        <v>235791.75</v>
      </c>
      <c r="M20" s="289">
        <f>IFERROR(_xlfn.XLOOKUP($A20,CFR20242025_BenchMarkDataReport!$B:$B,CFR20242025_BenchMarkDataReport!AC:AC),0)</f>
        <v>2900.72</v>
      </c>
      <c r="N20" s="289">
        <f>IFERROR(_xlfn.XLOOKUP($A20,CFR20242025_BenchMarkDataReport!$B:$B,CFR20242025_BenchMarkDataReport!AD:AD),0)</f>
        <v>0</v>
      </c>
      <c r="O20" s="289">
        <f>IFERROR(_xlfn.XLOOKUP($A20,CFR20242025_BenchMarkDataReport!$B:$B,CFR20242025_BenchMarkDataReport!AE:AE),0)</f>
        <v>0</v>
      </c>
      <c r="P20" s="289">
        <f>IFERROR(_xlfn.XLOOKUP($A20,CFR20242025_BenchMarkDataReport!$B:$B,CFR20242025_BenchMarkDataReport!AF:AF),0)</f>
        <v>73312.55</v>
      </c>
      <c r="Q20" s="289">
        <f>IFERROR(_xlfn.XLOOKUP($A20,CFR20242025_BenchMarkDataReport!$B:$B,CFR20242025_BenchMarkDataReport!AG:AG),0)</f>
        <v>22847.16</v>
      </c>
      <c r="R20" s="289">
        <f>IFERROR(_xlfn.XLOOKUP($A20,CFR20242025_BenchMarkDataReport!$B:$B,CFR20242025_BenchMarkDataReport!AH:AH),0)</f>
        <v>0</v>
      </c>
      <c r="S20" s="289">
        <f>IFERROR(_xlfn.XLOOKUP($A20,CFR20242025_BenchMarkDataReport!$B:$B,CFR20242025_BenchMarkDataReport!AI:AI),0)</f>
        <v>0</v>
      </c>
      <c r="T20" s="289">
        <f>IFERROR(_xlfn.XLOOKUP($A20,CFR20242025_BenchMarkDataReport!$B:$B,CFR20242025_BenchMarkDataReport!AJ:AJ),0)</f>
        <v>0</v>
      </c>
      <c r="U20" s="289">
        <f>INDEX(CFR20242025_BenchMarkDataReport!$B$3:$AM$87,MATCH(A20,CFR20242025_BenchMarkDataReport!$B$3:$B$87),MATCH($U$2,CFR20242025_BenchMarkDataReport!$B$3:$AM$3,0))</f>
        <v>92495.81</v>
      </c>
      <c r="V20" s="289">
        <f>IFERROR(_xlfn.XLOOKUP($A20,CFR20242025_BenchMarkDataReport!$B:$B,CFR20242025_BenchMarkDataReport!AN:AN),0)</f>
        <v>1680252.52</v>
      </c>
      <c r="W20" s="289">
        <f>IFERROR(_xlfn.XLOOKUP($A20,CFR20242025_BenchMarkDataReport!$B:$B,CFR20242025_BenchMarkDataReport!AO:AO),0)</f>
        <v>0</v>
      </c>
      <c r="X20" s="289">
        <f>IFERROR(_xlfn.XLOOKUP($A20,CFR20242025_BenchMarkDataReport!$B:$B,CFR20242025_BenchMarkDataReport!AP:AP),0)</f>
        <v>628087.16</v>
      </c>
      <c r="Y20" s="289">
        <f>IFERROR(_xlfn.XLOOKUP($A20,CFR20242025_BenchMarkDataReport!$B:$B,CFR20242025_BenchMarkDataReport!AQ:AQ),0)</f>
        <v>30960.36</v>
      </c>
      <c r="Z20" s="289">
        <f>IFERROR(_xlfn.XLOOKUP($A20,CFR20242025_BenchMarkDataReport!$B:$B,CFR20242025_BenchMarkDataReport!AR:AR),0)</f>
        <v>131408.67000000001</v>
      </c>
      <c r="AA20" s="289">
        <f>IFERROR(_xlfn.XLOOKUP($A20,CFR20242025_BenchMarkDataReport!$B:$B,CFR20242025_BenchMarkDataReport!AS:AS),0)</f>
        <v>0</v>
      </c>
      <c r="AB20" s="289">
        <f>IFERROR(_xlfn.XLOOKUP($A20,CFR20242025_BenchMarkDataReport!$B:$B,CFR20242025_BenchMarkDataReport!AT:AT),0)</f>
        <v>125312.76</v>
      </c>
      <c r="AC20" s="289">
        <f>IFERROR(_xlfn.XLOOKUP($A20,CFR20242025_BenchMarkDataReport!$B:$B,CFR20242025_BenchMarkDataReport!AU:AU),0)</f>
        <v>14159.1</v>
      </c>
      <c r="AD20" s="289">
        <f>IFERROR(_xlfn.XLOOKUP($A20,CFR20242025_BenchMarkDataReport!$B:$B,CFR20242025_BenchMarkDataReport!AV:AV),0)</f>
        <v>10669.3</v>
      </c>
      <c r="AE20" s="289">
        <f>IFERROR(_xlfn.XLOOKUP($A20,CFR20242025_BenchMarkDataReport!$B:$B,CFR20242025_BenchMarkDataReport!AW:AW),0)</f>
        <v>695.54</v>
      </c>
      <c r="AF20" s="289">
        <f>IFERROR(_xlfn.XLOOKUP($A20,CFR20242025_BenchMarkDataReport!$B:$B,CFR20242025_BenchMarkDataReport!AX:AX),0)</f>
        <v>0</v>
      </c>
      <c r="AG20" s="289">
        <f>IFERROR(_xlfn.XLOOKUP($A20,CFR20242025_BenchMarkDataReport!$B:$B,CFR20242025_BenchMarkDataReport!AY:AY),0)</f>
        <v>23265.03</v>
      </c>
      <c r="AH20" s="289">
        <f>IFERROR(_xlfn.XLOOKUP($A20,CFR20242025_BenchMarkDataReport!$B:$B,CFR20242025_BenchMarkDataReport!AZ:AZ),0)</f>
        <v>5121.75</v>
      </c>
      <c r="AI20" s="289">
        <f>IFERROR(_xlfn.XLOOKUP($A20,CFR20242025_BenchMarkDataReport!$B:$B,CFR20242025_BenchMarkDataReport!BA:BA),0)</f>
        <v>54076.36</v>
      </c>
      <c r="AJ20" s="289">
        <f>IFERROR(_xlfn.XLOOKUP($A20,CFR20242025_BenchMarkDataReport!$B:$B,CFR20242025_BenchMarkDataReport!BB:BB),0)</f>
        <v>6825.1</v>
      </c>
      <c r="AK20" s="289">
        <f>IFERROR(_xlfn.XLOOKUP($A20,CFR20242025_BenchMarkDataReport!$B:$B,CFR20242025_BenchMarkDataReport!BC:BC),0)</f>
        <v>42299.78</v>
      </c>
      <c r="AL20" s="289">
        <f>IFERROR(_xlfn.XLOOKUP($A20,CFR20242025_BenchMarkDataReport!$B:$B,CFR20242025_BenchMarkDataReport!BD:BD),0)</f>
        <v>47880</v>
      </c>
      <c r="AM20" s="289">
        <f>IFERROR(_xlfn.XLOOKUP($A20,CFR20242025_BenchMarkDataReport!$B:$B,CFR20242025_BenchMarkDataReport!BE:BE),0)</f>
        <v>17599.89</v>
      </c>
      <c r="AN20" s="289">
        <f>IFERROR(_xlfn.XLOOKUP($A20,CFR20242025_BenchMarkDataReport!$B:$B,CFR20242025_BenchMarkDataReport!BF:BF),0)</f>
        <v>96735.06</v>
      </c>
      <c r="AO20" s="289">
        <f>IFERROR(_xlfn.XLOOKUP($A20,CFR20242025_BenchMarkDataReport!$B:$B,CFR20242025_BenchMarkDataReport!BN:BN),0)</f>
        <v>53583.450000000004</v>
      </c>
      <c r="AP20" s="289">
        <f>IFERROR(_xlfn.XLOOKUP($A20,CFR20242025_BenchMarkDataReport!$B:$B,CFR20242025_BenchMarkDataReport!BO:BO),0)</f>
        <v>0</v>
      </c>
      <c r="AQ20" s="289">
        <f>IFERROR(_xlfn.XLOOKUP($A20,CFR20242025_BenchMarkDataReport!$B:$B,CFR20242025_BenchMarkDataReport!BP:BP),0)</f>
        <v>10950.46</v>
      </c>
      <c r="AR20" s="289">
        <f>IFERROR(_xlfn.XLOOKUP($A20,CFR20242025_BenchMarkDataReport!$B:$B,CFR20242025_BenchMarkDataReport!BQ:BQ),0)</f>
        <v>20092.91</v>
      </c>
      <c r="AS20" s="289">
        <f>IFERROR(_xlfn.XLOOKUP($A20,CFR20242025_BenchMarkDataReport!$B:$B,CFR20242025_BenchMarkDataReport!BR:BR),0)</f>
        <v>48041.16</v>
      </c>
      <c r="AT20" s="289">
        <f>IFERROR(_xlfn.XLOOKUP($A20,CFR20242025_BenchMarkDataReport!$B:$B,CFR20242025_BenchMarkDataReport!BS:BS),0)</f>
        <v>167718.89000000001</v>
      </c>
      <c r="AU20" s="289">
        <f>IFERROR(_xlfn.XLOOKUP($A20,CFR20242025_BenchMarkDataReport!$B:$B,CFR20242025_BenchMarkDataReport!BT:BT),0)</f>
        <v>36624.730000000003</v>
      </c>
      <c r="AV20" s="289">
        <f>IFERROR(_xlfn.XLOOKUP($A20,CFR20242025_BenchMarkDataReport!$B:$B,CFR20242025_BenchMarkDataReport!BU:BU),0)</f>
        <v>290484.27</v>
      </c>
      <c r="AW20" s="289">
        <f>IFERROR(_xlfn.XLOOKUP($A20,CFR20242025_BenchMarkDataReport!$B:$B,CFR20242025_BenchMarkDataReport!BV:BV),0)</f>
        <v>31156.18</v>
      </c>
      <c r="AX20" s="289">
        <f>IFERROR(_xlfn.XLOOKUP($A20,CFR20242025_BenchMarkDataReport!$B:$B,CFR20242025_BenchMarkDataReport!BW:BW),0)</f>
        <v>0</v>
      </c>
      <c r="AY20" s="289">
        <f>IFERROR(_xlfn.XLOOKUP($A20,CFR20242025_BenchMarkDataReport!$B:$B,CFR20242025_BenchMarkDataReport!BX:BX),0)</f>
        <v>0</v>
      </c>
      <c r="AZ20" s="289">
        <f>IFERROR(_xlfn.XLOOKUP($A20,CFR20242025_BenchMarkDataReport!$B:$B,CFR20242025_BenchMarkDataReport!BY:BY),0)</f>
        <v>0</v>
      </c>
      <c r="BA20" s="289">
        <f>IFERROR(_xlfn.XLOOKUP($A20,CFR20242025_BenchMarkDataReport!$B:$B,CFR20242025_BenchMarkDataReport!BZ:BZ),0)</f>
        <v>0</v>
      </c>
      <c r="BB20" s="289">
        <f>IFERROR(_xlfn.XLOOKUP($A20,CFR20242025_BenchMarkDataReport!$B:$B,CFR20242025_BenchMarkDataReport!CA:CA),0)</f>
        <v>0</v>
      </c>
      <c r="BC20" s="290">
        <f t="shared" si="33"/>
        <v>3565458.64</v>
      </c>
      <c r="BD20" s="291">
        <f t="shared" si="101"/>
        <v>3574000.43</v>
      </c>
      <c r="BE20" s="325">
        <f t="shared" si="102"/>
        <v>-8541.7900000000373</v>
      </c>
      <c r="BF20" s="289">
        <f>IFERROR(_xlfn.XLOOKUP(A20,CFR20242025_BenchMarkDataReport!B:B,CFR20242025_BenchMarkDataReport!Q:Q),0)</f>
        <v>-112860.21</v>
      </c>
      <c r="BG20" s="290">
        <f t="shared" si="0"/>
        <v>-121402.00000000004</v>
      </c>
      <c r="BH20" s="292">
        <f>_xlfn.XLOOKUP(A20,'Pupil on roll 24-25'!E:E,'Pupil on roll 24-25'!I:I)</f>
        <v>419</v>
      </c>
      <c r="BI20" s="291">
        <f t="shared" si="1"/>
        <v>2852152.2</v>
      </c>
      <c r="BJ20" t="s">
        <v>190</v>
      </c>
      <c r="BK20" s="293">
        <f t="shared" si="34"/>
        <v>0.71499758303184247</v>
      </c>
      <c r="BL20" s="294">
        <f t="shared" si="35"/>
        <v>6084.234630071599</v>
      </c>
      <c r="BM20" s="295">
        <f t="shared" si="36"/>
        <v>0</v>
      </c>
      <c r="BN20" s="296">
        <f t="shared" si="37"/>
        <v>0</v>
      </c>
      <c r="BO20" s="293">
        <f t="shared" si="38"/>
        <v>8.4942196945523962E-2</v>
      </c>
      <c r="BP20" s="294">
        <f t="shared" si="39"/>
        <v>722.81119331742252</v>
      </c>
      <c r="BQ20" s="295">
        <f t="shared" si="40"/>
        <v>0</v>
      </c>
      <c r="BR20" s="296">
        <f t="shared" si="41"/>
        <v>0</v>
      </c>
      <c r="BS20" s="293">
        <f t="shared" si="42"/>
        <v>3.536992368532986E-2</v>
      </c>
      <c r="BT20" s="294">
        <f t="shared" si="43"/>
        <v>300.97852028639619</v>
      </c>
      <c r="BU20" s="295">
        <f t="shared" si="44"/>
        <v>2.3035213220142696E-3</v>
      </c>
      <c r="BV20" s="296">
        <f t="shared" si="45"/>
        <v>19.601694510739858</v>
      </c>
      <c r="BW20" s="293">
        <f t="shared" si="46"/>
        <v>3.1522547685478131E-2</v>
      </c>
      <c r="BX20" s="294">
        <f t="shared" si="47"/>
        <v>268.23947494033411</v>
      </c>
      <c r="BY20" s="295">
        <f t="shared" si="48"/>
        <v>7.7138673525602858E-2</v>
      </c>
      <c r="BZ20" s="297">
        <f t="shared" si="49"/>
        <v>656.40751789976139</v>
      </c>
      <c r="CA20" s="298">
        <f t="shared" si="50"/>
        <v>2.0561884851930296E-2</v>
      </c>
      <c r="CB20" s="299">
        <f t="shared" si="51"/>
        <v>174.97028639618139</v>
      </c>
      <c r="CC20" s="295">
        <f t="shared" si="52"/>
        <v>6.4079161496036876E-3</v>
      </c>
      <c r="CD20" s="296">
        <f t="shared" si="53"/>
        <v>54.527828162291172</v>
      </c>
      <c r="CE20" s="300">
        <f t="shared" si="54"/>
        <v>0.60195849646452948</v>
      </c>
      <c r="CF20" s="298">
        <f t="shared" si="55"/>
        <v>0.48153054721734201</v>
      </c>
      <c r="CG20" s="298">
        <f t="shared" si="56"/>
        <v>0.48037969877916326</v>
      </c>
      <c r="CH20" s="299">
        <f t="shared" si="57"/>
        <v>4097.5590692124106</v>
      </c>
      <c r="CI20" s="295">
        <f t="shared" si="58"/>
        <v>0.22021516243067252</v>
      </c>
      <c r="CJ20" s="301">
        <f t="shared" si="59"/>
        <v>0.17615886858247218</v>
      </c>
      <c r="CK20" s="301">
        <f t="shared" si="60"/>
        <v>0.1757378523874436</v>
      </c>
      <c r="CL20" s="302">
        <f t="shared" si="61"/>
        <v>1499.0147016706444</v>
      </c>
      <c r="CM20" s="300">
        <f t="shared" si="62"/>
        <v>1.0855086905951232E-2</v>
      </c>
      <c r="CN20" s="298">
        <f t="shared" si="63"/>
        <v>8.6834158311818194E-3</v>
      </c>
      <c r="CO20" s="298">
        <f t="shared" si="64"/>
        <v>8.6626626399146801E-3</v>
      </c>
      <c r="CP20" s="299">
        <f t="shared" si="65"/>
        <v>73.891073985680194</v>
      </c>
      <c r="CQ20" s="295">
        <f t="shared" si="66"/>
        <v>4.6073512486465483E-2</v>
      </c>
      <c r="CR20" s="301">
        <f t="shared" si="67"/>
        <v>3.6856035441207642E-2</v>
      </c>
      <c r="CS20" s="301">
        <f t="shared" si="68"/>
        <v>3.6767950248959541E-2</v>
      </c>
      <c r="CT20" s="296">
        <f t="shared" si="69"/>
        <v>313.62451073985682</v>
      </c>
      <c r="CU20" s="300">
        <f t="shared" si="70"/>
        <v>0.91019738357581326</v>
      </c>
      <c r="CV20" s="298">
        <f t="shared" si="71"/>
        <v>0.72810309475361057</v>
      </c>
      <c r="CW20" s="298">
        <f t="shared" si="72"/>
        <v>0.72636294282706604</v>
      </c>
      <c r="CX20" s="299">
        <f t="shared" si="73"/>
        <v>6195.7552983293554</v>
      </c>
      <c r="CY20" s="295">
        <f t="shared" si="74"/>
        <v>8.1570085916172347E-3</v>
      </c>
      <c r="CZ20" s="301">
        <f t="shared" si="75"/>
        <v>6.5095207613055598E-3</v>
      </c>
      <c r="DA20" s="296">
        <f t="shared" si="76"/>
        <v>55.525131264916467</v>
      </c>
      <c r="DB20" s="300">
        <f t="shared" si="77"/>
        <v>1.9096528200473663E-3</v>
      </c>
      <c r="DC20" s="299">
        <f t="shared" si="78"/>
        <v>16.289021479713604</v>
      </c>
      <c r="DD20" s="295">
        <f t="shared" si="79"/>
        <v>1.4830828452983679E-2</v>
      </c>
      <c r="DE20" s="301">
        <f t="shared" si="80"/>
        <v>1.1835415475873348E-2</v>
      </c>
      <c r="DF20" s="296">
        <f t="shared" si="81"/>
        <v>100.95412887828162</v>
      </c>
      <c r="DG20" s="300">
        <f t="shared" si="82"/>
        <v>6.1707401168843651E-3</v>
      </c>
      <c r="DH20" s="298">
        <f t="shared" si="83"/>
        <v>4.9244230225232513E-3</v>
      </c>
      <c r="DI20" s="303">
        <f t="shared" si="84"/>
        <v>42.004510739856798</v>
      </c>
      <c r="DJ20" s="295">
        <f t="shared" si="85"/>
        <v>3.3916513992486096E-2</v>
      </c>
      <c r="DK20" s="301">
        <f t="shared" si="86"/>
        <v>2.7131168740748595E-2</v>
      </c>
      <c r="DL20" s="301">
        <f t="shared" si="87"/>
        <v>2.7066325786647989E-2</v>
      </c>
      <c r="DM20" s="296">
        <f t="shared" si="88"/>
        <v>230.87126491646777</v>
      </c>
      <c r="DN20" s="300">
        <f t="shared" si="89"/>
        <v>3.8393673381104973E-3</v>
      </c>
      <c r="DO20" s="298">
        <f t="shared" si="90"/>
        <v>3.0639224069707229E-3</v>
      </c>
      <c r="DP20" s="299">
        <f t="shared" si="91"/>
        <v>26.134749403341285</v>
      </c>
      <c r="DQ20" s="295">
        <f t="shared" si="92"/>
        <v>0.10184739439921894</v>
      </c>
      <c r="DR20" s="301">
        <f t="shared" si="93"/>
        <v>8.1277066326486153E-2</v>
      </c>
      <c r="DS20" s="296">
        <f t="shared" si="94"/>
        <v>693.27988066825776</v>
      </c>
      <c r="DT20" s="300">
        <f t="shared" si="95"/>
        <v>4.692749575298736E-2</v>
      </c>
      <c r="DU20" s="299">
        <f t="shared" si="96"/>
        <v>400.28374701670646</v>
      </c>
      <c r="DV20" s="295">
        <f t="shared" si="25"/>
        <v>1.5130485029068672E-2</v>
      </c>
      <c r="DW20" s="296">
        <f t="shared" si="97"/>
        <v>129.06052505966588</v>
      </c>
      <c r="DX20" s="295">
        <f t="shared" si="103"/>
        <v>2.8048994019323372E-5</v>
      </c>
      <c r="DY20" s="301">
        <f t="shared" si="98"/>
        <v>2.2437506104404003E-5</v>
      </c>
      <c r="DZ20" s="301">
        <f t="shared" si="99"/>
        <v>2.2383880910725017E-5</v>
      </c>
      <c r="EA20" s="296">
        <f t="shared" si="100"/>
        <v>0.1909307875894988</v>
      </c>
      <c r="EB20" s="304">
        <f>IFERROR(_xlfn.XLOOKUP(A20,'Pupil on roll 24-25'!E:E,'Pupil on roll 24-25'!R:R),0)</f>
        <v>80</v>
      </c>
      <c r="EC20" s="289">
        <f>IFERROR(_xlfn.XLOOKUP(A20,CFR20242025_BenchMarkDataReport!B:B,CFR20242025_BenchMarkDataReport!AK:AK),0)</f>
        <v>9489.81</v>
      </c>
      <c r="ED20" s="289">
        <f>IFERROR(_xlfn.XLOOKUP(A20,CFR20242025_BenchMarkDataReport!B:B,CFR20242025_BenchMarkDataReport!AL:AL),0)</f>
        <v>83006</v>
      </c>
    </row>
    <row r="21" spans="1:134">
      <c r="A21" s="322">
        <v>2067</v>
      </c>
      <c r="B21" s="323">
        <v>10118</v>
      </c>
      <c r="C21" s="322" t="s">
        <v>44</v>
      </c>
      <c r="D21" s="289">
        <f>IFERROR(_xlfn.XLOOKUP($A21,CFR20242025_BenchMarkDataReport!$B:$B,CFR20242025_BenchMarkDataReport!T:T),0)</f>
        <v>1412248.21</v>
      </c>
      <c r="E21" s="289">
        <f>IFERROR(_xlfn.XLOOKUP($A21,CFR20242025_BenchMarkDataReport!$B:$B,CFR20242025_BenchMarkDataReport!U:U),0)</f>
        <v>0</v>
      </c>
      <c r="F21" s="289">
        <f>IFERROR(_xlfn.XLOOKUP($A21,CFR20242025_BenchMarkDataReport!$B:$B,CFR20242025_BenchMarkDataReport!V:V),0)</f>
        <v>401689.92</v>
      </c>
      <c r="G21" s="289">
        <f>IFERROR(_xlfn.XLOOKUP($A21,CFR20242025_BenchMarkDataReport!$B:$B,CFR20242025_BenchMarkDataReport!W:W),0)</f>
        <v>0</v>
      </c>
      <c r="H21" s="289">
        <f>IFERROR(_xlfn.XLOOKUP($A21,CFR20242025_BenchMarkDataReport!$B:$B,CFR20242025_BenchMarkDataReport!X:X),0)</f>
        <v>53280</v>
      </c>
      <c r="I21" s="289">
        <f>IFERROR(_xlfn.XLOOKUP($A21,CFR20242025_BenchMarkDataReport!$B:$B,CFR20242025_BenchMarkDataReport!Y:Y),0)</f>
        <v>3229.61</v>
      </c>
      <c r="J21" s="289">
        <f>IFERROR(_xlfn.XLOOKUP($A21,CFR20242025_BenchMarkDataReport!$B:$B,CFR20242025_BenchMarkDataReport!Z:Z),0)</f>
        <v>64830.78</v>
      </c>
      <c r="K21" s="289">
        <f>IFERROR(_xlfn.XLOOKUP($A21,CFR20242025_BenchMarkDataReport!$B:$B,CFR20242025_BenchMarkDataReport!AA:AA),0)</f>
        <v>26956.75</v>
      </c>
      <c r="L21" s="289">
        <f>IFERROR(_xlfn.XLOOKUP($A21,CFR20242025_BenchMarkDataReport!$B:$B,CFR20242025_BenchMarkDataReport!AB:AB),0)</f>
        <v>28856.61</v>
      </c>
      <c r="M21" s="289">
        <f>IFERROR(_xlfn.XLOOKUP($A21,CFR20242025_BenchMarkDataReport!$B:$B,CFR20242025_BenchMarkDataReport!AC:AC),0)</f>
        <v>896.32</v>
      </c>
      <c r="N21" s="289">
        <f>IFERROR(_xlfn.XLOOKUP($A21,CFR20242025_BenchMarkDataReport!$B:$B,CFR20242025_BenchMarkDataReport!AD:AD),0)</f>
        <v>0</v>
      </c>
      <c r="O21" s="289">
        <f>IFERROR(_xlfn.XLOOKUP($A21,CFR20242025_BenchMarkDataReport!$B:$B,CFR20242025_BenchMarkDataReport!AE:AE),0)</f>
        <v>0</v>
      </c>
      <c r="P21" s="289">
        <f>IFERROR(_xlfn.XLOOKUP($A21,CFR20242025_BenchMarkDataReport!$B:$B,CFR20242025_BenchMarkDataReport!AF:AF),0)</f>
        <v>14568.33</v>
      </c>
      <c r="Q21" s="289">
        <f>IFERROR(_xlfn.XLOOKUP($A21,CFR20242025_BenchMarkDataReport!$B:$B,CFR20242025_BenchMarkDataReport!AG:AG),0)</f>
        <v>7506.78</v>
      </c>
      <c r="R21" s="289">
        <f>IFERROR(_xlfn.XLOOKUP($A21,CFR20242025_BenchMarkDataReport!$B:$B,CFR20242025_BenchMarkDataReport!AH:AH),0)</f>
        <v>0</v>
      </c>
      <c r="S21" s="289">
        <f>IFERROR(_xlfn.XLOOKUP($A21,CFR20242025_BenchMarkDataReport!$B:$B,CFR20242025_BenchMarkDataReport!AI:AI),0)</f>
        <v>0</v>
      </c>
      <c r="T21" s="289">
        <f>IFERROR(_xlfn.XLOOKUP($A21,CFR20242025_BenchMarkDataReport!$B:$B,CFR20242025_BenchMarkDataReport!AJ:AJ),0)</f>
        <v>0</v>
      </c>
      <c r="U21" s="289">
        <f>INDEX(CFR20242025_BenchMarkDataReport!$B$3:$AM$87,MATCH(A21,CFR20242025_BenchMarkDataReport!$B$3:$B$87),MATCH($U$2,CFR20242025_BenchMarkDataReport!$B$3:$AM$3,0))</f>
        <v>66725.56</v>
      </c>
      <c r="V21" s="289">
        <f>IFERROR(_xlfn.XLOOKUP($A21,CFR20242025_BenchMarkDataReport!$B:$B,CFR20242025_BenchMarkDataReport!AN:AN),0)</f>
        <v>986003.81</v>
      </c>
      <c r="W21" s="289">
        <f>IFERROR(_xlfn.XLOOKUP($A21,CFR20242025_BenchMarkDataReport!$B:$B,CFR20242025_BenchMarkDataReport!AO:AO),0)</f>
        <v>540.46</v>
      </c>
      <c r="X21" s="289">
        <f>IFERROR(_xlfn.XLOOKUP($A21,CFR20242025_BenchMarkDataReport!$B:$B,CFR20242025_BenchMarkDataReport!AP:AP),0)</f>
        <v>431070.01</v>
      </c>
      <c r="Y21" s="289">
        <f>IFERROR(_xlfn.XLOOKUP($A21,CFR20242025_BenchMarkDataReport!$B:$B,CFR20242025_BenchMarkDataReport!AQ:AQ),0)</f>
        <v>33495.949999999997</v>
      </c>
      <c r="Z21" s="289">
        <f>IFERROR(_xlfn.XLOOKUP($A21,CFR20242025_BenchMarkDataReport!$B:$B,CFR20242025_BenchMarkDataReport!AR:AR),0)</f>
        <v>88263.62</v>
      </c>
      <c r="AA21" s="289">
        <f>IFERROR(_xlfn.XLOOKUP($A21,CFR20242025_BenchMarkDataReport!$B:$B,CFR20242025_BenchMarkDataReport!AS:AS),0)</f>
        <v>0</v>
      </c>
      <c r="AB21" s="289">
        <f>IFERROR(_xlfn.XLOOKUP($A21,CFR20242025_BenchMarkDataReport!$B:$B,CFR20242025_BenchMarkDataReport!AT:AT),0)</f>
        <v>10140.61</v>
      </c>
      <c r="AC21" s="289">
        <f>IFERROR(_xlfn.XLOOKUP($A21,CFR20242025_BenchMarkDataReport!$B:$B,CFR20242025_BenchMarkDataReport!AU:AU),0)</f>
        <v>8118.39</v>
      </c>
      <c r="AD21" s="289">
        <f>IFERROR(_xlfn.XLOOKUP($A21,CFR20242025_BenchMarkDataReport!$B:$B,CFR20242025_BenchMarkDataReport!AV:AV),0)</f>
        <v>4698.78</v>
      </c>
      <c r="AE21" s="289">
        <f>IFERROR(_xlfn.XLOOKUP($A21,CFR20242025_BenchMarkDataReport!$B:$B,CFR20242025_BenchMarkDataReport!AW:AW),0)</f>
        <v>361.88</v>
      </c>
      <c r="AF21" s="289">
        <f>IFERROR(_xlfn.XLOOKUP($A21,CFR20242025_BenchMarkDataReport!$B:$B,CFR20242025_BenchMarkDataReport!AX:AX),0)</f>
        <v>0</v>
      </c>
      <c r="AG21" s="289">
        <f>IFERROR(_xlfn.XLOOKUP($A21,CFR20242025_BenchMarkDataReport!$B:$B,CFR20242025_BenchMarkDataReport!AY:AY),0)</f>
        <v>23194.38</v>
      </c>
      <c r="AH21" s="289">
        <f>IFERROR(_xlfn.XLOOKUP($A21,CFR20242025_BenchMarkDataReport!$B:$B,CFR20242025_BenchMarkDataReport!AZ:AZ),0)</f>
        <v>7556</v>
      </c>
      <c r="AI21" s="289">
        <f>IFERROR(_xlfn.XLOOKUP($A21,CFR20242025_BenchMarkDataReport!$B:$B,CFR20242025_BenchMarkDataReport!BA:BA),0)</f>
        <v>39994.68</v>
      </c>
      <c r="AJ21" s="289">
        <f>IFERROR(_xlfn.XLOOKUP($A21,CFR20242025_BenchMarkDataReport!$B:$B,CFR20242025_BenchMarkDataReport!BB:BB),0)</f>
        <v>3199.43</v>
      </c>
      <c r="AK21" s="289">
        <f>IFERROR(_xlfn.XLOOKUP($A21,CFR20242025_BenchMarkDataReport!$B:$B,CFR20242025_BenchMarkDataReport!BC:BC),0)</f>
        <v>36400.25</v>
      </c>
      <c r="AL21" s="289">
        <f>IFERROR(_xlfn.XLOOKUP($A21,CFR20242025_BenchMarkDataReport!$B:$B,CFR20242025_BenchMarkDataReport!BD:BD),0)</f>
        <v>35743.040000000001</v>
      </c>
      <c r="AM21" s="289">
        <f>IFERROR(_xlfn.XLOOKUP($A21,CFR20242025_BenchMarkDataReport!$B:$B,CFR20242025_BenchMarkDataReport!BE:BE),0)</f>
        <v>13001.84</v>
      </c>
      <c r="AN21" s="289">
        <f>IFERROR(_xlfn.XLOOKUP($A21,CFR20242025_BenchMarkDataReport!$B:$B,CFR20242025_BenchMarkDataReport!BF:BF),0)</f>
        <v>51276.01</v>
      </c>
      <c r="AO21" s="289">
        <f>IFERROR(_xlfn.XLOOKUP($A21,CFR20242025_BenchMarkDataReport!$B:$B,CFR20242025_BenchMarkDataReport!BN:BN),0)</f>
        <v>43977.08</v>
      </c>
      <c r="AP21" s="289">
        <f>IFERROR(_xlfn.XLOOKUP($A21,CFR20242025_BenchMarkDataReport!$B:$B,CFR20242025_BenchMarkDataReport!BO:BO),0)</f>
        <v>0</v>
      </c>
      <c r="AQ21" s="289">
        <f>IFERROR(_xlfn.XLOOKUP($A21,CFR20242025_BenchMarkDataReport!$B:$B,CFR20242025_BenchMarkDataReport!BP:BP),0)</f>
        <v>6370.51</v>
      </c>
      <c r="AR21" s="289">
        <f>IFERROR(_xlfn.XLOOKUP($A21,CFR20242025_BenchMarkDataReport!$B:$B,CFR20242025_BenchMarkDataReport!BQ:BQ),0)</f>
        <v>8914.02</v>
      </c>
      <c r="AS21" s="289">
        <f>IFERROR(_xlfn.XLOOKUP($A21,CFR20242025_BenchMarkDataReport!$B:$B,CFR20242025_BenchMarkDataReport!BR:BR),0)</f>
        <v>9068.56</v>
      </c>
      <c r="AT21" s="289">
        <f>IFERROR(_xlfn.XLOOKUP($A21,CFR20242025_BenchMarkDataReport!$B:$B,CFR20242025_BenchMarkDataReport!BS:BS),0)</f>
        <v>88724.28</v>
      </c>
      <c r="AU21" s="289">
        <f>IFERROR(_xlfn.XLOOKUP($A21,CFR20242025_BenchMarkDataReport!$B:$B,CFR20242025_BenchMarkDataReport!BT:BT),0)</f>
        <v>22429.98</v>
      </c>
      <c r="AV21" s="289">
        <f>IFERROR(_xlfn.XLOOKUP($A21,CFR20242025_BenchMarkDataReport!$B:$B,CFR20242025_BenchMarkDataReport!BU:BU),0)</f>
        <v>117368.67</v>
      </c>
      <c r="AW21" s="289">
        <f>IFERROR(_xlfn.XLOOKUP($A21,CFR20242025_BenchMarkDataReport!$B:$B,CFR20242025_BenchMarkDataReport!BV:BV),0)</f>
        <v>24216</v>
      </c>
      <c r="AX21" s="289">
        <f>IFERROR(_xlfn.XLOOKUP($A21,CFR20242025_BenchMarkDataReport!$B:$B,CFR20242025_BenchMarkDataReport!BW:BW),0)</f>
        <v>0</v>
      </c>
      <c r="AY21" s="289">
        <f>IFERROR(_xlfn.XLOOKUP($A21,CFR20242025_BenchMarkDataReport!$B:$B,CFR20242025_BenchMarkDataReport!BX:BX),0)</f>
        <v>0</v>
      </c>
      <c r="AZ21" s="289">
        <f>IFERROR(_xlfn.XLOOKUP($A21,CFR20242025_BenchMarkDataReport!$B:$B,CFR20242025_BenchMarkDataReport!BY:BY),0)</f>
        <v>0</v>
      </c>
      <c r="BA21" s="289">
        <f>IFERROR(_xlfn.XLOOKUP($A21,CFR20242025_BenchMarkDataReport!$B:$B,CFR20242025_BenchMarkDataReport!BZ:BZ),0)</f>
        <v>0</v>
      </c>
      <c r="BB21" s="289">
        <f>IFERROR(_xlfn.XLOOKUP($A21,CFR20242025_BenchMarkDataReport!$B:$B,CFR20242025_BenchMarkDataReport!CA:CA),0)</f>
        <v>0</v>
      </c>
      <c r="BC21" s="290">
        <f t="shared" si="33"/>
        <v>2080788.8700000003</v>
      </c>
      <c r="BD21" s="291">
        <f t="shared" si="101"/>
        <v>2094128.24</v>
      </c>
      <c r="BE21" s="325">
        <f t="shared" si="102"/>
        <v>-13339.369999999646</v>
      </c>
      <c r="BF21" s="289">
        <f>IFERROR(_xlfn.XLOOKUP(A21,CFR20242025_BenchMarkDataReport!B:B,CFR20242025_BenchMarkDataReport!Q:Q),0)</f>
        <v>-40014.629999999997</v>
      </c>
      <c r="BG21" s="290">
        <f t="shared" si="0"/>
        <v>-53353.999999999643</v>
      </c>
      <c r="BH21" s="292">
        <f>_xlfn.XLOOKUP(A21,'Pupil on roll 24-25'!E:E,'Pupil on roll 24-25'!I:I)</f>
        <v>218</v>
      </c>
      <c r="BI21" s="291">
        <f t="shared" si="1"/>
        <v>1813938.13</v>
      </c>
      <c r="BJ21" t="s">
        <v>190</v>
      </c>
      <c r="BK21" s="293">
        <f t="shared" si="34"/>
        <v>0.67870807575013592</v>
      </c>
      <c r="BL21" s="294">
        <f t="shared" si="35"/>
        <v>6478.2027981651372</v>
      </c>
      <c r="BM21" s="295">
        <f t="shared" si="36"/>
        <v>0</v>
      </c>
      <c r="BN21" s="296">
        <f t="shared" si="37"/>
        <v>0</v>
      </c>
      <c r="BO21" s="293">
        <f t="shared" si="38"/>
        <v>0.19304693801058245</v>
      </c>
      <c r="BP21" s="294">
        <f t="shared" si="39"/>
        <v>1842.6143119266055</v>
      </c>
      <c r="BQ21" s="295">
        <f t="shared" si="40"/>
        <v>0</v>
      </c>
      <c r="BR21" s="296">
        <f t="shared" si="41"/>
        <v>0</v>
      </c>
      <c r="BS21" s="293">
        <f t="shared" si="42"/>
        <v>2.5605673294475086E-2</v>
      </c>
      <c r="BT21" s="294">
        <f t="shared" si="43"/>
        <v>244.40366972477065</v>
      </c>
      <c r="BU21" s="295">
        <f t="shared" si="44"/>
        <v>1.5521084558665482E-3</v>
      </c>
      <c r="BV21" s="296">
        <f t="shared" si="45"/>
        <v>14.814724770642203</v>
      </c>
      <c r="BW21" s="293">
        <f t="shared" si="46"/>
        <v>3.1156827554541845E-2</v>
      </c>
      <c r="BX21" s="294">
        <f t="shared" si="47"/>
        <v>297.3888990825688</v>
      </c>
      <c r="BY21" s="295">
        <f t="shared" si="48"/>
        <v>2.6823173078583409E-2</v>
      </c>
      <c r="BZ21" s="297">
        <f t="shared" si="49"/>
        <v>256.02458715596333</v>
      </c>
      <c r="CA21" s="298">
        <f t="shared" si="50"/>
        <v>7.0013494449343138E-3</v>
      </c>
      <c r="CB21" s="299">
        <f t="shared" si="51"/>
        <v>66.827201834862379</v>
      </c>
      <c r="CC21" s="295">
        <f t="shared" si="52"/>
        <v>3.6076605888419608E-3</v>
      </c>
      <c r="CD21" s="296">
        <f t="shared" si="53"/>
        <v>34.434770642201833</v>
      </c>
      <c r="CE21" s="300">
        <f t="shared" si="54"/>
        <v>0.55623410375082638</v>
      </c>
      <c r="CF21" s="298">
        <f t="shared" si="55"/>
        <v>0.48489986876948254</v>
      </c>
      <c r="CG21" s="298">
        <f t="shared" si="56"/>
        <v>0.48181110914200748</v>
      </c>
      <c r="CH21" s="299">
        <f t="shared" si="57"/>
        <v>4628.3222477064219</v>
      </c>
      <c r="CI21" s="295">
        <f t="shared" si="58"/>
        <v>0.23764317143495961</v>
      </c>
      <c r="CJ21" s="301">
        <f t="shared" si="59"/>
        <v>0.20716662618442397</v>
      </c>
      <c r="CK21" s="301">
        <f t="shared" si="60"/>
        <v>0.20584699722114441</v>
      </c>
      <c r="CL21" s="302">
        <f t="shared" si="61"/>
        <v>1977.3853669724772</v>
      </c>
      <c r="CM21" s="300">
        <f t="shared" si="62"/>
        <v>1.846587237239453E-2</v>
      </c>
      <c r="CN21" s="298">
        <f t="shared" si="63"/>
        <v>1.6097716824100463E-2</v>
      </c>
      <c r="CO21" s="298">
        <f t="shared" si="64"/>
        <v>1.5995176112041733E-2</v>
      </c>
      <c r="CP21" s="299">
        <f t="shared" si="65"/>
        <v>153.65114678899081</v>
      </c>
      <c r="CQ21" s="295">
        <f t="shared" si="66"/>
        <v>4.8658561469238207E-2</v>
      </c>
      <c r="CR21" s="301">
        <f t="shared" si="67"/>
        <v>4.2418344923192512E-2</v>
      </c>
      <c r="CS21" s="301">
        <f t="shared" si="68"/>
        <v>4.2148144661856998E-2</v>
      </c>
      <c r="CT21" s="296">
        <f t="shared" si="69"/>
        <v>404.87899082568805</v>
      </c>
      <c r="CU21" s="300">
        <f t="shared" si="70"/>
        <v>0.85422674256260345</v>
      </c>
      <c r="CV21" s="298">
        <f t="shared" si="71"/>
        <v>0.74467644571743596</v>
      </c>
      <c r="CW21" s="298">
        <f t="shared" si="72"/>
        <v>0.73993293744035471</v>
      </c>
      <c r="CX21" s="299">
        <f t="shared" si="73"/>
        <v>7107.8644954128449</v>
      </c>
      <c r="CY21" s="295">
        <f t="shared" si="74"/>
        <v>1.2786753647435594E-2</v>
      </c>
      <c r="CZ21" s="301">
        <f t="shared" si="75"/>
        <v>1.1075911950836402E-2</v>
      </c>
      <c r="DA21" s="296">
        <f t="shared" si="76"/>
        <v>106.39623853211009</v>
      </c>
      <c r="DB21" s="300">
        <f t="shared" si="77"/>
        <v>1.5278099683140704E-3</v>
      </c>
      <c r="DC21" s="299">
        <f t="shared" si="78"/>
        <v>14.676284403669724</v>
      </c>
      <c r="DD21" s="295">
        <f t="shared" si="79"/>
        <v>2.0066974390135349E-2</v>
      </c>
      <c r="DE21" s="301">
        <f t="shared" si="80"/>
        <v>1.7382053928082265E-2</v>
      </c>
      <c r="DF21" s="296">
        <f t="shared" si="81"/>
        <v>166.973623853211</v>
      </c>
      <c r="DG21" s="300">
        <f t="shared" si="82"/>
        <v>7.1677417134398081E-3</v>
      </c>
      <c r="DH21" s="298">
        <f t="shared" si="83"/>
        <v>6.2087124139064186E-3</v>
      </c>
      <c r="DI21" s="303">
        <f t="shared" si="84"/>
        <v>59.641467889908256</v>
      </c>
      <c r="DJ21" s="295">
        <f t="shared" si="85"/>
        <v>2.8267783311881758E-2</v>
      </c>
      <c r="DK21" s="301">
        <f t="shared" si="86"/>
        <v>2.4642581830034489E-2</v>
      </c>
      <c r="DL21" s="301">
        <f t="shared" si="87"/>
        <v>2.4485611253683301E-2</v>
      </c>
      <c r="DM21" s="296">
        <f t="shared" si="88"/>
        <v>235.21105504587157</v>
      </c>
      <c r="DN21" s="300">
        <f t="shared" si="89"/>
        <v>3.5119775557063792E-3</v>
      </c>
      <c r="DO21" s="298">
        <f t="shared" si="90"/>
        <v>3.0420820837600664E-3</v>
      </c>
      <c r="DP21" s="299">
        <f t="shared" si="91"/>
        <v>29.222522935779818</v>
      </c>
      <c r="DQ21" s="295">
        <f t="shared" si="92"/>
        <v>6.4703788987554939E-2</v>
      </c>
      <c r="DR21" s="301">
        <f t="shared" si="93"/>
        <v>5.604655329035628E-2</v>
      </c>
      <c r="DS21" s="296">
        <f t="shared" si="94"/>
        <v>538.38839449541285</v>
      </c>
      <c r="DT21" s="300">
        <f t="shared" si="95"/>
        <v>4.2368121639007168E-2</v>
      </c>
      <c r="DU21" s="299">
        <f t="shared" si="96"/>
        <v>406.99211009174309</v>
      </c>
      <c r="DV21" s="295">
        <f t="shared" si="25"/>
        <v>1.9098486537768099E-2</v>
      </c>
      <c r="DW21" s="296">
        <f t="shared" si="97"/>
        <v>183.46183486238533</v>
      </c>
      <c r="DX21" s="295">
        <f t="shared" si="103"/>
        <v>1.9846321880890173E-5</v>
      </c>
      <c r="DY21" s="301">
        <f t="shared" si="98"/>
        <v>1.7301130604375058E-5</v>
      </c>
      <c r="DZ21" s="301">
        <f t="shared" si="99"/>
        <v>1.719092427692012E-5</v>
      </c>
      <c r="EA21" s="296">
        <f t="shared" si="100"/>
        <v>0.16513761467889909</v>
      </c>
      <c r="EB21" s="304">
        <f>IFERROR(_xlfn.XLOOKUP(A21,'Pupil on roll 24-25'!E:E,'Pupil on roll 24-25'!R:R),0)</f>
        <v>36</v>
      </c>
      <c r="EC21" s="289">
        <f>IFERROR(_xlfn.XLOOKUP(A21,CFR20242025_BenchMarkDataReport!B:B,CFR20242025_BenchMarkDataReport!AK:AK),0)</f>
        <v>5897.56</v>
      </c>
      <c r="ED21" s="289">
        <f>IFERROR(_xlfn.XLOOKUP(A21,CFR20242025_BenchMarkDataReport!B:B,CFR20242025_BenchMarkDataReport!AL:AL),0)</f>
        <v>60828</v>
      </c>
    </row>
    <row r="22" spans="1:134">
      <c r="A22" s="322">
        <v>3302</v>
      </c>
      <c r="B22" s="323">
        <v>10050</v>
      </c>
      <c r="C22" s="322" t="s">
        <v>46</v>
      </c>
      <c r="D22" s="289">
        <f>IFERROR(_xlfn.XLOOKUP($A22,CFR20242025_BenchMarkDataReport!$B:$B,CFR20242025_BenchMarkDataReport!T:T),0)</f>
        <v>1228480.99</v>
      </c>
      <c r="E22" s="289">
        <f>IFERROR(_xlfn.XLOOKUP($A22,CFR20242025_BenchMarkDataReport!$B:$B,CFR20242025_BenchMarkDataReport!U:U),0)</f>
        <v>0</v>
      </c>
      <c r="F22" s="289">
        <f>IFERROR(_xlfn.XLOOKUP($A22,CFR20242025_BenchMarkDataReport!$B:$B,CFR20242025_BenchMarkDataReport!V:V),0)</f>
        <v>92551.98</v>
      </c>
      <c r="G22" s="289">
        <f>IFERROR(_xlfn.XLOOKUP($A22,CFR20242025_BenchMarkDataReport!$B:$B,CFR20242025_BenchMarkDataReport!W:W),0)</f>
        <v>0</v>
      </c>
      <c r="H22" s="289">
        <f>IFERROR(_xlfn.XLOOKUP($A22,CFR20242025_BenchMarkDataReport!$B:$B,CFR20242025_BenchMarkDataReport!X:X),0)</f>
        <v>38790</v>
      </c>
      <c r="I22" s="289">
        <f>IFERROR(_xlfn.XLOOKUP($A22,CFR20242025_BenchMarkDataReport!$B:$B,CFR20242025_BenchMarkDataReport!Y:Y),0)</f>
        <v>0</v>
      </c>
      <c r="J22" s="289">
        <f>IFERROR(_xlfn.XLOOKUP($A22,CFR20242025_BenchMarkDataReport!$B:$B,CFR20242025_BenchMarkDataReport!Z:Z),0)</f>
        <v>57533.89</v>
      </c>
      <c r="K22" s="289">
        <f>IFERROR(_xlfn.XLOOKUP($A22,CFR20242025_BenchMarkDataReport!$B:$B,CFR20242025_BenchMarkDataReport!AA:AA),0)</f>
        <v>7003.39</v>
      </c>
      <c r="L22" s="289">
        <f>IFERROR(_xlfn.XLOOKUP($A22,CFR20242025_BenchMarkDataReport!$B:$B,CFR20242025_BenchMarkDataReport!AB:AB),0)</f>
        <v>55306.8</v>
      </c>
      <c r="M22" s="289">
        <f>IFERROR(_xlfn.XLOOKUP($A22,CFR20242025_BenchMarkDataReport!$B:$B,CFR20242025_BenchMarkDataReport!AC:AC),0)</f>
        <v>4942.3100000000004</v>
      </c>
      <c r="N22" s="289">
        <f>IFERROR(_xlfn.XLOOKUP($A22,CFR20242025_BenchMarkDataReport!$B:$B,CFR20242025_BenchMarkDataReport!AD:AD),0)</f>
        <v>400</v>
      </c>
      <c r="O22" s="289">
        <f>IFERROR(_xlfn.XLOOKUP($A22,CFR20242025_BenchMarkDataReport!$B:$B,CFR20242025_BenchMarkDataReport!AE:AE),0)</f>
        <v>3584</v>
      </c>
      <c r="P22" s="289">
        <f>IFERROR(_xlfn.XLOOKUP($A22,CFR20242025_BenchMarkDataReport!$B:$B,CFR20242025_BenchMarkDataReport!AF:AF),0)</f>
        <v>59414.5</v>
      </c>
      <c r="Q22" s="289">
        <f>IFERROR(_xlfn.XLOOKUP($A22,CFR20242025_BenchMarkDataReport!$B:$B,CFR20242025_BenchMarkDataReport!AG:AG),0)</f>
        <v>18503.16</v>
      </c>
      <c r="R22" s="289">
        <f>IFERROR(_xlfn.XLOOKUP($A22,CFR20242025_BenchMarkDataReport!$B:$B,CFR20242025_BenchMarkDataReport!AH:AH),0)</f>
        <v>0</v>
      </c>
      <c r="S22" s="289">
        <f>IFERROR(_xlfn.XLOOKUP($A22,CFR20242025_BenchMarkDataReport!$B:$B,CFR20242025_BenchMarkDataReport!AI:AI),0)</f>
        <v>0</v>
      </c>
      <c r="T22" s="289">
        <f>IFERROR(_xlfn.XLOOKUP($A22,CFR20242025_BenchMarkDataReport!$B:$B,CFR20242025_BenchMarkDataReport!AJ:AJ),0)</f>
        <v>0</v>
      </c>
      <c r="U22" s="289">
        <f>INDEX(CFR20242025_BenchMarkDataReport!$B$3:$AM$87,MATCH(A22,CFR20242025_BenchMarkDataReport!$B$3:$B$87),MATCH($U$2,CFR20242025_BenchMarkDataReport!$B$3:$AM$3,0))</f>
        <v>50474.5</v>
      </c>
      <c r="V22" s="289">
        <f>IFERROR(_xlfn.XLOOKUP($A22,CFR20242025_BenchMarkDataReport!$B:$B,CFR20242025_BenchMarkDataReport!AN:AN),0)</f>
        <v>836864.29</v>
      </c>
      <c r="W22" s="289">
        <f>IFERROR(_xlfn.XLOOKUP($A22,CFR20242025_BenchMarkDataReport!$B:$B,CFR20242025_BenchMarkDataReport!AO:AO),0)</f>
        <v>0</v>
      </c>
      <c r="X22" s="289">
        <f>IFERROR(_xlfn.XLOOKUP($A22,CFR20242025_BenchMarkDataReport!$B:$B,CFR20242025_BenchMarkDataReport!AP:AP),0)</f>
        <v>332805.65999999997</v>
      </c>
      <c r="Y22" s="289">
        <f>IFERROR(_xlfn.XLOOKUP($A22,CFR20242025_BenchMarkDataReport!$B:$B,CFR20242025_BenchMarkDataReport!AQ:AQ),0)</f>
        <v>44417.47</v>
      </c>
      <c r="Z22" s="289">
        <f>IFERROR(_xlfn.XLOOKUP($A22,CFR20242025_BenchMarkDataReport!$B:$B,CFR20242025_BenchMarkDataReport!AR:AR),0)</f>
        <v>61543.55</v>
      </c>
      <c r="AA22" s="289">
        <f>IFERROR(_xlfn.XLOOKUP($A22,CFR20242025_BenchMarkDataReport!$B:$B,CFR20242025_BenchMarkDataReport!AS:AS),0)</f>
        <v>0</v>
      </c>
      <c r="AB22" s="289">
        <f>IFERROR(_xlfn.XLOOKUP($A22,CFR20242025_BenchMarkDataReport!$B:$B,CFR20242025_BenchMarkDataReport!AT:AT),0)</f>
        <v>39364.85</v>
      </c>
      <c r="AC22" s="289">
        <f>IFERROR(_xlfn.XLOOKUP($A22,CFR20242025_BenchMarkDataReport!$B:$B,CFR20242025_BenchMarkDataReport!AU:AU),0)</f>
        <v>2174.92</v>
      </c>
      <c r="AD22" s="289">
        <f>IFERROR(_xlfn.XLOOKUP($A22,CFR20242025_BenchMarkDataReport!$B:$B,CFR20242025_BenchMarkDataReport!AV:AV),0)</f>
        <v>3974.98</v>
      </c>
      <c r="AE22" s="289">
        <f>IFERROR(_xlfn.XLOOKUP($A22,CFR20242025_BenchMarkDataReport!$B:$B,CFR20242025_BenchMarkDataReport!AW:AW),0)</f>
        <v>8423.59</v>
      </c>
      <c r="AF22" s="289">
        <f>IFERROR(_xlfn.XLOOKUP($A22,CFR20242025_BenchMarkDataReport!$B:$B,CFR20242025_BenchMarkDataReport!AX:AX),0)</f>
        <v>0</v>
      </c>
      <c r="AG22" s="289">
        <f>IFERROR(_xlfn.XLOOKUP($A22,CFR20242025_BenchMarkDataReport!$B:$B,CFR20242025_BenchMarkDataReport!AY:AY),0)</f>
        <v>15450.74</v>
      </c>
      <c r="AH22" s="289">
        <f>IFERROR(_xlfn.XLOOKUP($A22,CFR20242025_BenchMarkDataReport!$B:$B,CFR20242025_BenchMarkDataReport!AZ:AZ),0)</f>
        <v>2229.52</v>
      </c>
      <c r="AI22" s="289">
        <f>IFERROR(_xlfn.XLOOKUP($A22,CFR20242025_BenchMarkDataReport!$B:$B,CFR20242025_BenchMarkDataReport!BA:BA),0)</f>
        <v>22002.639999999999</v>
      </c>
      <c r="AJ22" s="289">
        <f>IFERROR(_xlfn.XLOOKUP($A22,CFR20242025_BenchMarkDataReport!$B:$B,CFR20242025_BenchMarkDataReport!BB:BB),0)</f>
        <v>1655.46</v>
      </c>
      <c r="AK22" s="289">
        <f>IFERROR(_xlfn.XLOOKUP($A22,CFR20242025_BenchMarkDataReport!$B:$B,CFR20242025_BenchMarkDataReport!BC:BC),0)</f>
        <v>26300.9</v>
      </c>
      <c r="AL22" s="289">
        <f>IFERROR(_xlfn.XLOOKUP($A22,CFR20242025_BenchMarkDataReport!$B:$B,CFR20242025_BenchMarkDataReport!BD:BD),0)</f>
        <v>5652.34</v>
      </c>
      <c r="AM22" s="289">
        <f>IFERROR(_xlfn.XLOOKUP($A22,CFR20242025_BenchMarkDataReport!$B:$B,CFR20242025_BenchMarkDataReport!BE:BE),0)</f>
        <v>2720.01</v>
      </c>
      <c r="AN22" s="289">
        <f>IFERROR(_xlfn.XLOOKUP($A22,CFR20242025_BenchMarkDataReport!$B:$B,CFR20242025_BenchMarkDataReport!BF:BF),0)</f>
        <v>68385.820000000007</v>
      </c>
      <c r="AO22" s="289">
        <f>IFERROR(_xlfn.XLOOKUP($A22,CFR20242025_BenchMarkDataReport!$B:$B,CFR20242025_BenchMarkDataReport!BN:BN),0)</f>
        <v>37677.82</v>
      </c>
      <c r="AP22" s="289">
        <f>IFERROR(_xlfn.XLOOKUP($A22,CFR20242025_BenchMarkDataReport!$B:$B,CFR20242025_BenchMarkDataReport!BO:BO),0)</f>
        <v>0</v>
      </c>
      <c r="AQ22" s="289">
        <f>IFERROR(_xlfn.XLOOKUP($A22,CFR20242025_BenchMarkDataReport!$B:$B,CFR20242025_BenchMarkDataReport!BP:BP),0)</f>
        <v>377.69</v>
      </c>
      <c r="AR22" s="289">
        <f>IFERROR(_xlfn.XLOOKUP($A22,CFR20242025_BenchMarkDataReport!$B:$B,CFR20242025_BenchMarkDataReport!BQ:BQ),0)</f>
        <v>10670.9</v>
      </c>
      <c r="AS22" s="289">
        <f>IFERROR(_xlfn.XLOOKUP($A22,CFR20242025_BenchMarkDataReport!$B:$B,CFR20242025_BenchMarkDataReport!BR:BR),0)</f>
        <v>11313.61</v>
      </c>
      <c r="AT22" s="289">
        <f>IFERROR(_xlfn.XLOOKUP($A22,CFR20242025_BenchMarkDataReport!$B:$B,CFR20242025_BenchMarkDataReport!BS:BS),0)</f>
        <v>93248.22</v>
      </c>
      <c r="AU22" s="289">
        <f>IFERROR(_xlfn.XLOOKUP($A22,CFR20242025_BenchMarkDataReport!$B:$B,CFR20242025_BenchMarkDataReport!BT:BT),0)</f>
        <v>0</v>
      </c>
      <c r="AV22" s="289">
        <f>IFERROR(_xlfn.XLOOKUP($A22,CFR20242025_BenchMarkDataReport!$B:$B,CFR20242025_BenchMarkDataReport!BU:BU),0)</f>
        <v>17033.68</v>
      </c>
      <c r="AW22" s="289">
        <f>IFERROR(_xlfn.XLOOKUP($A22,CFR20242025_BenchMarkDataReport!$B:$B,CFR20242025_BenchMarkDataReport!BV:BV),0)</f>
        <v>22880.76</v>
      </c>
      <c r="AX22" s="289">
        <f>IFERROR(_xlfn.XLOOKUP($A22,CFR20242025_BenchMarkDataReport!$B:$B,CFR20242025_BenchMarkDataReport!BW:BW),0)</f>
        <v>0</v>
      </c>
      <c r="AY22" s="289">
        <f>IFERROR(_xlfn.XLOOKUP($A22,CFR20242025_BenchMarkDataReport!$B:$B,CFR20242025_BenchMarkDataReport!BX:BX),0)</f>
        <v>0</v>
      </c>
      <c r="AZ22" s="289">
        <f>IFERROR(_xlfn.XLOOKUP($A22,CFR20242025_BenchMarkDataReport!$B:$B,CFR20242025_BenchMarkDataReport!BY:BY),0)</f>
        <v>0</v>
      </c>
      <c r="BA22" s="289">
        <f>IFERROR(_xlfn.XLOOKUP($A22,CFR20242025_BenchMarkDataReport!$B:$B,CFR20242025_BenchMarkDataReport!BZ:BZ),0)</f>
        <v>0</v>
      </c>
      <c r="BB22" s="289">
        <f>IFERROR(_xlfn.XLOOKUP($A22,CFR20242025_BenchMarkDataReport!$B:$B,CFR20242025_BenchMarkDataReport!CA:CA),0)</f>
        <v>0</v>
      </c>
      <c r="BC22" s="290">
        <f t="shared" si="33"/>
        <v>1616985.5199999998</v>
      </c>
      <c r="BD22" s="291">
        <f t="shared" si="101"/>
        <v>1667169.42</v>
      </c>
      <c r="BE22" s="325">
        <f t="shared" si="102"/>
        <v>-50183.90000000014</v>
      </c>
      <c r="BF22" s="289">
        <f>IFERROR(_xlfn.XLOOKUP(A22,CFR20242025_BenchMarkDataReport!B:B,CFR20242025_BenchMarkDataReport!Q:Q),0)</f>
        <v>347635.9</v>
      </c>
      <c r="BG22" s="290">
        <f t="shared" si="0"/>
        <v>297451.99999999988</v>
      </c>
      <c r="BH22" s="292">
        <f>_xlfn.XLOOKUP(A22,'Pupil on roll 24-25'!E:E,'Pupil on roll 24-25'!I:I)</f>
        <v>203</v>
      </c>
      <c r="BI22" s="291">
        <f t="shared" si="1"/>
        <v>1321032.97</v>
      </c>
      <c r="BJ22" t="s">
        <v>190</v>
      </c>
      <c r="BK22" s="293">
        <f t="shared" si="34"/>
        <v>0.75973530672061929</v>
      </c>
      <c r="BL22" s="294">
        <f t="shared" si="35"/>
        <v>6051.6304926108378</v>
      </c>
      <c r="BM22" s="295">
        <f t="shared" si="36"/>
        <v>0</v>
      </c>
      <c r="BN22" s="296">
        <f t="shared" si="37"/>
        <v>0</v>
      </c>
      <c r="BO22" s="293">
        <f t="shared" si="38"/>
        <v>5.7237358563359313E-2</v>
      </c>
      <c r="BP22" s="294">
        <f t="shared" si="39"/>
        <v>455.92108374384236</v>
      </c>
      <c r="BQ22" s="295">
        <f t="shared" si="40"/>
        <v>0</v>
      </c>
      <c r="BR22" s="296">
        <f t="shared" si="41"/>
        <v>0</v>
      </c>
      <c r="BS22" s="293">
        <f t="shared" si="42"/>
        <v>2.398908309333531E-2</v>
      </c>
      <c r="BT22" s="294">
        <f t="shared" si="43"/>
        <v>191.08374384236453</v>
      </c>
      <c r="BU22" s="295">
        <f t="shared" si="44"/>
        <v>0</v>
      </c>
      <c r="BV22" s="296">
        <f t="shared" si="45"/>
        <v>0</v>
      </c>
      <c r="BW22" s="293">
        <f t="shared" si="46"/>
        <v>3.5580955604351983E-2</v>
      </c>
      <c r="BX22" s="294">
        <f t="shared" si="47"/>
        <v>283.41817733990149</v>
      </c>
      <c r="BY22" s="295">
        <f t="shared" si="48"/>
        <v>3.8534785394986101E-2</v>
      </c>
      <c r="BZ22" s="297">
        <f t="shared" si="49"/>
        <v>306.9467487684729</v>
      </c>
      <c r="CA22" s="298">
        <f t="shared" si="50"/>
        <v>3.6743990137895609E-2</v>
      </c>
      <c r="CB22" s="299">
        <f t="shared" si="51"/>
        <v>292.68226600985224</v>
      </c>
      <c r="CC22" s="295">
        <f t="shared" si="52"/>
        <v>1.1442996718981134E-2</v>
      </c>
      <c r="CD22" s="296">
        <f t="shared" si="53"/>
        <v>91.148571428571429</v>
      </c>
      <c r="CE22" s="300">
        <f t="shared" si="54"/>
        <v>0.63349235712110963</v>
      </c>
      <c r="CF22" s="298">
        <f t="shared" si="55"/>
        <v>0.51754593943426297</v>
      </c>
      <c r="CG22" s="298">
        <f t="shared" si="56"/>
        <v>0.50196715460387953</v>
      </c>
      <c r="CH22" s="299">
        <f t="shared" si="57"/>
        <v>4122.484187192118</v>
      </c>
      <c r="CI22" s="295">
        <f t="shared" si="58"/>
        <v>0.25192835270417208</v>
      </c>
      <c r="CJ22" s="301">
        <f t="shared" si="59"/>
        <v>0.20581857776932969</v>
      </c>
      <c r="CK22" s="301">
        <f t="shared" si="60"/>
        <v>0.19962317926872722</v>
      </c>
      <c r="CL22" s="302">
        <f t="shared" si="61"/>
        <v>1639.4367487684729</v>
      </c>
      <c r="CM22" s="300">
        <f t="shared" si="62"/>
        <v>3.362328648012472E-2</v>
      </c>
      <c r="CN22" s="298">
        <f t="shared" si="63"/>
        <v>2.7469305971274255E-2</v>
      </c>
      <c r="CO22" s="298">
        <f t="shared" si="64"/>
        <v>2.6642445253104514E-2</v>
      </c>
      <c r="CP22" s="299">
        <f t="shared" si="65"/>
        <v>218.80527093596061</v>
      </c>
      <c r="CQ22" s="295">
        <f t="shared" si="66"/>
        <v>4.658744436938618E-2</v>
      </c>
      <c r="CR22" s="301">
        <f t="shared" si="67"/>
        <v>3.8060668595226513E-2</v>
      </c>
      <c r="CS22" s="301">
        <f t="shared" si="68"/>
        <v>3.6914994518073639E-2</v>
      </c>
      <c r="CT22" s="296">
        <f t="shared" si="69"/>
        <v>303.170197044335</v>
      </c>
      <c r="CU22" s="300">
        <f t="shared" si="70"/>
        <v>0.99542997779987286</v>
      </c>
      <c r="CV22" s="298">
        <f t="shared" si="71"/>
        <v>0.81323908206673379</v>
      </c>
      <c r="CW22" s="298">
        <f t="shared" si="72"/>
        <v>0.78875956110087486</v>
      </c>
      <c r="CX22" s="299">
        <f t="shared" si="73"/>
        <v>6477.8119211822659</v>
      </c>
      <c r="CY22" s="295">
        <f t="shared" si="74"/>
        <v>1.1695953356864363E-2</v>
      </c>
      <c r="CZ22" s="301">
        <f t="shared" si="75"/>
        <v>9.2676483953262525E-3</v>
      </c>
      <c r="DA22" s="296">
        <f t="shared" si="76"/>
        <v>76.112019704433493</v>
      </c>
      <c r="DB22" s="300">
        <f t="shared" si="77"/>
        <v>9.9297646666287828E-4</v>
      </c>
      <c r="DC22" s="299">
        <f t="shared" si="78"/>
        <v>8.1549753694581284</v>
      </c>
      <c r="DD22" s="295">
        <f t="shared" si="79"/>
        <v>1.9909344124847999E-2</v>
      </c>
      <c r="DE22" s="301">
        <f t="shared" si="80"/>
        <v>1.5775781204048239E-2</v>
      </c>
      <c r="DF22" s="296">
        <f t="shared" si="81"/>
        <v>129.56108374384237</v>
      </c>
      <c r="DG22" s="300">
        <f t="shared" si="82"/>
        <v>2.0590023578291165E-3</v>
      </c>
      <c r="DH22" s="298">
        <f t="shared" si="83"/>
        <v>1.6315138505839438E-3</v>
      </c>
      <c r="DI22" s="303">
        <f t="shared" si="84"/>
        <v>13.399064039408868</v>
      </c>
      <c r="DJ22" s="295">
        <f t="shared" si="85"/>
        <v>5.1766929026760028E-2</v>
      </c>
      <c r="DK22" s="301">
        <f t="shared" si="86"/>
        <v>4.2292165980558696E-2</v>
      </c>
      <c r="DL22" s="301">
        <f t="shared" si="87"/>
        <v>4.1019118500865981E-2</v>
      </c>
      <c r="DM22" s="296">
        <f t="shared" si="88"/>
        <v>336.87596059113304</v>
      </c>
      <c r="DN22" s="300">
        <f t="shared" si="89"/>
        <v>2.8590505201395541E-4</v>
      </c>
      <c r="DO22" s="298">
        <f t="shared" si="90"/>
        <v>2.2654566204795192E-4</v>
      </c>
      <c r="DP22" s="299">
        <f t="shared" si="91"/>
        <v>1.8605418719211821</v>
      </c>
      <c r="DQ22" s="295">
        <f t="shared" si="92"/>
        <v>1.2894212625139855E-2</v>
      </c>
      <c r="DR22" s="301">
        <f t="shared" si="93"/>
        <v>1.0217125983512822E-2</v>
      </c>
      <c r="DS22" s="296">
        <f t="shared" si="94"/>
        <v>83.909753694581283</v>
      </c>
      <c r="DT22" s="300">
        <f t="shared" si="95"/>
        <v>5.5932059982242238E-2</v>
      </c>
      <c r="DU22" s="299">
        <f t="shared" si="96"/>
        <v>459.35083743842364</v>
      </c>
      <c r="DV22" s="295">
        <f t="shared" si="25"/>
        <v>1.3197602916684977E-2</v>
      </c>
      <c r="DW22" s="296">
        <f t="shared" si="97"/>
        <v>108.38738916256158</v>
      </c>
      <c r="DX22" s="295">
        <f t="shared" si="103"/>
        <v>1.5896650936728701E-5</v>
      </c>
      <c r="DY22" s="301">
        <f t="shared" si="98"/>
        <v>1.2987129284868304E-5</v>
      </c>
      <c r="DZ22" s="301">
        <f t="shared" si="99"/>
        <v>1.259620033097776E-5</v>
      </c>
      <c r="EA22" s="296">
        <f t="shared" si="100"/>
        <v>0.10344827586206896</v>
      </c>
      <c r="EB22" s="304">
        <f>IFERROR(_xlfn.XLOOKUP(A22,'Pupil on roll 24-25'!E:E,'Pupil on roll 24-25'!R:R),0)</f>
        <v>21</v>
      </c>
      <c r="EC22" s="289">
        <f>IFERROR(_xlfn.XLOOKUP(A22,CFR20242025_BenchMarkDataReport!B:B,CFR20242025_BenchMarkDataReport!AK:AK),0)</f>
        <v>2487.5</v>
      </c>
      <c r="ED22" s="289">
        <f>IFERROR(_xlfn.XLOOKUP(A22,CFR20242025_BenchMarkDataReport!B:B,CFR20242025_BenchMarkDataReport!AL:AL),0)</f>
        <v>47987</v>
      </c>
    </row>
    <row r="23" spans="1:134">
      <c r="A23" s="322">
        <v>2011</v>
      </c>
      <c r="B23" s="323">
        <v>10051</v>
      </c>
      <c r="C23" s="322" t="s">
        <v>47</v>
      </c>
      <c r="D23" s="289">
        <f>IFERROR(_xlfn.XLOOKUP($A23,CFR20242025_BenchMarkDataReport!$B:$B,CFR20242025_BenchMarkDataReport!T:T),0)</f>
        <v>1200085.3500000001</v>
      </c>
      <c r="E23" s="289">
        <f>IFERROR(_xlfn.XLOOKUP($A23,CFR20242025_BenchMarkDataReport!$B:$B,CFR20242025_BenchMarkDataReport!U:U),0)</f>
        <v>0</v>
      </c>
      <c r="F23" s="289">
        <f>IFERROR(_xlfn.XLOOKUP($A23,CFR20242025_BenchMarkDataReport!$B:$B,CFR20242025_BenchMarkDataReport!V:V),0)</f>
        <v>116024.42</v>
      </c>
      <c r="G23" s="289">
        <f>IFERROR(_xlfn.XLOOKUP($A23,CFR20242025_BenchMarkDataReport!$B:$B,CFR20242025_BenchMarkDataReport!W:W),0)</f>
        <v>0</v>
      </c>
      <c r="H23" s="289">
        <f>IFERROR(_xlfn.XLOOKUP($A23,CFR20242025_BenchMarkDataReport!$B:$B,CFR20242025_BenchMarkDataReport!X:X),0)</f>
        <v>65647</v>
      </c>
      <c r="I23" s="289">
        <f>IFERROR(_xlfn.XLOOKUP($A23,CFR20242025_BenchMarkDataReport!$B:$B,CFR20242025_BenchMarkDataReport!Y:Y),0)</f>
        <v>20787.14</v>
      </c>
      <c r="J23" s="289">
        <f>IFERROR(_xlfn.XLOOKUP($A23,CFR20242025_BenchMarkDataReport!$B:$B,CFR20242025_BenchMarkDataReport!Z:Z),0)</f>
        <v>61793.120000000003</v>
      </c>
      <c r="K23" s="289">
        <f>IFERROR(_xlfn.XLOOKUP($A23,CFR20242025_BenchMarkDataReport!$B:$B,CFR20242025_BenchMarkDataReport!AA:AA),0)</f>
        <v>2347.2399999999998</v>
      </c>
      <c r="L23" s="289">
        <f>IFERROR(_xlfn.XLOOKUP($A23,CFR20242025_BenchMarkDataReport!$B:$B,CFR20242025_BenchMarkDataReport!AB:AB),0)</f>
        <v>74017.02</v>
      </c>
      <c r="M23" s="289">
        <f>IFERROR(_xlfn.XLOOKUP($A23,CFR20242025_BenchMarkDataReport!$B:$B,CFR20242025_BenchMarkDataReport!AC:AC),0)</f>
        <v>271.13</v>
      </c>
      <c r="N23" s="289">
        <f>IFERROR(_xlfn.XLOOKUP($A23,CFR20242025_BenchMarkDataReport!$B:$B,CFR20242025_BenchMarkDataReport!AD:AD),0)</f>
        <v>0</v>
      </c>
      <c r="O23" s="289">
        <f>IFERROR(_xlfn.XLOOKUP($A23,CFR20242025_BenchMarkDataReport!$B:$B,CFR20242025_BenchMarkDataReport!AE:AE),0)</f>
        <v>630.87</v>
      </c>
      <c r="P23" s="289">
        <f>IFERROR(_xlfn.XLOOKUP($A23,CFR20242025_BenchMarkDataReport!$B:$B,CFR20242025_BenchMarkDataReport!AF:AF),0)</f>
        <v>24658.81</v>
      </c>
      <c r="Q23" s="289">
        <f>IFERROR(_xlfn.XLOOKUP($A23,CFR20242025_BenchMarkDataReport!$B:$B,CFR20242025_BenchMarkDataReport!AG:AG),0)</f>
        <v>6116.19</v>
      </c>
      <c r="R23" s="289">
        <f>IFERROR(_xlfn.XLOOKUP($A23,CFR20242025_BenchMarkDataReport!$B:$B,CFR20242025_BenchMarkDataReport!AH:AH),0)</f>
        <v>0</v>
      </c>
      <c r="S23" s="289">
        <f>IFERROR(_xlfn.XLOOKUP($A23,CFR20242025_BenchMarkDataReport!$B:$B,CFR20242025_BenchMarkDataReport!AI:AI),0)</f>
        <v>0</v>
      </c>
      <c r="T23" s="289">
        <f>IFERROR(_xlfn.XLOOKUP($A23,CFR20242025_BenchMarkDataReport!$B:$B,CFR20242025_BenchMarkDataReport!AJ:AJ),0)</f>
        <v>0</v>
      </c>
      <c r="U23" s="289">
        <f>INDEX(CFR20242025_BenchMarkDataReport!$B$3:$AM$87,MATCH(A23,CFR20242025_BenchMarkDataReport!$B$3:$B$87),MATCH($U$2,CFR20242025_BenchMarkDataReport!$B$3:$AM$3,0))</f>
        <v>46931.75</v>
      </c>
      <c r="V23" s="289">
        <f>IFERROR(_xlfn.XLOOKUP($A23,CFR20242025_BenchMarkDataReport!$B:$B,CFR20242025_BenchMarkDataReport!AN:AN),0)</f>
        <v>772327.44</v>
      </c>
      <c r="W23" s="289">
        <f>IFERROR(_xlfn.XLOOKUP($A23,CFR20242025_BenchMarkDataReport!$B:$B,CFR20242025_BenchMarkDataReport!AO:AO),0)</f>
        <v>0</v>
      </c>
      <c r="X23" s="289">
        <f>IFERROR(_xlfn.XLOOKUP($A23,CFR20242025_BenchMarkDataReport!$B:$B,CFR20242025_BenchMarkDataReport!AP:AP),0)</f>
        <v>287716.15999999997</v>
      </c>
      <c r="Y23" s="289">
        <f>IFERROR(_xlfn.XLOOKUP($A23,CFR20242025_BenchMarkDataReport!$B:$B,CFR20242025_BenchMarkDataReport!AQ:AQ),0)</f>
        <v>29767.68</v>
      </c>
      <c r="Z23" s="289">
        <f>IFERROR(_xlfn.XLOOKUP($A23,CFR20242025_BenchMarkDataReport!$B:$B,CFR20242025_BenchMarkDataReport!AR:AR),0)</f>
        <v>65481.3</v>
      </c>
      <c r="AA23" s="289">
        <f>IFERROR(_xlfn.XLOOKUP($A23,CFR20242025_BenchMarkDataReport!$B:$B,CFR20242025_BenchMarkDataReport!AS:AS),0)</f>
        <v>0</v>
      </c>
      <c r="AB23" s="289">
        <f>IFERROR(_xlfn.XLOOKUP($A23,CFR20242025_BenchMarkDataReport!$B:$B,CFR20242025_BenchMarkDataReport!AT:AT),0)</f>
        <v>76159.5</v>
      </c>
      <c r="AC23" s="289">
        <f>IFERROR(_xlfn.XLOOKUP($A23,CFR20242025_BenchMarkDataReport!$B:$B,CFR20242025_BenchMarkDataReport!AU:AU),0)</f>
        <v>6743.14</v>
      </c>
      <c r="AD23" s="289">
        <f>IFERROR(_xlfn.XLOOKUP($A23,CFR20242025_BenchMarkDataReport!$B:$B,CFR20242025_BenchMarkDataReport!AV:AV),0)</f>
        <v>5152.43</v>
      </c>
      <c r="AE23" s="289">
        <f>IFERROR(_xlfn.XLOOKUP($A23,CFR20242025_BenchMarkDataReport!$B:$B,CFR20242025_BenchMarkDataReport!AW:AW),0)</f>
        <v>340.3</v>
      </c>
      <c r="AF23" s="289">
        <f>IFERROR(_xlfn.XLOOKUP($A23,CFR20242025_BenchMarkDataReport!$B:$B,CFR20242025_BenchMarkDataReport!AX:AX),0)</f>
        <v>0</v>
      </c>
      <c r="AG23" s="289">
        <f>IFERROR(_xlfn.XLOOKUP($A23,CFR20242025_BenchMarkDataReport!$B:$B,CFR20242025_BenchMarkDataReport!AY:AY),0)</f>
        <v>32599.98</v>
      </c>
      <c r="AH23" s="289">
        <f>IFERROR(_xlfn.XLOOKUP($A23,CFR20242025_BenchMarkDataReport!$B:$B,CFR20242025_BenchMarkDataReport!AZ:AZ),0)</f>
        <v>5693</v>
      </c>
      <c r="AI23" s="289">
        <f>IFERROR(_xlfn.XLOOKUP($A23,CFR20242025_BenchMarkDataReport!$B:$B,CFR20242025_BenchMarkDataReport!BA:BA),0)</f>
        <v>23689.17</v>
      </c>
      <c r="AJ23" s="289">
        <f>IFERROR(_xlfn.XLOOKUP($A23,CFR20242025_BenchMarkDataReport!$B:$B,CFR20242025_BenchMarkDataReport!BB:BB),0)</f>
        <v>1451.17</v>
      </c>
      <c r="AK23" s="289">
        <f>IFERROR(_xlfn.XLOOKUP($A23,CFR20242025_BenchMarkDataReport!$B:$B,CFR20242025_BenchMarkDataReport!BC:BC),0)</f>
        <v>36696.07</v>
      </c>
      <c r="AL23" s="289">
        <f>IFERROR(_xlfn.XLOOKUP($A23,CFR20242025_BenchMarkDataReport!$B:$B,CFR20242025_BenchMarkDataReport!BD:BD),0)</f>
        <v>25243.94</v>
      </c>
      <c r="AM23" s="289">
        <f>IFERROR(_xlfn.XLOOKUP($A23,CFR20242025_BenchMarkDataReport!$B:$B,CFR20242025_BenchMarkDataReport!BE:BE),0)</f>
        <v>10500.35</v>
      </c>
      <c r="AN23" s="289">
        <f>IFERROR(_xlfn.XLOOKUP($A23,CFR20242025_BenchMarkDataReport!$B:$B,CFR20242025_BenchMarkDataReport!BF:BF),0)</f>
        <v>56289.79</v>
      </c>
      <c r="AO23" s="289">
        <f>IFERROR(_xlfn.XLOOKUP($A23,CFR20242025_BenchMarkDataReport!$B:$B,CFR20242025_BenchMarkDataReport!BN:BN),0)</f>
        <v>29449.43</v>
      </c>
      <c r="AP23" s="289">
        <f>IFERROR(_xlfn.XLOOKUP($A23,CFR20242025_BenchMarkDataReport!$B:$B,CFR20242025_BenchMarkDataReport!BO:BO),0)</f>
        <v>0</v>
      </c>
      <c r="AQ23" s="289">
        <f>IFERROR(_xlfn.XLOOKUP($A23,CFR20242025_BenchMarkDataReport!$B:$B,CFR20242025_BenchMarkDataReport!BP:BP),0)</f>
        <v>1716.48</v>
      </c>
      <c r="AR23" s="289">
        <f>IFERROR(_xlfn.XLOOKUP($A23,CFR20242025_BenchMarkDataReport!$B:$B,CFR20242025_BenchMarkDataReport!BQ:BQ),0)</f>
        <v>11142.45</v>
      </c>
      <c r="AS23" s="289">
        <f>IFERROR(_xlfn.XLOOKUP($A23,CFR20242025_BenchMarkDataReport!$B:$B,CFR20242025_BenchMarkDataReport!BR:BR),0)</f>
        <v>32564.91</v>
      </c>
      <c r="AT23" s="289">
        <f>IFERROR(_xlfn.XLOOKUP($A23,CFR20242025_BenchMarkDataReport!$B:$B,CFR20242025_BenchMarkDataReport!BS:BS),0)</f>
        <v>75637.289999999994</v>
      </c>
      <c r="AU23" s="289">
        <f>IFERROR(_xlfn.XLOOKUP($A23,CFR20242025_BenchMarkDataReport!$B:$B,CFR20242025_BenchMarkDataReport!BT:BT),0)</f>
        <v>3682</v>
      </c>
      <c r="AV23" s="289">
        <f>IFERROR(_xlfn.XLOOKUP($A23,CFR20242025_BenchMarkDataReport!$B:$B,CFR20242025_BenchMarkDataReport!BU:BU),0)</f>
        <v>79685.34</v>
      </c>
      <c r="AW23" s="289">
        <f>IFERROR(_xlfn.XLOOKUP($A23,CFR20242025_BenchMarkDataReport!$B:$B,CFR20242025_BenchMarkDataReport!BV:BV),0)</f>
        <v>20434.259999999998</v>
      </c>
      <c r="AX23" s="289">
        <f>IFERROR(_xlfn.XLOOKUP($A23,CFR20242025_BenchMarkDataReport!$B:$B,CFR20242025_BenchMarkDataReport!BW:BW),0)</f>
        <v>0</v>
      </c>
      <c r="AY23" s="289">
        <f>IFERROR(_xlfn.XLOOKUP($A23,CFR20242025_BenchMarkDataReport!$B:$B,CFR20242025_BenchMarkDataReport!BX:BX),0)</f>
        <v>0</v>
      </c>
      <c r="AZ23" s="289">
        <f>IFERROR(_xlfn.XLOOKUP($A23,CFR20242025_BenchMarkDataReport!$B:$B,CFR20242025_BenchMarkDataReport!BY:BY),0)</f>
        <v>3619</v>
      </c>
      <c r="BA23" s="289">
        <f>IFERROR(_xlfn.XLOOKUP($A23,CFR20242025_BenchMarkDataReport!$B:$B,CFR20242025_BenchMarkDataReport!BZ:BZ),0)</f>
        <v>0</v>
      </c>
      <c r="BB23" s="289">
        <f>IFERROR(_xlfn.XLOOKUP($A23,CFR20242025_BenchMarkDataReport!$B:$B,CFR20242025_BenchMarkDataReport!CA:CA),0)</f>
        <v>0</v>
      </c>
      <c r="BC23" s="290">
        <f t="shared" si="33"/>
        <v>1619310.04</v>
      </c>
      <c r="BD23" s="291">
        <f>SUM(V23:AZ23)</f>
        <v>1693782.5799999996</v>
      </c>
      <c r="BE23" s="325">
        <f t="shared" si="102"/>
        <v>-74472.539999999572</v>
      </c>
      <c r="BF23" s="289">
        <f>IFERROR(_xlfn.XLOOKUP(A23,CFR20242025_BenchMarkDataReport!B:B,CFR20242025_BenchMarkDataReport!Q:Q),0)</f>
        <v>-171995.46</v>
      </c>
      <c r="BG23" s="290">
        <f t="shared" si="0"/>
        <v>-246467.99999999956</v>
      </c>
      <c r="BH23" s="292">
        <f>_xlfn.XLOOKUP(A23,'Pupil on roll 24-25'!E:E,'Pupil on roll 24-25'!I:I)</f>
        <v>205</v>
      </c>
      <c r="BI23" s="291">
        <f t="shared" si="1"/>
        <v>1316109.77</v>
      </c>
      <c r="BJ23" t="s">
        <v>190</v>
      </c>
      <c r="BK23" s="293">
        <f t="shared" si="34"/>
        <v>0.74110906519174058</v>
      </c>
      <c r="BL23" s="294">
        <f t="shared" si="35"/>
        <v>5854.0748780487811</v>
      </c>
      <c r="BM23" s="295">
        <f t="shared" si="36"/>
        <v>0</v>
      </c>
      <c r="BN23" s="296">
        <f t="shared" si="37"/>
        <v>0</v>
      </c>
      <c r="BO23" s="293">
        <f t="shared" si="38"/>
        <v>7.1650528394179527E-2</v>
      </c>
      <c r="BP23" s="294">
        <f t="shared" si="39"/>
        <v>565.97278048780493</v>
      </c>
      <c r="BQ23" s="295">
        <f t="shared" si="40"/>
        <v>0</v>
      </c>
      <c r="BR23" s="296">
        <f t="shared" si="41"/>
        <v>0</v>
      </c>
      <c r="BS23" s="293">
        <f t="shared" si="42"/>
        <v>4.0540105587191934E-2</v>
      </c>
      <c r="BT23" s="294">
        <f t="shared" si="43"/>
        <v>320.22926829268295</v>
      </c>
      <c r="BU23" s="295">
        <f t="shared" si="44"/>
        <v>1.2837035210378859E-2</v>
      </c>
      <c r="BV23" s="296">
        <f t="shared" si="45"/>
        <v>101.40068292682926</v>
      </c>
      <c r="BW23" s="293">
        <f t="shared" si="46"/>
        <v>3.8160153691136255E-2</v>
      </c>
      <c r="BX23" s="294">
        <f t="shared" si="47"/>
        <v>301.42985365853662</v>
      </c>
      <c r="BY23" s="295">
        <f t="shared" si="48"/>
        <v>4.715851696936308E-2</v>
      </c>
      <c r="BZ23" s="297">
        <f t="shared" si="49"/>
        <v>372.50858536585372</v>
      </c>
      <c r="CA23" s="298">
        <f t="shared" si="50"/>
        <v>1.5227973266935342E-2</v>
      </c>
      <c r="CB23" s="299">
        <f t="shared" si="51"/>
        <v>120.28687804878049</v>
      </c>
      <c r="CC23" s="295">
        <f t="shared" si="52"/>
        <v>3.777034569612129E-3</v>
      </c>
      <c r="CD23" s="296">
        <f t="shared" si="53"/>
        <v>29.835073170731704</v>
      </c>
      <c r="CE23" s="300">
        <f t="shared" si="54"/>
        <v>0.58962364514625554</v>
      </c>
      <c r="CF23" s="298">
        <f t="shared" si="55"/>
        <v>0.4792222741977194</v>
      </c>
      <c r="CG23" s="298">
        <f t="shared" si="56"/>
        <v>0.4581517422383693</v>
      </c>
      <c r="CH23" s="299">
        <f t="shared" si="57"/>
        <v>3785.4119024390243</v>
      </c>
      <c r="CI23" s="295">
        <f t="shared" si="58"/>
        <v>0.21861106615749837</v>
      </c>
      <c r="CJ23" s="301">
        <f t="shared" si="59"/>
        <v>0.17767824128355306</v>
      </c>
      <c r="CK23" s="301">
        <f t="shared" si="60"/>
        <v>0.16986605211159986</v>
      </c>
      <c r="CL23" s="302">
        <f t="shared" si="61"/>
        <v>1403.4934634146341</v>
      </c>
      <c r="CM23" s="300">
        <f t="shared" si="62"/>
        <v>2.2617931025616503E-2</v>
      </c>
      <c r="CN23" s="298">
        <f t="shared" si="63"/>
        <v>1.8382940428134441E-2</v>
      </c>
      <c r="CO23" s="298">
        <f t="shared" si="64"/>
        <v>1.7574675965790137E-2</v>
      </c>
      <c r="CP23" s="299">
        <f t="shared" si="65"/>
        <v>145.20819512195123</v>
      </c>
      <c r="CQ23" s="295">
        <f t="shared" si="66"/>
        <v>4.9753676701298252E-2</v>
      </c>
      <c r="CR23" s="301">
        <f t="shared" si="67"/>
        <v>4.0437778055152432E-2</v>
      </c>
      <c r="CS23" s="301">
        <f t="shared" si="68"/>
        <v>3.8659802487754961E-2</v>
      </c>
      <c r="CT23" s="296">
        <f t="shared" si="69"/>
        <v>319.42097560975611</v>
      </c>
      <c r="CU23" s="300">
        <f t="shared" si="70"/>
        <v>0.93567581372790798</v>
      </c>
      <c r="CV23" s="298">
        <f t="shared" si="71"/>
        <v>0.76047949409366955</v>
      </c>
      <c r="CW23" s="298">
        <f t="shared" si="72"/>
        <v>0.72704259362497403</v>
      </c>
      <c r="CX23" s="299">
        <f t="shared" si="73"/>
        <v>6007.0833170731703</v>
      </c>
      <c r="CY23" s="295">
        <f t="shared" si="74"/>
        <v>2.4769955168709064E-2</v>
      </c>
      <c r="CZ23" s="301">
        <f t="shared" si="75"/>
        <v>1.9246850442870896E-2</v>
      </c>
      <c r="DA23" s="296">
        <f t="shared" si="76"/>
        <v>159.02429268292684</v>
      </c>
      <c r="DB23" s="300">
        <f t="shared" si="77"/>
        <v>8.5676285559625981E-4</v>
      </c>
      <c r="DC23" s="299">
        <f t="shared" si="78"/>
        <v>7.0788780487804885</v>
      </c>
      <c r="DD23" s="295">
        <f t="shared" si="79"/>
        <v>2.7882225963568371E-2</v>
      </c>
      <c r="DE23" s="301">
        <f t="shared" si="80"/>
        <v>2.1665159645224363E-2</v>
      </c>
      <c r="DF23" s="296">
        <f t="shared" si="81"/>
        <v>179.00521951219511</v>
      </c>
      <c r="DG23" s="300">
        <f t="shared" si="82"/>
        <v>7.9783238749150838E-3</v>
      </c>
      <c r="DH23" s="298">
        <f t="shared" si="83"/>
        <v>6.1993493875701581E-3</v>
      </c>
      <c r="DI23" s="303">
        <f t="shared" si="84"/>
        <v>51.221219512195127</v>
      </c>
      <c r="DJ23" s="295">
        <f t="shared" si="85"/>
        <v>4.2769829145786219E-2</v>
      </c>
      <c r="DK23" s="301">
        <f t="shared" si="86"/>
        <v>3.4761588954268452E-2</v>
      </c>
      <c r="DL23" s="301">
        <f t="shared" si="87"/>
        <v>3.3233185099825514E-2</v>
      </c>
      <c r="DM23" s="296">
        <f t="shared" si="88"/>
        <v>274.58434146341466</v>
      </c>
      <c r="DN23" s="300">
        <f t="shared" si="89"/>
        <v>1.3042073230715399E-3</v>
      </c>
      <c r="DO23" s="298">
        <f t="shared" si="90"/>
        <v>1.0134004330118924E-3</v>
      </c>
      <c r="DP23" s="299">
        <f t="shared" si="91"/>
        <v>8.3730731707317076</v>
      </c>
      <c r="DQ23" s="295">
        <f t="shared" si="92"/>
        <v>6.0546119948642271E-2</v>
      </c>
      <c r="DR23" s="301">
        <f t="shared" si="93"/>
        <v>4.704579025721236E-2</v>
      </c>
      <c r="DS23" s="296">
        <f t="shared" si="94"/>
        <v>388.70897560975607</v>
      </c>
      <c r="DT23" s="300">
        <f t="shared" si="95"/>
        <v>4.465584360892412E-2</v>
      </c>
      <c r="DU23" s="299">
        <f t="shared" si="96"/>
        <v>368.96239024390241</v>
      </c>
      <c r="DV23" s="295">
        <f t="shared" si="25"/>
        <v>1.3985956804444172E-2</v>
      </c>
      <c r="DW23" s="296">
        <f t="shared" si="97"/>
        <v>115.55692682926828</v>
      </c>
      <c r="DX23" s="295">
        <f t="shared" si="103"/>
        <v>2.9632786632987308E-5</v>
      </c>
      <c r="DY23" s="301">
        <f t="shared" si="98"/>
        <v>2.4084331620645049E-5</v>
      </c>
      <c r="DZ23" s="301">
        <f t="shared" si="99"/>
        <v>2.3025387355205891E-5</v>
      </c>
      <c r="EA23" s="296">
        <f t="shared" si="100"/>
        <v>0.19024390243902439</v>
      </c>
      <c r="EB23" s="304">
        <f>IFERROR(_xlfn.XLOOKUP(A23,'Pupil on roll 24-25'!E:E,'Pupil on roll 24-25'!R:R),0)</f>
        <v>39</v>
      </c>
      <c r="EC23" s="289">
        <f>IFERROR(_xlfn.XLOOKUP(A23,CFR20242025_BenchMarkDataReport!B:B,CFR20242025_BenchMarkDataReport!AK:AK),0)</f>
        <v>5018.75</v>
      </c>
      <c r="ED23" s="289">
        <f>IFERROR(_xlfn.XLOOKUP(A23,CFR20242025_BenchMarkDataReport!B:B,CFR20242025_BenchMarkDataReport!AL:AL),0)</f>
        <v>41913</v>
      </c>
    </row>
    <row r="24" spans="1:134">
      <c r="A24" s="322">
        <v>2014</v>
      </c>
      <c r="B24" s="323">
        <v>10054</v>
      </c>
      <c r="C24" s="322" t="s">
        <v>49</v>
      </c>
      <c r="D24" s="289">
        <f>IFERROR(_xlfn.XLOOKUP($A24,CFR20242025_BenchMarkDataReport!$B:$B,CFR20242025_BenchMarkDataReport!T:T),0)</f>
        <v>4149489.92</v>
      </c>
      <c r="E24" s="289">
        <f>IFERROR(_xlfn.XLOOKUP($A24,CFR20242025_BenchMarkDataReport!$B:$B,CFR20242025_BenchMarkDataReport!U:U),0)</f>
        <v>0</v>
      </c>
      <c r="F24" s="289">
        <f>IFERROR(_xlfn.XLOOKUP($A24,CFR20242025_BenchMarkDataReport!$B:$B,CFR20242025_BenchMarkDataReport!V:V),0)</f>
        <v>408564.1</v>
      </c>
      <c r="G24" s="289">
        <f>IFERROR(_xlfn.XLOOKUP($A24,CFR20242025_BenchMarkDataReport!$B:$B,CFR20242025_BenchMarkDataReport!W:W),0)</f>
        <v>0</v>
      </c>
      <c r="H24" s="289">
        <f>IFERROR(_xlfn.XLOOKUP($A24,CFR20242025_BenchMarkDataReport!$B:$B,CFR20242025_BenchMarkDataReport!X:X),0)</f>
        <v>264530</v>
      </c>
      <c r="I24" s="289">
        <f>IFERROR(_xlfn.XLOOKUP($A24,CFR20242025_BenchMarkDataReport!$B:$B,CFR20242025_BenchMarkDataReport!Y:Y),0)</f>
        <v>8044.76</v>
      </c>
      <c r="J24" s="289">
        <f>IFERROR(_xlfn.XLOOKUP($A24,CFR20242025_BenchMarkDataReport!$B:$B,CFR20242025_BenchMarkDataReport!Z:Z),0)</f>
        <v>132839.76999999999</v>
      </c>
      <c r="K24" s="289">
        <f>IFERROR(_xlfn.XLOOKUP($A24,CFR20242025_BenchMarkDataReport!$B:$B,CFR20242025_BenchMarkDataReport!AA:AA),0)</f>
        <v>47755.53</v>
      </c>
      <c r="L24" s="289">
        <f>IFERROR(_xlfn.XLOOKUP($A24,CFR20242025_BenchMarkDataReport!$B:$B,CFR20242025_BenchMarkDataReport!AB:AB),0)</f>
        <v>18428.330000000002</v>
      </c>
      <c r="M24" s="289">
        <f>IFERROR(_xlfn.XLOOKUP($A24,CFR20242025_BenchMarkDataReport!$B:$B,CFR20242025_BenchMarkDataReport!AC:AC),0)</f>
        <v>309.91000000000003</v>
      </c>
      <c r="N24" s="289">
        <f>IFERROR(_xlfn.XLOOKUP($A24,CFR20242025_BenchMarkDataReport!$B:$B,CFR20242025_BenchMarkDataReport!AD:AD),0)</f>
        <v>0</v>
      </c>
      <c r="O24" s="289">
        <f>IFERROR(_xlfn.XLOOKUP($A24,CFR20242025_BenchMarkDataReport!$B:$B,CFR20242025_BenchMarkDataReport!AE:AE),0)</f>
        <v>0</v>
      </c>
      <c r="P24" s="289">
        <f>IFERROR(_xlfn.XLOOKUP($A24,CFR20242025_BenchMarkDataReport!$B:$B,CFR20242025_BenchMarkDataReport!AF:AF),0)</f>
        <v>73823.75</v>
      </c>
      <c r="Q24" s="289">
        <f>IFERROR(_xlfn.XLOOKUP($A24,CFR20242025_BenchMarkDataReport!$B:$B,CFR20242025_BenchMarkDataReport!AG:AG),0)</f>
        <v>19.72</v>
      </c>
      <c r="R24" s="289">
        <f>IFERROR(_xlfn.XLOOKUP($A24,CFR20242025_BenchMarkDataReport!$B:$B,CFR20242025_BenchMarkDataReport!AH:AH),0)</f>
        <v>0</v>
      </c>
      <c r="S24" s="289">
        <f>IFERROR(_xlfn.XLOOKUP($A24,CFR20242025_BenchMarkDataReport!$B:$B,CFR20242025_BenchMarkDataReport!AI:AI),0)</f>
        <v>0</v>
      </c>
      <c r="T24" s="289">
        <f>IFERROR(_xlfn.XLOOKUP($A24,CFR20242025_BenchMarkDataReport!$B:$B,CFR20242025_BenchMarkDataReport!AJ:AJ),0)</f>
        <v>0</v>
      </c>
      <c r="U24" s="289">
        <f>INDEX(CFR20242025_BenchMarkDataReport!$B$3:$AM$87,MATCH(A24,CFR20242025_BenchMarkDataReport!$B$3:$B$87),MATCH($U$2,CFR20242025_BenchMarkDataReport!$B$3:$AM$3,0))</f>
        <v>132540.38</v>
      </c>
      <c r="V24" s="289">
        <f>IFERROR(_xlfn.XLOOKUP($A24,CFR20242025_BenchMarkDataReport!$B:$B,CFR20242025_BenchMarkDataReport!AN:AN),0)</f>
        <v>2218240.4</v>
      </c>
      <c r="W24" s="289">
        <f>IFERROR(_xlfn.XLOOKUP($A24,CFR20242025_BenchMarkDataReport!$B:$B,CFR20242025_BenchMarkDataReport!AO:AO),0)</f>
        <v>0</v>
      </c>
      <c r="X24" s="289">
        <f>IFERROR(_xlfn.XLOOKUP($A24,CFR20242025_BenchMarkDataReport!$B:$B,CFR20242025_BenchMarkDataReport!AP:AP),0)</f>
        <v>1048338.65</v>
      </c>
      <c r="Y24" s="289">
        <f>IFERROR(_xlfn.XLOOKUP($A24,CFR20242025_BenchMarkDataReport!$B:$B,CFR20242025_BenchMarkDataReport!AQ:AQ),0)</f>
        <v>112013.15</v>
      </c>
      <c r="Z24" s="289">
        <f>IFERROR(_xlfn.XLOOKUP($A24,CFR20242025_BenchMarkDataReport!$B:$B,CFR20242025_BenchMarkDataReport!AR:AR),0)</f>
        <v>189482.7</v>
      </c>
      <c r="AA24" s="289">
        <f>IFERROR(_xlfn.XLOOKUP($A24,CFR20242025_BenchMarkDataReport!$B:$B,CFR20242025_BenchMarkDataReport!AS:AS),0)</f>
        <v>0</v>
      </c>
      <c r="AB24" s="289">
        <f>IFERROR(_xlfn.XLOOKUP($A24,CFR20242025_BenchMarkDataReport!$B:$B,CFR20242025_BenchMarkDataReport!AT:AT),0)</f>
        <v>117779.94</v>
      </c>
      <c r="AC24" s="289">
        <f>IFERROR(_xlfn.XLOOKUP($A24,CFR20242025_BenchMarkDataReport!$B:$B,CFR20242025_BenchMarkDataReport!AU:AU),0)</f>
        <v>25312.39</v>
      </c>
      <c r="AD24" s="289">
        <f>IFERROR(_xlfn.XLOOKUP($A24,CFR20242025_BenchMarkDataReport!$B:$B,CFR20242025_BenchMarkDataReport!AV:AV),0)</f>
        <v>7041.01</v>
      </c>
      <c r="AE24" s="289">
        <f>IFERROR(_xlfn.XLOOKUP($A24,CFR20242025_BenchMarkDataReport!$B:$B,CFR20242025_BenchMarkDataReport!AW:AW),0)</f>
        <v>1040.82</v>
      </c>
      <c r="AF24" s="289">
        <f>IFERROR(_xlfn.XLOOKUP($A24,CFR20242025_BenchMarkDataReport!$B:$B,CFR20242025_BenchMarkDataReport!AX:AX),0)</f>
        <v>0</v>
      </c>
      <c r="AG24" s="289">
        <f>IFERROR(_xlfn.XLOOKUP($A24,CFR20242025_BenchMarkDataReport!$B:$B,CFR20242025_BenchMarkDataReport!AY:AY),0)</f>
        <v>152657.62</v>
      </c>
      <c r="AH24" s="289">
        <f>IFERROR(_xlfn.XLOOKUP($A24,CFR20242025_BenchMarkDataReport!$B:$B,CFR20242025_BenchMarkDataReport!AZ:AZ),0)</f>
        <v>12771.16</v>
      </c>
      <c r="AI24" s="289">
        <f>IFERROR(_xlfn.XLOOKUP($A24,CFR20242025_BenchMarkDataReport!$B:$B,CFR20242025_BenchMarkDataReport!BA:BA),0)</f>
        <v>74435.42</v>
      </c>
      <c r="AJ24" s="289">
        <f>IFERROR(_xlfn.XLOOKUP($A24,CFR20242025_BenchMarkDataReport!$B:$B,CFR20242025_BenchMarkDataReport!BB:BB),0)</f>
        <v>17271.89</v>
      </c>
      <c r="AK24" s="289">
        <f>IFERROR(_xlfn.XLOOKUP($A24,CFR20242025_BenchMarkDataReport!$B:$B,CFR20242025_BenchMarkDataReport!BC:BC),0)</f>
        <v>150560.18</v>
      </c>
      <c r="AL24" s="289">
        <f>IFERROR(_xlfn.XLOOKUP($A24,CFR20242025_BenchMarkDataReport!$B:$B,CFR20242025_BenchMarkDataReport!BD:BD),0)</f>
        <v>134207.76</v>
      </c>
      <c r="AM24" s="289">
        <f>IFERROR(_xlfn.XLOOKUP($A24,CFR20242025_BenchMarkDataReport!$B:$B,CFR20242025_BenchMarkDataReport!BE:BE),0)</f>
        <v>33301.94</v>
      </c>
      <c r="AN24" s="289">
        <f>IFERROR(_xlfn.XLOOKUP($A24,CFR20242025_BenchMarkDataReport!$B:$B,CFR20242025_BenchMarkDataReport!BF:BF),0)</f>
        <v>108241.83</v>
      </c>
      <c r="AO24" s="289">
        <f>IFERROR(_xlfn.XLOOKUP($A24,CFR20242025_BenchMarkDataReport!$B:$B,CFR20242025_BenchMarkDataReport!BN:BN),0)</f>
        <v>67562.19</v>
      </c>
      <c r="AP24" s="289">
        <f>IFERROR(_xlfn.XLOOKUP($A24,CFR20242025_BenchMarkDataReport!$B:$B,CFR20242025_BenchMarkDataReport!BO:BO),0)</f>
        <v>0</v>
      </c>
      <c r="AQ24" s="289">
        <f>IFERROR(_xlfn.XLOOKUP($A24,CFR20242025_BenchMarkDataReport!$B:$B,CFR20242025_BenchMarkDataReport!BP:BP),0)</f>
        <v>34612.97</v>
      </c>
      <c r="AR24" s="289">
        <f>IFERROR(_xlfn.XLOOKUP($A24,CFR20242025_BenchMarkDataReport!$B:$B,CFR20242025_BenchMarkDataReport!BQ:BQ),0)</f>
        <v>26328.03</v>
      </c>
      <c r="AS24" s="289">
        <f>IFERROR(_xlfn.XLOOKUP($A24,CFR20242025_BenchMarkDataReport!$B:$B,CFR20242025_BenchMarkDataReport!BR:BR),0)</f>
        <v>16756.93</v>
      </c>
      <c r="AT24" s="289">
        <f>IFERROR(_xlfn.XLOOKUP($A24,CFR20242025_BenchMarkDataReport!$B:$B,CFR20242025_BenchMarkDataReport!BS:BS),0)</f>
        <v>251258.28</v>
      </c>
      <c r="AU24" s="289">
        <f>IFERROR(_xlfn.XLOOKUP($A24,CFR20242025_BenchMarkDataReport!$B:$B,CFR20242025_BenchMarkDataReport!BT:BT),0)</f>
        <v>64879.56</v>
      </c>
      <c r="AV24" s="289">
        <f>IFERROR(_xlfn.XLOOKUP($A24,CFR20242025_BenchMarkDataReport!$B:$B,CFR20242025_BenchMarkDataReport!BU:BU),0)</f>
        <v>390498.5</v>
      </c>
      <c r="AW24" s="289">
        <f>IFERROR(_xlfn.XLOOKUP($A24,CFR20242025_BenchMarkDataReport!$B:$B,CFR20242025_BenchMarkDataReport!BV:BV),0)</f>
        <v>64669.65</v>
      </c>
      <c r="AX24" s="289">
        <f>IFERROR(_xlfn.XLOOKUP($A24,CFR20242025_BenchMarkDataReport!$B:$B,CFR20242025_BenchMarkDataReport!BW:BW),0)</f>
        <v>900</v>
      </c>
      <c r="AY24" s="289">
        <f>IFERROR(_xlfn.XLOOKUP($A24,CFR20242025_BenchMarkDataReport!$B:$B,CFR20242025_BenchMarkDataReport!BX:BX),0)</f>
        <v>0</v>
      </c>
      <c r="AZ24" s="289">
        <f>IFERROR(_xlfn.XLOOKUP($A24,CFR20242025_BenchMarkDataReport!$B:$B,CFR20242025_BenchMarkDataReport!BY:BY),0)</f>
        <v>100480</v>
      </c>
      <c r="BA24" s="289">
        <f>IFERROR(_xlfn.XLOOKUP($A24,CFR20242025_BenchMarkDataReport!$B:$B,CFR20242025_BenchMarkDataReport!BZ:BZ),0)</f>
        <v>0</v>
      </c>
      <c r="BB24" s="289">
        <f>IFERROR(_xlfn.XLOOKUP($A24,CFR20242025_BenchMarkDataReport!$B:$B,CFR20242025_BenchMarkDataReport!CA:CA),0)</f>
        <v>0</v>
      </c>
      <c r="BC24" s="290">
        <f t="shared" si="33"/>
        <v>5236346.169999999</v>
      </c>
      <c r="BD24" s="291">
        <f t="shared" si="101"/>
        <v>5420642.9700000007</v>
      </c>
      <c r="BE24" s="325">
        <f t="shared" si="102"/>
        <v>-184296.80000000168</v>
      </c>
      <c r="BF24" s="289">
        <f>IFERROR(_xlfn.XLOOKUP(A24,CFR20242025_BenchMarkDataReport!B:B,CFR20242025_BenchMarkDataReport!Q:Q),0)</f>
        <v>80713.02</v>
      </c>
      <c r="BG24" s="290">
        <f t="shared" si="0"/>
        <v>-103583.78000000167</v>
      </c>
      <c r="BH24" s="292">
        <f>_xlfn.XLOOKUP(A24,'Pupil on roll 24-25'!E:E,'Pupil on roll 24-25'!I:I)</f>
        <v>627</v>
      </c>
      <c r="BI24" s="291">
        <f t="shared" si="1"/>
        <v>4558054.0199999996</v>
      </c>
      <c r="BJ24" t="s">
        <v>190</v>
      </c>
      <c r="BK24" s="293">
        <f t="shared" si="34"/>
        <v>0.7924399543661188</v>
      </c>
      <c r="BL24" s="294">
        <f t="shared" si="35"/>
        <v>6618.00625199362</v>
      </c>
      <c r="BM24" s="295">
        <f t="shared" si="36"/>
        <v>0</v>
      </c>
      <c r="BN24" s="296">
        <f t="shared" si="37"/>
        <v>0</v>
      </c>
      <c r="BO24" s="293">
        <f t="shared" si="38"/>
        <v>7.8024654355500725E-2</v>
      </c>
      <c r="BP24" s="294">
        <f t="shared" si="39"/>
        <v>651.61738437001588</v>
      </c>
      <c r="BQ24" s="295">
        <f t="shared" si="40"/>
        <v>0</v>
      </c>
      <c r="BR24" s="296">
        <f t="shared" si="41"/>
        <v>0</v>
      </c>
      <c r="BS24" s="293">
        <f t="shared" si="42"/>
        <v>5.0518050451962393E-2</v>
      </c>
      <c r="BT24" s="294">
        <f t="shared" si="43"/>
        <v>421.89792663476874</v>
      </c>
      <c r="BU24" s="295">
        <f t="shared" si="44"/>
        <v>1.5363308190145882E-3</v>
      </c>
      <c r="BV24" s="296">
        <f t="shared" si="45"/>
        <v>12.83055821371611</v>
      </c>
      <c r="BW24" s="293">
        <f t="shared" si="46"/>
        <v>2.5368790696280497E-2</v>
      </c>
      <c r="BX24" s="294">
        <f t="shared" si="47"/>
        <v>211.86566188197764</v>
      </c>
      <c r="BY24" s="295">
        <f t="shared" si="48"/>
        <v>1.2639320979040622E-2</v>
      </c>
      <c r="BZ24" s="297">
        <f t="shared" si="49"/>
        <v>105.55639553429027</v>
      </c>
      <c r="CA24" s="298">
        <f t="shared" si="50"/>
        <v>1.409833261653899E-2</v>
      </c>
      <c r="CB24" s="299">
        <f t="shared" si="51"/>
        <v>117.74122807017544</v>
      </c>
      <c r="CC24" s="295">
        <f t="shared" si="52"/>
        <v>3.7659847840044544E-6</v>
      </c>
      <c r="CD24" s="296">
        <f t="shared" si="53"/>
        <v>3.1451355661881973E-2</v>
      </c>
      <c r="CE24" s="300">
        <f t="shared" si="54"/>
        <v>0.50089795995879838</v>
      </c>
      <c r="CF24" s="298">
        <f t="shared" si="55"/>
        <v>0.43601394672499288</v>
      </c>
      <c r="CG24" s="298">
        <f t="shared" si="56"/>
        <v>0.4211898796204982</v>
      </c>
      <c r="CH24" s="299">
        <f t="shared" si="57"/>
        <v>3641.3396491228068</v>
      </c>
      <c r="CI24" s="295">
        <f t="shared" si="58"/>
        <v>0.22999697796473245</v>
      </c>
      <c r="CJ24" s="301">
        <f t="shared" si="59"/>
        <v>0.20020422943122576</v>
      </c>
      <c r="CK24" s="301">
        <f t="shared" si="60"/>
        <v>0.19339747255112061</v>
      </c>
      <c r="CL24" s="302">
        <f t="shared" si="61"/>
        <v>1671.9914673046253</v>
      </c>
      <c r="CM24" s="300">
        <f t="shared" si="62"/>
        <v>2.4574774565747689E-2</v>
      </c>
      <c r="CN24" s="298">
        <f t="shared" si="63"/>
        <v>2.1391471526795568E-2</v>
      </c>
      <c r="CO24" s="298">
        <f t="shared" si="64"/>
        <v>2.0664181467018844E-2</v>
      </c>
      <c r="CP24" s="299">
        <f t="shared" si="65"/>
        <v>178.6493620414673</v>
      </c>
      <c r="CQ24" s="295">
        <f t="shared" si="66"/>
        <v>4.1570964093137278E-2</v>
      </c>
      <c r="CR24" s="301">
        <f t="shared" si="67"/>
        <v>3.6186052993513233E-2</v>
      </c>
      <c r="CS24" s="301">
        <f t="shared" si="68"/>
        <v>3.4955760976820058E-2</v>
      </c>
      <c r="CT24" s="296">
        <f t="shared" si="69"/>
        <v>302.20526315789476</v>
      </c>
      <c r="CU24" s="300">
        <f t="shared" si="70"/>
        <v>0.80864658993225369</v>
      </c>
      <c r="CV24" s="298">
        <f t="shared" si="71"/>
        <v>0.70389823749945102</v>
      </c>
      <c r="CW24" s="298">
        <f t="shared" si="72"/>
        <v>0.6799663546186292</v>
      </c>
      <c r="CX24" s="299">
        <f t="shared" si="73"/>
        <v>5878.5563636363631</v>
      </c>
      <c r="CY24" s="295">
        <f t="shared" si="74"/>
        <v>3.3491840888713292E-2</v>
      </c>
      <c r="CZ24" s="301">
        <f t="shared" si="75"/>
        <v>2.8162271679737647E-2</v>
      </c>
      <c r="DA24" s="296">
        <f t="shared" si="76"/>
        <v>243.47307814992024</v>
      </c>
      <c r="DB24" s="300">
        <f t="shared" si="77"/>
        <v>3.1863175818052443E-3</v>
      </c>
      <c r="DC24" s="299">
        <f t="shared" si="78"/>
        <v>27.546874003189792</v>
      </c>
      <c r="DD24" s="295">
        <f t="shared" si="79"/>
        <v>3.3031679602603746E-2</v>
      </c>
      <c r="DE24" s="301">
        <f t="shared" si="80"/>
        <v>2.7775336031769671E-2</v>
      </c>
      <c r="DF24" s="296">
        <f t="shared" si="81"/>
        <v>240.12787878787879</v>
      </c>
      <c r="DG24" s="300">
        <f t="shared" si="82"/>
        <v>7.3061749276942542E-3</v>
      </c>
      <c r="DH24" s="298">
        <f t="shared" si="83"/>
        <v>6.1435405696900194E-3</v>
      </c>
      <c r="DI24" s="303">
        <f t="shared" si="84"/>
        <v>53.113141945773528</v>
      </c>
      <c r="DJ24" s="295">
        <f t="shared" si="85"/>
        <v>2.3747377614449602E-2</v>
      </c>
      <c r="DK24" s="301">
        <f t="shared" si="86"/>
        <v>2.0671251763326414E-2</v>
      </c>
      <c r="DL24" s="301">
        <f t="shared" si="87"/>
        <v>1.9968448503074901E-2</v>
      </c>
      <c r="DM24" s="296">
        <f t="shared" si="88"/>
        <v>172.6344976076555</v>
      </c>
      <c r="DN24" s="300">
        <f t="shared" si="89"/>
        <v>7.593804252455965E-3</v>
      </c>
      <c r="DO24" s="298">
        <f t="shared" si="90"/>
        <v>6.3853993320648452E-3</v>
      </c>
      <c r="DP24" s="299">
        <f t="shared" si="91"/>
        <v>55.20409888357257</v>
      </c>
      <c r="DQ24" s="295">
        <f t="shared" si="92"/>
        <v>8.5672196574800588E-2</v>
      </c>
      <c r="DR24" s="301">
        <f t="shared" si="93"/>
        <v>7.2039147783975882E-2</v>
      </c>
      <c r="DS24" s="296">
        <f t="shared" si="94"/>
        <v>622.80462519936202</v>
      </c>
      <c r="DT24" s="300">
        <f t="shared" si="95"/>
        <v>4.6352117523799946E-2</v>
      </c>
      <c r="DU24" s="299">
        <f t="shared" si="96"/>
        <v>400.73090909090911</v>
      </c>
      <c r="DV24" s="295">
        <f t="shared" si="25"/>
        <v>1.3731843327803599E-2</v>
      </c>
      <c r="DW24" s="296">
        <f t="shared" si="97"/>
        <v>118.71677830940989</v>
      </c>
      <c r="DX24" s="295">
        <f t="shared" si="103"/>
        <v>3.8612969312724388E-5</v>
      </c>
      <c r="DY24" s="301">
        <f t="shared" si="98"/>
        <v>3.3611223224380529E-5</v>
      </c>
      <c r="DZ24" s="301">
        <f t="shared" si="99"/>
        <v>3.2468473015849628E-5</v>
      </c>
      <c r="EA24" s="296">
        <f t="shared" si="100"/>
        <v>0.2807017543859649</v>
      </c>
      <c r="EB24" s="304">
        <f>IFERROR(_xlfn.XLOOKUP(A24,'Pupil on roll 24-25'!E:E,'Pupil on roll 24-25'!R:R),0)</f>
        <v>176</v>
      </c>
      <c r="EC24" s="289">
        <f>IFERROR(_xlfn.XLOOKUP(A24,CFR20242025_BenchMarkDataReport!B:B,CFR20242025_BenchMarkDataReport!AK:AK),0)</f>
        <v>19259.38</v>
      </c>
      <c r="ED24" s="289">
        <f>IFERROR(_xlfn.XLOOKUP(A24,CFR20242025_BenchMarkDataReport!B:B,CFR20242025_BenchMarkDataReport!AL:AL),0)</f>
        <v>113281</v>
      </c>
    </row>
    <row r="25" spans="1:134">
      <c r="A25" s="322">
        <v>2015</v>
      </c>
      <c r="B25" s="323">
        <v>10055</v>
      </c>
      <c r="C25" s="322" t="s">
        <v>50</v>
      </c>
      <c r="D25" s="289">
        <f>IFERROR(_xlfn.XLOOKUP($A25,CFR20242025_BenchMarkDataReport!$B:$B,CFR20242025_BenchMarkDataReport!T:T),0)</f>
        <v>1610888.93</v>
      </c>
      <c r="E25" s="289">
        <f>IFERROR(_xlfn.XLOOKUP($A25,CFR20242025_BenchMarkDataReport!$B:$B,CFR20242025_BenchMarkDataReport!U:U),0)</f>
        <v>0</v>
      </c>
      <c r="F25" s="289">
        <f>IFERROR(_xlfn.XLOOKUP($A25,CFR20242025_BenchMarkDataReport!$B:$B,CFR20242025_BenchMarkDataReport!V:V),0)</f>
        <v>410542.27</v>
      </c>
      <c r="G25" s="289">
        <f>IFERROR(_xlfn.XLOOKUP($A25,CFR20242025_BenchMarkDataReport!$B:$B,CFR20242025_BenchMarkDataReport!W:W),0)</f>
        <v>0</v>
      </c>
      <c r="H25" s="289">
        <f>IFERROR(_xlfn.XLOOKUP($A25,CFR20242025_BenchMarkDataReport!$B:$B,CFR20242025_BenchMarkDataReport!X:X),0)</f>
        <v>105090</v>
      </c>
      <c r="I25" s="289">
        <f>IFERROR(_xlfn.XLOOKUP($A25,CFR20242025_BenchMarkDataReport!$B:$B,CFR20242025_BenchMarkDataReport!Y:Y),0)</f>
        <v>4752.22</v>
      </c>
      <c r="J25" s="289">
        <f>IFERROR(_xlfn.XLOOKUP($A25,CFR20242025_BenchMarkDataReport!$B:$B,CFR20242025_BenchMarkDataReport!Z:Z),0)</f>
        <v>35318.050000000003</v>
      </c>
      <c r="K25" s="289">
        <f>IFERROR(_xlfn.XLOOKUP($A25,CFR20242025_BenchMarkDataReport!$B:$B,CFR20242025_BenchMarkDataReport!AA:AA),0)</f>
        <v>15213.8</v>
      </c>
      <c r="L25" s="289">
        <f>IFERROR(_xlfn.XLOOKUP($A25,CFR20242025_BenchMarkDataReport!$B:$B,CFR20242025_BenchMarkDataReport!AB:AB),0)</f>
        <v>3400.42</v>
      </c>
      <c r="M25" s="289">
        <f>IFERROR(_xlfn.XLOOKUP($A25,CFR20242025_BenchMarkDataReport!$B:$B,CFR20242025_BenchMarkDataReport!AC:AC),0)</f>
        <v>4324.53</v>
      </c>
      <c r="N25" s="289">
        <f>IFERROR(_xlfn.XLOOKUP($A25,CFR20242025_BenchMarkDataReport!$B:$B,CFR20242025_BenchMarkDataReport!AD:AD),0)</f>
        <v>0</v>
      </c>
      <c r="O25" s="289">
        <f>IFERROR(_xlfn.XLOOKUP($A25,CFR20242025_BenchMarkDataReport!$B:$B,CFR20242025_BenchMarkDataReport!AE:AE),0)</f>
        <v>0</v>
      </c>
      <c r="P25" s="289">
        <f>IFERROR(_xlfn.XLOOKUP($A25,CFR20242025_BenchMarkDataReport!$B:$B,CFR20242025_BenchMarkDataReport!AF:AF),0)</f>
        <v>30560.73</v>
      </c>
      <c r="Q25" s="289">
        <f>IFERROR(_xlfn.XLOOKUP($A25,CFR20242025_BenchMarkDataReport!$B:$B,CFR20242025_BenchMarkDataReport!AG:AG),0)</f>
        <v>5327.24</v>
      </c>
      <c r="R25" s="289">
        <f>IFERROR(_xlfn.XLOOKUP($A25,CFR20242025_BenchMarkDataReport!$B:$B,CFR20242025_BenchMarkDataReport!AH:AH),0)</f>
        <v>0</v>
      </c>
      <c r="S25" s="289">
        <f>IFERROR(_xlfn.XLOOKUP($A25,CFR20242025_BenchMarkDataReport!$B:$B,CFR20242025_BenchMarkDataReport!AI:AI),0)</f>
        <v>216786.9</v>
      </c>
      <c r="T25" s="289">
        <f>IFERROR(_xlfn.XLOOKUP($A25,CFR20242025_BenchMarkDataReport!$B:$B,CFR20242025_BenchMarkDataReport!AJ:AJ),0)</f>
        <v>0</v>
      </c>
      <c r="U25" s="289">
        <f>INDEX(CFR20242025_BenchMarkDataReport!$B$3:$AM$87,MATCH(A25,CFR20242025_BenchMarkDataReport!$B$3:$B$87),MATCH($U$2,CFR20242025_BenchMarkDataReport!$B$3:$AM$3,0))</f>
        <v>43224.84</v>
      </c>
      <c r="V25" s="289">
        <f>IFERROR(_xlfn.XLOOKUP($A25,CFR20242025_BenchMarkDataReport!$B:$B,CFR20242025_BenchMarkDataReport!AN:AN),0)</f>
        <v>840401.54</v>
      </c>
      <c r="W25" s="289">
        <f>IFERROR(_xlfn.XLOOKUP($A25,CFR20242025_BenchMarkDataReport!$B:$B,CFR20242025_BenchMarkDataReport!AO:AO),0)</f>
        <v>0</v>
      </c>
      <c r="X25" s="289">
        <f>IFERROR(_xlfn.XLOOKUP($A25,CFR20242025_BenchMarkDataReport!$B:$B,CFR20242025_BenchMarkDataReport!AP:AP),0)</f>
        <v>775971.91</v>
      </c>
      <c r="Y25" s="289">
        <f>IFERROR(_xlfn.XLOOKUP($A25,CFR20242025_BenchMarkDataReport!$B:$B,CFR20242025_BenchMarkDataReport!AQ:AQ),0)</f>
        <v>40974.44</v>
      </c>
      <c r="Z25" s="289">
        <f>IFERROR(_xlfn.XLOOKUP($A25,CFR20242025_BenchMarkDataReport!$B:$B,CFR20242025_BenchMarkDataReport!AR:AR),0)</f>
        <v>67661.86</v>
      </c>
      <c r="AA25" s="289">
        <f>IFERROR(_xlfn.XLOOKUP($A25,CFR20242025_BenchMarkDataReport!$B:$B,CFR20242025_BenchMarkDataReport!AS:AS),0)</f>
        <v>71008.5</v>
      </c>
      <c r="AB25" s="289">
        <f>IFERROR(_xlfn.XLOOKUP($A25,CFR20242025_BenchMarkDataReport!$B:$B,CFR20242025_BenchMarkDataReport!AT:AT),0)</f>
        <v>24151.07</v>
      </c>
      <c r="AC25" s="289">
        <f>IFERROR(_xlfn.XLOOKUP($A25,CFR20242025_BenchMarkDataReport!$B:$B,CFR20242025_BenchMarkDataReport!AU:AU),0)</f>
        <v>13434.01</v>
      </c>
      <c r="AD25" s="289">
        <f>IFERROR(_xlfn.XLOOKUP($A25,CFR20242025_BenchMarkDataReport!$B:$B,CFR20242025_BenchMarkDataReport!AV:AV),0)</f>
        <v>3032.38</v>
      </c>
      <c r="AE25" s="289">
        <f>IFERROR(_xlfn.XLOOKUP($A25,CFR20242025_BenchMarkDataReport!$B:$B,CFR20242025_BenchMarkDataReport!AW:AW),0)</f>
        <v>320.38</v>
      </c>
      <c r="AF25" s="289">
        <f>IFERROR(_xlfn.XLOOKUP($A25,CFR20242025_BenchMarkDataReport!$B:$B,CFR20242025_BenchMarkDataReport!AX:AX),0)</f>
        <v>0</v>
      </c>
      <c r="AG25" s="289">
        <f>IFERROR(_xlfn.XLOOKUP($A25,CFR20242025_BenchMarkDataReport!$B:$B,CFR20242025_BenchMarkDataReport!AY:AY),0)</f>
        <v>21888.75</v>
      </c>
      <c r="AH25" s="289">
        <f>IFERROR(_xlfn.XLOOKUP($A25,CFR20242025_BenchMarkDataReport!$B:$B,CFR20242025_BenchMarkDataReport!AZ:AZ),0)</f>
        <v>6802.75</v>
      </c>
      <c r="AI25" s="289">
        <f>IFERROR(_xlfn.XLOOKUP($A25,CFR20242025_BenchMarkDataReport!$B:$B,CFR20242025_BenchMarkDataReport!BA:BA),0)</f>
        <v>39927.199999999997</v>
      </c>
      <c r="AJ25" s="289">
        <f>IFERROR(_xlfn.XLOOKUP($A25,CFR20242025_BenchMarkDataReport!$B:$B,CFR20242025_BenchMarkDataReport!BB:BB),0)</f>
        <v>7229.85</v>
      </c>
      <c r="AK25" s="289">
        <f>IFERROR(_xlfn.XLOOKUP($A25,CFR20242025_BenchMarkDataReport!$B:$B,CFR20242025_BenchMarkDataReport!BC:BC),0)</f>
        <v>39395.050000000003</v>
      </c>
      <c r="AL25" s="289">
        <f>IFERROR(_xlfn.XLOOKUP($A25,CFR20242025_BenchMarkDataReport!$B:$B,CFR20242025_BenchMarkDataReport!BD:BD),0)</f>
        <v>42343.05</v>
      </c>
      <c r="AM25" s="289">
        <f>IFERROR(_xlfn.XLOOKUP($A25,CFR20242025_BenchMarkDataReport!$B:$B,CFR20242025_BenchMarkDataReport!BE:BE),0)</f>
        <v>25813.26</v>
      </c>
      <c r="AN25" s="289">
        <f>IFERROR(_xlfn.XLOOKUP($A25,CFR20242025_BenchMarkDataReport!$B:$B,CFR20242025_BenchMarkDataReport!BF:BF),0)</f>
        <v>83964.25</v>
      </c>
      <c r="AO25" s="289">
        <f>IFERROR(_xlfn.XLOOKUP($A25,CFR20242025_BenchMarkDataReport!$B:$B,CFR20242025_BenchMarkDataReport!BN:BN),0)</f>
        <v>15132.24</v>
      </c>
      <c r="AP25" s="289">
        <f>IFERROR(_xlfn.XLOOKUP($A25,CFR20242025_BenchMarkDataReport!$B:$B,CFR20242025_BenchMarkDataReport!BO:BO),0)</f>
        <v>0</v>
      </c>
      <c r="AQ25" s="289">
        <f>IFERROR(_xlfn.XLOOKUP($A25,CFR20242025_BenchMarkDataReport!$B:$B,CFR20242025_BenchMarkDataReport!BP:BP),0)</f>
        <v>27578.06</v>
      </c>
      <c r="AR25" s="289">
        <f>IFERROR(_xlfn.XLOOKUP($A25,CFR20242025_BenchMarkDataReport!$B:$B,CFR20242025_BenchMarkDataReport!BQ:BQ),0)</f>
        <v>3066.77</v>
      </c>
      <c r="AS25" s="289">
        <f>IFERROR(_xlfn.XLOOKUP($A25,CFR20242025_BenchMarkDataReport!$B:$B,CFR20242025_BenchMarkDataReport!BR:BR),0)</f>
        <v>4878.3599999999997</v>
      </c>
      <c r="AT25" s="289">
        <f>IFERROR(_xlfn.XLOOKUP($A25,CFR20242025_BenchMarkDataReport!$B:$B,CFR20242025_BenchMarkDataReport!BS:BS),0)</f>
        <v>54664.34</v>
      </c>
      <c r="AU25" s="289">
        <f>IFERROR(_xlfn.XLOOKUP($A25,CFR20242025_BenchMarkDataReport!$B:$B,CFR20242025_BenchMarkDataReport!BT:BT),0)</f>
        <v>84823.59</v>
      </c>
      <c r="AV25" s="289">
        <f>IFERROR(_xlfn.XLOOKUP($A25,CFR20242025_BenchMarkDataReport!$B:$B,CFR20242025_BenchMarkDataReport!BU:BU),0)</f>
        <v>222748.48</v>
      </c>
      <c r="AW25" s="289">
        <f>IFERROR(_xlfn.XLOOKUP($A25,CFR20242025_BenchMarkDataReport!$B:$B,CFR20242025_BenchMarkDataReport!BV:BV),0)</f>
        <v>48183.91</v>
      </c>
      <c r="AX25" s="289">
        <f>IFERROR(_xlfn.XLOOKUP($A25,CFR20242025_BenchMarkDataReport!$B:$B,CFR20242025_BenchMarkDataReport!BW:BW),0)</f>
        <v>0</v>
      </c>
      <c r="AY25" s="289">
        <f>IFERROR(_xlfn.XLOOKUP($A25,CFR20242025_BenchMarkDataReport!$B:$B,CFR20242025_BenchMarkDataReport!BX:BX),0)</f>
        <v>0</v>
      </c>
      <c r="AZ25" s="289">
        <f>IFERROR(_xlfn.XLOOKUP($A25,CFR20242025_BenchMarkDataReport!$B:$B,CFR20242025_BenchMarkDataReport!BY:BY),0)</f>
        <v>0</v>
      </c>
      <c r="BA25" s="289">
        <f>IFERROR(_xlfn.XLOOKUP($A25,CFR20242025_BenchMarkDataReport!$B:$B,CFR20242025_BenchMarkDataReport!BZ:BZ),0)</f>
        <v>103861.94</v>
      </c>
      <c r="BB25" s="289">
        <f>IFERROR(_xlfn.XLOOKUP($A25,CFR20242025_BenchMarkDataReport!$B:$B,CFR20242025_BenchMarkDataReport!CA:CA),0)</f>
        <v>12434.89</v>
      </c>
      <c r="BC25" s="290">
        <f t="shared" si="33"/>
        <v>2268643.0299999998</v>
      </c>
      <c r="BD25" s="291">
        <f t="shared" si="101"/>
        <v>2565396</v>
      </c>
      <c r="BE25" s="325">
        <f t="shared" si="102"/>
        <v>-296752.9700000002</v>
      </c>
      <c r="BF25" s="289">
        <f>IFERROR(_xlfn.XLOOKUP(A25,CFR20242025_BenchMarkDataReport!B:B,CFR20242025_BenchMarkDataReport!Q:Q),0)</f>
        <v>-119744.03</v>
      </c>
      <c r="BG25" s="290">
        <f t="shared" si="0"/>
        <v>-416497.00000000023</v>
      </c>
      <c r="BH25" s="292">
        <f>_xlfn.XLOOKUP(A25,'Pupil on roll 24-25'!E:E,'Pupil on roll 24-25'!I:I)</f>
        <v>193</v>
      </c>
      <c r="BI25" s="291">
        <f t="shared" si="1"/>
        <v>2021431.2</v>
      </c>
      <c r="BJ25" t="s">
        <v>190</v>
      </c>
      <c r="BK25" s="293">
        <f t="shared" si="34"/>
        <v>0.71006716733218278</v>
      </c>
      <c r="BL25" s="294">
        <f t="shared" si="35"/>
        <v>8346.5747668393778</v>
      </c>
      <c r="BM25" s="295">
        <f t="shared" si="36"/>
        <v>0</v>
      </c>
      <c r="BN25" s="296">
        <f t="shared" si="37"/>
        <v>0</v>
      </c>
      <c r="BO25" s="293">
        <f t="shared" si="38"/>
        <v>0.18096380284208929</v>
      </c>
      <c r="BP25" s="294">
        <f t="shared" si="39"/>
        <v>2127.1620207253886</v>
      </c>
      <c r="BQ25" s="295">
        <f t="shared" si="40"/>
        <v>0</v>
      </c>
      <c r="BR25" s="296">
        <f t="shared" si="41"/>
        <v>0</v>
      </c>
      <c r="BS25" s="293">
        <f t="shared" si="42"/>
        <v>4.6322845247275424E-2</v>
      </c>
      <c r="BT25" s="294">
        <f t="shared" si="43"/>
        <v>544.50777202072538</v>
      </c>
      <c r="BU25" s="295">
        <f t="shared" si="44"/>
        <v>2.0947411898468668E-3</v>
      </c>
      <c r="BV25" s="296">
        <f t="shared" si="45"/>
        <v>24.622901554404148</v>
      </c>
      <c r="BW25" s="293">
        <f t="shared" si="46"/>
        <v>1.5567918589642552E-2</v>
      </c>
      <c r="BX25" s="294">
        <f t="shared" si="47"/>
        <v>182.99507772020726</v>
      </c>
      <c r="BY25" s="295">
        <f t="shared" si="48"/>
        <v>8.2050017362140931E-3</v>
      </c>
      <c r="BZ25" s="297">
        <f t="shared" si="49"/>
        <v>96.44673575129535</v>
      </c>
      <c r="CA25" s="298">
        <f t="shared" si="50"/>
        <v>1.3470929359917855E-2</v>
      </c>
      <c r="CB25" s="299">
        <f t="shared" si="51"/>
        <v>158.34575129533678</v>
      </c>
      <c r="CC25" s="295">
        <f t="shared" si="52"/>
        <v>2.3482054821114809E-3</v>
      </c>
      <c r="CD25" s="296">
        <f t="shared" si="53"/>
        <v>27.602279792746113</v>
      </c>
      <c r="CE25" s="300">
        <f t="shared" si="54"/>
        <v>0.45770794969425627</v>
      </c>
      <c r="CF25" s="298">
        <f t="shared" si="55"/>
        <v>0.40783195847255005</v>
      </c>
      <c r="CG25" s="298">
        <f t="shared" si="56"/>
        <v>0.36065587145220468</v>
      </c>
      <c r="CH25" s="299">
        <f t="shared" si="57"/>
        <v>4793.9125906735753</v>
      </c>
      <c r="CI25" s="295">
        <f t="shared" si="58"/>
        <v>0.38387253051204517</v>
      </c>
      <c r="CJ25" s="301">
        <f t="shared" si="59"/>
        <v>0.34204231328540041</v>
      </c>
      <c r="CK25" s="301">
        <f t="shared" si="60"/>
        <v>0.30247646367266495</v>
      </c>
      <c r="CL25" s="302">
        <f t="shared" si="61"/>
        <v>4020.5798445595856</v>
      </c>
      <c r="CM25" s="300">
        <f t="shared" si="62"/>
        <v>2.0270014631217723E-2</v>
      </c>
      <c r="CN25" s="298">
        <f t="shared" si="63"/>
        <v>1.8061210802300619E-2</v>
      </c>
      <c r="CO25" s="298">
        <f t="shared" si="64"/>
        <v>1.5971974697083804E-2</v>
      </c>
      <c r="CP25" s="299">
        <f t="shared" si="65"/>
        <v>212.30279792746114</v>
      </c>
      <c r="CQ25" s="295">
        <f t="shared" si="66"/>
        <v>3.3472254707456781E-2</v>
      </c>
      <c r="CR25" s="301">
        <f t="shared" si="67"/>
        <v>2.9824815585905558E-2</v>
      </c>
      <c r="CS25" s="301">
        <f t="shared" si="68"/>
        <v>2.6374820885352594E-2</v>
      </c>
      <c r="CT25" s="296">
        <f t="shared" si="69"/>
        <v>350.57958549222798</v>
      </c>
      <c r="CU25" s="300">
        <f t="shared" si="70"/>
        <v>0.90043594854972075</v>
      </c>
      <c r="CV25" s="298">
        <f t="shared" si="71"/>
        <v>0.80231631681604865</v>
      </c>
      <c r="CW25" s="298">
        <f t="shared" si="72"/>
        <v>0.70950813051864126</v>
      </c>
      <c r="CX25" s="299">
        <f t="shared" si="73"/>
        <v>9430.9291191709854</v>
      </c>
      <c r="CY25" s="295">
        <f t="shared" si="74"/>
        <v>1.0828342809787441E-2</v>
      </c>
      <c r="CZ25" s="301">
        <f t="shared" si="75"/>
        <v>8.5323084623192668E-3</v>
      </c>
      <c r="DA25" s="296">
        <f t="shared" si="76"/>
        <v>113.41321243523316</v>
      </c>
      <c r="DB25" s="300">
        <f t="shared" si="77"/>
        <v>2.8182198771651628E-3</v>
      </c>
      <c r="DC25" s="299">
        <f t="shared" si="78"/>
        <v>37.460362694300521</v>
      </c>
      <c r="DD25" s="295">
        <f t="shared" si="79"/>
        <v>1.9488691972301606E-2</v>
      </c>
      <c r="DE25" s="301">
        <f t="shared" si="80"/>
        <v>1.5356323156347013E-2</v>
      </c>
      <c r="DF25" s="296">
        <f t="shared" si="81"/>
        <v>204.11943005181348</v>
      </c>
      <c r="DG25" s="300">
        <f t="shared" si="82"/>
        <v>1.2769793995462225E-2</v>
      </c>
      <c r="DH25" s="298">
        <f t="shared" si="83"/>
        <v>1.0062095676456967E-2</v>
      </c>
      <c r="DI25" s="303">
        <f t="shared" si="84"/>
        <v>133.74746113989636</v>
      </c>
      <c r="DJ25" s="295">
        <f t="shared" si="85"/>
        <v>4.1537030792836285E-2</v>
      </c>
      <c r="DK25" s="301">
        <f t="shared" si="86"/>
        <v>3.7010780845499525E-2</v>
      </c>
      <c r="DL25" s="301">
        <f t="shared" si="87"/>
        <v>3.2729547407105958E-2</v>
      </c>
      <c r="DM25" s="296">
        <f t="shared" si="88"/>
        <v>435.04792746113992</v>
      </c>
      <c r="DN25" s="300">
        <f t="shared" si="89"/>
        <v>1.3642838796591247E-2</v>
      </c>
      <c r="DO25" s="298">
        <f t="shared" si="90"/>
        <v>1.0750020659578483E-2</v>
      </c>
      <c r="DP25" s="299">
        <f t="shared" si="91"/>
        <v>142.89150259067358</v>
      </c>
      <c r="DQ25" s="295">
        <f t="shared" si="92"/>
        <v>0.11019345105586577</v>
      </c>
      <c r="DR25" s="301">
        <f t="shared" si="93"/>
        <v>8.6828107629387433E-2</v>
      </c>
      <c r="DS25" s="296">
        <f t="shared" si="94"/>
        <v>1154.1372020725389</v>
      </c>
      <c r="DT25" s="300">
        <f t="shared" si="95"/>
        <v>2.130834381904392E-2</v>
      </c>
      <c r="DU25" s="299">
        <f t="shared" si="96"/>
        <v>283.23492227979273</v>
      </c>
      <c r="DV25" s="295">
        <f t="shared" si="25"/>
        <v>1.5563757018409632E-2</v>
      </c>
      <c r="DW25" s="296">
        <f t="shared" si="97"/>
        <v>206.87668393782383</v>
      </c>
      <c r="DX25" s="295">
        <f t="shared" si="103"/>
        <v>3.4134231231812393E-5</v>
      </c>
      <c r="DY25" s="301">
        <f t="shared" si="98"/>
        <v>3.0414657170634731E-5</v>
      </c>
      <c r="DZ25" s="301">
        <f t="shared" si="99"/>
        <v>2.6896432363658478E-5</v>
      </c>
      <c r="EA25" s="296">
        <f t="shared" si="100"/>
        <v>0.35751295336787564</v>
      </c>
      <c r="EB25" s="304">
        <f>IFERROR(_xlfn.XLOOKUP(A25,'Pupil on roll 24-25'!E:E,'Pupil on roll 24-25'!R:R),0)</f>
        <v>69</v>
      </c>
      <c r="EC25" s="289">
        <f>IFERROR(_xlfn.XLOOKUP(A25,CFR20242025_BenchMarkDataReport!B:B,CFR20242025_BenchMarkDataReport!AK:AK),0)</f>
        <v>2172.84</v>
      </c>
      <c r="ED25" s="289">
        <f>IFERROR(_xlfn.XLOOKUP(A25,CFR20242025_BenchMarkDataReport!B:B,CFR20242025_BenchMarkDataReport!AL:AL),0)</f>
        <v>41052</v>
      </c>
    </row>
    <row r="26" spans="1:134">
      <c r="A26" s="322">
        <v>2016</v>
      </c>
      <c r="B26" s="323">
        <v>10056</v>
      </c>
      <c r="C26" s="322" t="s">
        <v>52</v>
      </c>
      <c r="D26" s="289">
        <f>IFERROR(_xlfn.XLOOKUP($A26,CFR20242025_BenchMarkDataReport!$B:$B,CFR20242025_BenchMarkDataReport!T:T),0)</f>
        <v>1214330.99</v>
      </c>
      <c r="E26" s="289">
        <f>IFERROR(_xlfn.XLOOKUP($A26,CFR20242025_BenchMarkDataReport!$B:$B,CFR20242025_BenchMarkDataReport!U:U),0)</f>
        <v>0</v>
      </c>
      <c r="F26" s="289">
        <f>IFERROR(_xlfn.XLOOKUP($A26,CFR20242025_BenchMarkDataReport!$B:$B,CFR20242025_BenchMarkDataReport!V:V),0)</f>
        <v>70830.850000000006</v>
      </c>
      <c r="G26" s="289">
        <f>IFERROR(_xlfn.XLOOKUP($A26,CFR20242025_BenchMarkDataReport!$B:$B,CFR20242025_BenchMarkDataReport!W:W),0)</f>
        <v>0</v>
      </c>
      <c r="H26" s="289">
        <f>IFERROR(_xlfn.XLOOKUP($A26,CFR20242025_BenchMarkDataReport!$B:$B,CFR20242025_BenchMarkDataReport!X:X),0)</f>
        <v>50935</v>
      </c>
      <c r="I26" s="289">
        <f>IFERROR(_xlfn.XLOOKUP($A26,CFR20242025_BenchMarkDataReport!$B:$B,CFR20242025_BenchMarkDataReport!Y:Y),0)</f>
        <v>0</v>
      </c>
      <c r="J26" s="289">
        <f>IFERROR(_xlfn.XLOOKUP($A26,CFR20242025_BenchMarkDataReport!$B:$B,CFR20242025_BenchMarkDataReport!Z:Z),0)</f>
        <v>55064.02</v>
      </c>
      <c r="K26" s="289">
        <f>IFERROR(_xlfn.XLOOKUP($A26,CFR20242025_BenchMarkDataReport!$B:$B,CFR20242025_BenchMarkDataReport!AA:AA),0)</f>
        <v>2160</v>
      </c>
      <c r="L26" s="289">
        <f>IFERROR(_xlfn.XLOOKUP($A26,CFR20242025_BenchMarkDataReport!$B:$B,CFR20242025_BenchMarkDataReport!AB:AB),0)</f>
        <v>3929.35</v>
      </c>
      <c r="M26" s="289">
        <f>IFERROR(_xlfn.XLOOKUP($A26,CFR20242025_BenchMarkDataReport!$B:$B,CFR20242025_BenchMarkDataReport!AC:AC),0)</f>
        <v>63.1</v>
      </c>
      <c r="N26" s="289">
        <f>IFERROR(_xlfn.XLOOKUP($A26,CFR20242025_BenchMarkDataReport!$B:$B,CFR20242025_BenchMarkDataReport!AD:AD),0)</f>
        <v>0</v>
      </c>
      <c r="O26" s="289">
        <f>IFERROR(_xlfn.XLOOKUP($A26,CFR20242025_BenchMarkDataReport!$B:$B,CFR20242025_BenchMarkDataReport!AE:AE),0)</f>
        <v>0</v>
      </c>
      <c r="P26" s="289">
        <f>IFERROR(_xlfn.XLOOKUP($A26,CFR20242025_BenchMarkDataReport!$B:$B,CFR20242025_BenchMarkDataReport!AF:AF),0)</f>
        <v>21858.09</v>
      </c>
      <c r="Q26" s="289">
        <f>IFERROR(_xlfn.XLOOKUP($A26,CFR20242025_BenchMarkDataReport!$B:$B,CFR20242025_BenchMarkDataReport!AG:AG),0)</f>
        <v>18684.32</v>
      </c>
      <c r="R26" s="289">
        <f>IFERROR(_xlfn.XLOOKUP($A26,CFR20242025_BenchMarkDataReport!$B:$B,CFR20242025_BenchMarkDataReport!AH:AH),0)</f>
        <v>0</v>
      </c>
      <c r="S26" s="289">
        <f>IFERROR(_xlfn.XLOOKUP($A26,CFR20242025_BenchMarkDataReport!$B:$B,CFR20242025_BenchMarkDataReport!AI:AI),0)</f>
        <v>0</v>
      </c>
      <c r="T26" s="289">
        <f>IFERROR(_xlfn.XLOOKUP($A26,CFR20242025_BenchMarkDataReport!$B:$B,CFR20242025_BenchMarkDataReport!AJ:AJ),0)</f>
        <v>0</v>
      </c>
      <c r="U26" s="289">
        <f>INDEX(CFR20242025_BenchMarkDataReport!$B$3:$AM$87,MATCH(A26,CFR20242025_BenchMarkDataReport!$B$3:$B$87),MATCH($U$2,CFR20242025_BenchMarkDataReport!$B$3:$AM$3,0))</f>
        <v>57993.13</v>
      </c>
      <c r="V26" s="289">
        <f>IFERROR(_xlfn.XLOOKUP($A26,CFR20242025_BenchMarkDataReport!$B:$B,CFR20242025_BenchMarkDataReport!AN:AN),0)</f>
        <v>665285.46</v>
      </c>
      <c r="W26" s="289">
        <f>IFERROR(_xlfn.XLOOKUP($A26,CFR20242025_BenchMarkDataReport!$B:$B,CFR20242025_BenchMarkDataReport!AO:AO),0)</f>
        <v>3767.78</v>
      </c>
      <c r="X26" s="289">
        <f>IFERROR(_xlfn.XLOOKUP($A26,CFR20242025_BenchMarkDataReport!$B:$B,CFR20242025_BenchMarkDataReport!AP:AP),0)</f>
        <v>249655.05</v>
      </c>
      <c r="Y26" s="289">
        <f>IFERROR(_xlfn.XLOOKUP($A26,CFR20242025_BenchMarkDataReport!$B:$B,CFR20242025_BenchMarkDataReport!AQ:AQ),0)</f>
        <v>41348.620000000003</v>
      </c>
      <c r="Z26" s="289">
        <f>IFERROR(_xlfn.XLOOKUP($A26,CFR20242025_BenchMarkDataReport!$B:$B,CFR20242025_BenchMarkDataReport!AR:AR),0)</f>
        <v>74221.86</v>
      </c>
      <c r="AA26" s="289">
        <f>IFERROR(_xlfn.XLOOKUP($A26,CFR20242025_BenchMarkDataReport!$B:$B,CFR20242025_BenchMarkDataReport!AS:AS),0)</f>
        <v>0</v>
      </c>
      <c r="AB26" s="289">
        <f>IFERROR(_xlfn.XLOOKUP($A26,CFR20242025_BenchMarkDataReport!$B:$B,CFR20242025_BenchMarkDataReport!AT:AT),0)</f>
        <v>17732.68</v>
      </c>
      <c r="AC26" s="289">
        <f>IFERROR(_xlfn.XLOOKUP($A26,CFR20242025_BenchMarkDataReport!$B:$B,CFR20242025_BenchMarkDataReport!AU:AU),0)</f>
        <v>6738.44</v>
      </c>
      <c r="AD26" s="289">
        <f>IFERROR(_xlfn.XLOOKUP($A26,CFR20242025_BenchMarkDataReport!$B:$B,CFR20242025_BenchMarkDataReport!AV:AV),0)</f>
        <v>379</v>
      </c>
      <c r="AE26" s="289">
        <f>IFERROR(_xlfn.XLOOKUP($A26,CFR20242025_BenchMarkDataReport!$B:$B,CFR20242025_BenchMarkDataReport!AW:AW),0)</f>
        <v>350.26</v>
      </c>
      <c r="AF26" s="289">
        <f>IFERROR(_xlfn.XLOOKUP($A26,CFR20242025_BenchMarkDataReport!$B:$B,CFR20242025_BenchMarkDataReport!AX:AX),0)</f>
        <v>0</v>
      </c>
      <c r="AG26" s="289">
        <f>IFERROR(_xlfn.XLOOKUP($A26,CFR20242025_BenchMarkDataReport!$B:$B,CFR20242025_BenchMarkDataReport!AY:AY),0)</f>
        <v>8213.2900000000009</v>
      </c>
      <c r="AH26" s="289">
        <f>IFERROR(_xlfn.XLOOKUP($A26,CFR20242025_BenchMarkDataReport!$B:$B,CFR20242025_BenchMarkDataReport!AZ:AZ),0)</f>
        <v>4977.67</v>
      </c>
      <c r="AI26" s="289">
        <f>IFERROR(_xlfn.XLOOKUP($A26,CFR20242025_BenchMarkDataReport!$B:$B,CFR20242025_BenchMarkDataReport!BA:BA),0)</f>
        <v>26045.56</v>
      </c>
      <c r="AJ26" s="289">
        <f>IFERROR(_xlfn.XLOOKUP($A26,CFR20242025_BenchMarkDataReport!$B:$B,CFR20242025_BenchMarkDataReport!BB:BB),0)</f>
        <v>6481.05</v>
      </c>
      <c r="AK26" s="289">
        <f>IFERROR(_xlfn.XLOOKUP($A26,CFR20242025_BenchMarkDataReport!$B:$B,CFR20242025_BenchMarkDataReport!BC:BC),0)</f>
        <v>24231.42</v>
      </c>
      <c r="AL26" s="289">
        <f>IFERROR(_xlfn.XLOOKUP($A26,CFR20242025_BenchMarkDataReport!$B:$B,CFR20242025_BenchMarkDataReport!BD:BD),0)</f>
        <v>25000.15</v>
      </c>
      <c r="AM26" s="289">
        <f>IFERROR(_xlfn.XLOOKUP($A26,CFR20242025_BenchMarkDataReport!$B:$B,CFR20242025_BenchMarkDataReport!BE:BE),0)</f>
        <v>7778.15</v>
      </c>
      <c r="AN26" s="289">
        <f>IFERROR(_xlfn.XLOOKUP($A26,CFR20242025_BenchMarkDataReport!$B:$B,CFR20242025_BenchMarkDataReport!BF:BF),0)</f>
        <v>56163.08</v>
      </c>
      <c r="AO26" s="289">
        <f>IFERROR(_xlfn.XLOOKUP($A26,CFR20242025_BenchMarkDataReport!$B:$B,CFR20242025_BenchMarkDataReport!BN:BN),0)</f>
        <v>32644.61</v>
      </c>
      <c r="AP26" s="289">
        <f>IFERROR(_xlfn.XLOOKUP($A26,CFR20242025_BenchMarkDataReport!$B:$B,CFR20242025_BenchMarkDataReport!BO:BO),0)</f>
        <v>0</v>
      </c>
      <c r="AQ26" s="289">
        <f>IFERROR(_xlfn.XLOOKUP($A26,CFR20242025_BenchMarkDataReport!$B:$B,CFR20242025_BenchMarkDataReport!BP:BP),0)</f>
        <v>335.5</v>
      </c>
      <c r="AR26" s="289">
        <f>IFERROR(_xlfn.XLOOKUP($A26,CFR20242025_BenchMarkDataReport!$B:$B,CFR20242025_BenchMarkDataReport!BQ:BQ),0)</f>
        <v>8632.7900000000009</v>
      </c>
      <c r="AS26" s="289">
        <f>IFERROR(_xlfn.XLOOKUP($A26,CFR20242025_BenchMarkDataReport!$B:$B,CFR20242025_BenchMarkDataReport!BR:BR),0)</f>
        <v>2248</v>
      </c>
      <c r="AT26" s="289">
        <f>IFERROR(_xlfn.XLOOKUP($A26,CFR20242025_BenchMarkDataReport!$B:$B,CFR20242025_BenchMarkDataReport!BS:BS),0)</f>
        <v>85906.71</v>
      </c>
      <c r="AU26" s="289">
        <f>IFERROR(_xlfn.XLOOKUP($A26,CFR20242025_BenchMarkDataReport!$B:$B,CFR20242025_BenchMarkDataReport!BT:BT),0)</f>
        <v>12147</v>
      </c>
      <c r="AV26" s="289">
        <f>IFERROR(_xlfn.XLOOKUP($A26,CFR20242025_BenchMarkDataReport!$B:$B,CFR20242025_BenchMarkDataReport!BU:BU),0)</f>
        <v>109623.88</v>
      </c>
      <c r="AW26" s="289">
        <f>IFERROR(_xlfn.XLOOKUP($A26,CFR20242025_BenchMarkDataReport!$B:$B,CFR20242025_BenchMarkDataReport!BV:BV),0)</f>
        <v>23163.51</v>
      </c>
      <c r="AX26" s="289">
        <f>IFERROR(_xlfn.XLOOKUP($A26,CFR20242025_BenchMarkDataReport!$B:$B,CFR20242025_BenchMarkDataReport!BW:BW),0)</f>
        <v>0</v>
      </c>
      <c r="AY26" s="289">
        <f>IFERROR(_xlfn.XLOOKUP($A26,CFR20242025_BenchMarkDataReport!$B:$B,CFR20242025_BenchMarkDataReport!BX:BX),0)</f>
        <v>0</v>
      </c>
      <c r="AZ26" s="289">
        <f>IFERROR(_xlfn.XLOOKUP($A26,CFR20242025_BenchMarkDataReport!$B:$B,CFR20242025_BenchMarkDataReport!BY:BY),0)</f>
        <v>0</v>
      </c>
      <c r="BA26" s="289">
        <f>IFERROR(_xlfn.XLOOKUP($A26,CFR20242025_BenchMarkDataReport!$B:$B,CFR20242025_BenchMarkDataReport!BZ:BZ),0)</f>
        <v>0</v>
      </c>
      <c r="BB26" s="289">
        <f>IFERROR(_xlfn.XLOOKUP($A26,CFR20242025_BenchMarkDataReport!$B:$B,CFR20242025_BenchMarkDataReport!CA:CA),0)</f>
        <v>0</v>
      </c>
      <c r="BC26" s="290">
        <f t="shared" si="33"/>
        <v>1495848.8500000003</v>
      </c>
      <c r="BD26" s="291">
        <f t="shared" si="101"/>
        <v>1493071.5199999998</v>
      </c>
      <c r="BE26" s="325">
        <f t="shared" si="102"/>
        <v>2777.3300000005402</v>
      </c>
      <c r="BF26" s="289">
        <f>IFERROR(_xlfn.XLOOKUP(A26,CFR20242025_BenchMarkDataReport!B:B,CFR20242025_BenchMarkDataReport!Q:Q),0)</f>
        <v>-6125.33</v>
      </c>
      <c r="BG26" s="290">
        <f t="shared" si="0"/>
        <v>-3347.9999999994598</v>
      </c>
      <c r="BH26" s="292">
        <f>_xlfn.XLOOKUP(A26,'Pupil on roll 24-25'!E:E,'Pupil on roll 24-25'!I:I)</f>
        <v>211</v>
      </c>
      <c r="BI26" s="291">
        <f t="shared" si="1"/>
        <v>1285161.8400000001</v>
      </c>
      <c r="BJ26" t="s">
        <v>190</v>
      </c>
      <c r="BK26" s="293">
        <f t="shared" si="34"/>
        <v>0.81180059736650512</v>
      </c>
      <c r="BL26" s="294">
        <f t="shared" si="35"/>
        <v>5755.1231753554503</v>
      </c>
      <c r="BM26" s="295">
        <f t="shared" si="36"/>
        <v>0</v>
      </c>
      <c r="BN26" s="296">
        <f t="shared" si="37"/>
        <v>0</v>
      </c>
      <c r="BO26" s="293">
        <f t="shared" si="38"/>
        <v>4.7351609088043881E-2</v>
      </c>
      <c r="BP26" s="294">
        <f t="shared" si="39"/>
        <v>335.69123222748817</v>
      </c>
      <c r="BQ26" s="295">
        <f t="shared" si="40"/>
        <v>0</v>
      </c>
      <c r="BR26" s="296">
        <f t="shared" si="41"/>
        <v>0</v>
      </c>
      <c r="BS26" s="293">
        <f t="shared" si="42"/>
        <v>3.405090026308473E-2</v>
      </c>
      <c r="BT26" s="294">
        <f t="shared" si="43"/>
        <v>241.39810426540285</v>
      </c>
      <c r="BU26" s="295">
        <f t="shared" si="44"/>
        <v>0</v>
      </c>
      <c r="BV26" s="296">
        <f t="shared" si="45"/>
        <v>0</v>
      </c>
      <c r="BW26" s="293">
        <f t="shared" si="46"/>
        <v>3.681121926189266E-2</v>
      </c>
      <c r="BX26" s="294">
        <f t="shared" si="47"/>
        <v>260.96691943127962</v>
      </c>
      <c r="BY26" s="295">
        <f t="shared" si="48"/>
        <v>4.0708324240112887E-3</v>
      </c>
      <c r="BZ26" s="297">
        <f t="shared" si="49"/>
        <v>28.859478672985784</v>
      </c>
      <c r="CA26" s="298">
        <f t="shared" si="50"/>
        <v>1.4612499117140075E-2</v>
      </c>
      <c r="CB26" s="299">
        <f t="shared" si="51"/>
        <v>103.59284360189574</v>
      </c>
      <c r="CC26" s="295">
        <f t="shared" si="52"/>
        <v>1.2490780736302332E-2</v>
      </c>
      <c r="CD26" s="296">
        <f t="shared" si="53"/>
        <v>88.55127962085308</v>
      </c>
      <c r="CE26" s="300">
        <f t="shared" si="54"/>
        <v>0.53005016084199941</v>
      </c>
      <c r="CF26" s="298">
        <f t="shared" si="55"/>
        <v>0.45539376521899244</v>
      </c>
      <c r="CG26" s="298">
        <f t="shared" si="56"/>
        <v>0.45624086380001416</v>
      </c>
      <c r="CH26" s="299">
        <f t="shared" si="57"/>
        <v>3228.4371563981044</v>
      </c>
      <c r="CI26" s="295">
        <f t="shared" si="58"/>
        <v>0.19425961947329526</v>
      </c>
      <c r="CJ26" s="301">
        <f t="shared" si="59"/>
        <v>0.1668985806955027</v>
      </c>
      <c r="CK26" s="301">
        <f t="shared" si="60"/>
        <v>0.16720903630925865</v>
      </c>
      <c r="CL26" s="302">
        <f t="shared" si="61"/>
        <v>1183.1992890995259</v>
      </c>
      <c r="CM26" s="300">
        <f t="shared" si="62"/>
        <v>3.2173862242906311E-2</v>
      </c>
      <c r="CN26" s="298">
        <f t="shared" si="63"/>
        <v>2.7642244736157662E-2</v>
      </c>
      <c r="CO26" s="298">
        <f t="shared" si="64"/>
        <v>2.769366332833139E-2</v>
      </c>
      <c r="CP26" s="299">
        <f t="shared" si="65"/>
        <v>195.96502369668247</v>
      </c>
      <c r="CQ26" s="295">
        <f t="shared" si="66"/>
        <v>5.7752928611699207E-2</v>
      </c>
      <c r="CR26" s="301">
        <f t="shared" si="67"/>
        <v>4.961855604595343E-2</v>
      </c>
      <c r="CS26" s="301">
        <f t="shared" si="68"/>
        <v>4.9710853770755743E-2</v>
      </c>
      <c r="CT26" s="296">
        <f t="shared" si="69"/>
        <v>351.76236966824644</v>
      </c>
      <c r="CU26" s="300">
        <f t="shared" si="70"/>
        <v>0.81858285645954121</v>
      </c>
      <c r="CV26" s="298">
        <f t="shared" si="71"/>
        <v>0.70328726729308222</v>
      </c>
      <c r="CW26" s="298">
        <f t="shared" si="72"/>
        <v>0.70459548381178694</v>
      </c>
      <c r="CX26" s="299">
        <f t="shared" si="73"/>
        <v>4985.8362559241705</v>
      </c>
      <c r="CY26" s="295">
        <f t="shared" si="74"/>
        <v>6.390860469370924E-3</v>
      </c>
      <c r="CZ26" s="301">
        <f t="shared" si="75"/>
        <v>5.5009354139981198E-3</v>
      </c>
      <c r="DA26" s="296">
        <f t="shared" si="76"/>
        <v>38.925545023696685</v>
      </c>
      <c r="DB26" s="300">
        <f t="shared" si="77"/>
        <v>4.34074986575325E-3</v>
      </c>
      <c r="DC26" s="299">
        <f t="shared" si="78"/>
        <v>30.715876777251186</v>
      </c>
      <c r="DD26" s="295">
        <f t="shared" si="79"/>
        <v>1.8854761513927301E-2</v>
      </c>
      <c r="DE26" s="301">
        <f t="shared" si="80"/>
        <v>1.6229242655435554E-2</v>
      </c>
      <c r="DF26" s="296">
        <f t="shared" si="81"/>
        <v>114.84085308056871</v>
      </c>
      <c r="DG26" s="300">
        <f t="shared" si="82"/>
        <v>6.0522727627829341E-3</v>
      </c>
      <c r="DH26" s="298">
        <f t="shared" si="83"/>
        <v>5.2094959255535199E-3</v>
      </c>
      <c r="DI26" s="303">
        <f t="shared" si="84"/>
        <v>36.863270142180092</v>
      </c>
      <c r="DJ26" s="295">
        <f t="shared" si="85"/>
        <v>4.370117307560268E-2</v>
      </c>
      <c r="DK26" s="301">
        <f t="shared" si="86"/>
        <v>3.7545959272556176E-2</v>
      </c>
      <c r="DL26" s="301">
        <f t="shared" si="87"/>
        <v>3.7615800212973061E-2</v>
      </c>
      <c r="DM26" s="296">
        <f t="shared" si="88"/>
        <v>266.17573459715641</v>
      </c>
      <c r="DN26" s="300">
        <f t="shared" si="89"/>
        <v>2.6105661525088541E-4</v>
      </c>
      <c r="DO26" s="298">
        <f t="shared" si="90"/>
        <v>2.2470457409836606E-4</v>
      </c>
      <c r="DP26" s="299">
        <f t="shared" si="91"/>
        <v>1.5900473933649288</v>
      </c>
      <c r="DQ26" s="295">
        <f t="shared" si="92"/>
        <v>8.5299669339699652E-2</v>
      </c>
      <c r="DR26" s="301">
        <f t="shared" si="93"/>
        <v>7.3421720615232167E-2</v>
      </c>
      <c r="DS26" s="296">
        <f t="shared" si="94"/>
        <v>519.54445497630331</v>
      </c>
      <c r="DT26" s="300">
        <f t="shared" si="95"/>
        <v>5.7536902184029348E-2</v>
      </c>
      <c r="DU26" s="299">
        <f t="shared" si="96"/>
        <v>407.14080568720379</v>
      </c>
      <c r="DV26" s="295">
        <f t="shared" si="25"/>
        <v>1.7444281570651088E-2</v>
      </c>
      <c r="DW26" s="296">
        <f t="shared" si="97"/>
        <v>123.43867298578199</v>
      </c>
      <c r="DX26" s="295">
        <f t="shared" si="103"/>
        <v>2.1009027158789586E-5</v>
      </c>
      <c r="DY26" s="301">
        <f t="shared" si="98"/>
        <v>1.804995203893762E-5</v>
      </c>
      <c r="DZ26" s="301">
        <f t="shared" si="99"/>
        <v>1.8083527572744812E-5</v>
      </c>
      <c r="EA26" s="296">
        <f t="shared" si="100"/>
        <v>0.12796208530805686</v>
      </c>
      <c r="EB26" s="304">
        <f>IFERROR(_xlfn.XLOOKUP(A26,'Pupil on roll 24-25'!E:E,'Pupil on roll 24-25'!R:R),0)</f>
        <v>27</v>
      </c>
      <c r="EC26" s="289">
        <f>IFERROR(_xlfn.XLOOKUP(A26,CFR20242025_BenchMarkDataReport!B:B,CFR20242025_BenchMarkDataReport!AK:AK),0)</f>
        <v>2548.13</v>
      </c>
      <c r="ED26" s="289">
        <f>IFERROR(_xlfn.XLOOKUP(A26,CFR20242025_BenchMarkDataReport!B:B,CFR20242025_BenchMarkDataReport!AL:AL),0)</f>
        <v>55445</v>
      </c>
    </row>
    <row r="27" spans="1:134">
      <c r="A27" s="322">
        <v>2017</v>
      </c>
      <c r="B27" s="323">
        <v>10057</v>
      </c>
      <c r="C27" s="322" t="s">
        <v>53</v>
      </c>
      <c r="D27" s="289">
        <f>IFERROR(_xlfn.XLOOKUP($A27,CFR20242025_BenchMarkDataReport!$B:$B,CFR20242025_BenchMarkDataReport!T:T),0)</f>
        <v>2280087.7000000002</v>
      </c>
      <c r="E27" s="289">
        <f>IFERROR(_xlfn.XLOOKUP($A27,CFR20242025_BenchMarkDataReport!$B:$B,CFR20242025_BenchMarkDataReport!U:U),0)</f>
        <v>0</v>
      </c>
      <c r="F27" s="289">
        <f>IFERROR(_xlfn.XLOOKUP($A27,CFR20242025_BenchMarkDataReport!$B:$B,CFR20242025_BenchMarkDataReport!V:V),0)</f>
        <v>215453.35</v>
      </c>
      <c r="G27" s="289">
        <f>IFERROR(_xlfn.XLOOKUP($A27,CFR20242025_BenchMarkDataReport!$B:$B,CFR20242025_BenchMarkDataReport!W:W),0)</f>
        <v>0</v>
      </c>
      <c r="H27" s="289">
        <f>IFERROR(_xlfn.XLOOKUP($A27,CFR20242025_BenchMarkDataReport!$B:$B,CFR20242025_BenchMarkDataReport!X:X),0)</f>
        <v>118410</v>
      </c>
      <c r="I27" s="289">
        <f>IFERROR(_xlfn.XLOOKUP($A27,CFR20242025_BenchMarkDataReport!$B:$B,CFR20242025_BenchMarkDataReport!Y:Y),0)</f>
        <v>3189.47</v>
      </c>
      <c r="J27" s="289">
        <f>IFERROR(_xlfn.XLOOKUP($A27,CFR20242025_BenchMarkDataReport!$B:$B,CFR20242025_BenchMarkDataReport!Z:Z),0)</f>
        <v>94610.93</v>
      </c>
      <c r="K27" s="289">
        <f>IFERROR(_xlfn.XLOOKUP($A27,CFR20242025_BenchMarkDataReport!$B:$B,CFR20242025_BenchMarkDataReport!AA:AA),0)</f>
        <v>122581.9</v>
      </c>
      <c r="L27" s="289">
        <f>IFERROR(_xlfn.XLOOKUP($A27,CFR20242025_BenchMarkDataReport!$B:$B,CFR20242025_BenchMarkDataReport!AB:AB),0)</f>
        <v>0</v>
      </c>
      <c r="M27" s="289">
        <f>IFERROR(_xlfn.XLOOKUP($A27,CFR20242025_BenchMarkDataReport!$B:$B,CFR20242025_BenchMarkDataReport!AC:AC),0)</f>
        <v>668.43</v>
      </c>
      <c r="N27" s="289">
        <f>IFERROR(_xlfn.XLOOKUP($A27,CFR20242025_BenchMarkDataReport!$B:$B,CFR20242025_BenchMarkDataReport!AD:AD),0)</f>
        <v>7669.5</v>
      </c>
      <c r="O27" s="289">
        <f>IFERROR(_xlfn.XLOOKUP($A27,CFR20242025_BenchMarkDataReport!$B:$B,CFR20242025_BenchMarkDataReport!AE:AE),0)</f>
        <v>963.2</v>
      </c>
      <c r="P27" s="289">
        <f>IFERROR(_xlfn.XLOOKUP($A27,CFR20242025_BenchMarkDataReport!$B:$B,CFR20242025_BenchMarkDataReport!AF:AF),0)</f>
        <v>68264.06</v>
      </c>
      <c r="Q27" s="289">
        <f>IFERROR(_xlfn.XLOOKUP($A27,CFR20242025_BenchMarkDataReport!$B:$B,CFR20242025_BenchMarkDataReport!AG:AG),0)</f>
        <v>10847.41</v>
      </c>
      <c r="R27" s="289">
        <f>IFERROR(_xlfn.XLOOKUP($A27,CFR20242025_BenchMarkDataReport!$B:$B,CFR20242025_BenchMarkDataReport!AH:AH),0)</f>
        <v>0</v>
      </c>
      <c r="S27" s="289">
        <f>IFERROR(_xlfn.XLOOKUP($A27,CFR20242025_BenchMarkDataReport!$B:$B,CFR20242025_BenchMarkDataReport!AI:AI),0)</f>
        <v>0</v>
      </c>
      <c r="T27" s="289">
        <f>IFERROR(_xlfn.XLOOKUP($A27,CFR20242025_BenchMarkDataReport!$B:$B,CFR20242025_BenchMarkDataReport!AJ:AJ),0)</f>
        <v>0</v>
      </c>
      <c r="U27" s="289">
        <f>INDEX(CFR20242025_BenchMarkDataReport!$B$3:$AM$87,MATCH(A27,CFR20242025_BenchMarkDataReport!$B$3:$B$87),MATCH($U$2,CFR20242025_BenchMarkDataReport!$B$3:$AM$3,0))</f>
        <v>98293.25</v>
      </c>
      <c r="V27" s="289">
        <f>IFERROR(_xlfn.XLOOKUP($A27,CFR20242025_BenchMarkDataReport!$B:$B,CFR20242025_BenchMarkDataReport!AN:AN),0)</f>
        <v>1167544.45</v>
      </c>
      <c r="W27" s="289">
        <f>IFERROR(_xlfn.XLOOKUP($A27,CFR20242025_BenchMarkDataReport!$B:$B,CFR20242025_BenchMarkDataReport!AO:AO),0)</f>
        <v>0</v>
      </c>
      <c r="X27" s="289">
        <f>IFERROR(_xlfn.XLOOKUP($A27,CFR20242025_BenchMarkDataReport!$B:$B,CFR20242025_BenchMarkDataReport!AP:AP),0)</f>
        <v>686754.63</v>
      </c>
      <c r="Y27" s="289">
        <f>IFERROR(_xlfn.XLOOKUP($A27,CFR20242025_BenchMarkDataReport!$B:$B,CFR20242025_BenchMarkDataReport!AQ:AQ),0)</f>
        <v>21889.33</v>
      </c>
      <c r="Z27" s="289">
        <f>IFERROR(_xlfn.XLOOKUP($A27,CFR20242025_BenchMarkDataReport!$B:$B,CFR20242025_BenchMarkDataReport!AR:AR),0)</f>
        <v>98315.54</v>
      </c>
      <c r="AA27" s="289">
        <f>IFERROR(_xlfn.XLOOKUP($A27,CFR20242025_BenchMarkDataReport!$B:$B,CFR20242025_BenchMarkDataReport!AS:AS),0)</f>
        <v>0</v>
      </c>
      <c r="AB27" s="289">
        <f>IFERROR(_xlfn.XLOOKUP($A27,CFR20242025_BenchMarkDataReport!$B:$B,CFR20242025_BenchMarkDataReport!AT:AT),0)</f>
        <v>90348.5</v>
      </c>
      <c r="AC27" s="289">
        <f>IFERROR(_xlfn.XLOOKUP($A27,CFR20242025_BenchMarkDataReport!$B:$B,CFR20242025_BenchMarkDataReport!AU:AU),0)</f>
        <v>33740.160000000003</v>
      </c>
      <c r="AD27" s="289">
        <f>IFERROR(_xlfn.XLOOKUP($A27,CFR20242025_BenchMarkDataReport!$B:$B,CFR20242025_BenchMarkDataReport!AV:AV),0)</f>
        <v>3012.6</v>
      </c>
      <c r="AE27" s="289">
        <f>IFERROR(_xlfn.XLOOKUP($A27,CFR20242025_BenchMarkDataReport!$B:$B,CFR20242025_BenchMarkDataReport!AW:AW),0)</f>
        <v>688.9</v>
      </c>
      <c r="AF27" s="289">
        <f>IFERROR(_xlfn.XLOOKUP($A27,CFR20242025_BenchMarkDataReport!$B:$B,CFR20242025_BenchMarkDataReport!AX:AX),0)</f>
        <v>0</v>
      </c>
      <c r="AG27" s="289">
        <f>IFERROR(_xlfn.XLOOKUP($A27,CFR20242025_BenchMarkDataReport!$B:$B,CFR20242025_BenchMarkDataReport!AY:AY),0)</f>
        <v>13923.99</v>
      </c>
      <c r="AH27" s="289">
        <f>IFERROR(_xlfn.XLOOKUP($A27,CFR20242025_BenchMarkDataReport!$B:$B,CFR20242025_BenchMarkDataReport!AZ:AZ),0)</f>
        <v>4822.0200000000004</v>
      </c>
      <c r="AI27" s="289">
        <f>IFERROR(_xlfn.XLOOKUP($A27,CFR20242025_BenchMarkDataReport!$B:$B,CFR20242025_BenchMarkDataReport!BA:BA),0)</f>
        <v>63454.13</v>
      </c>
      <c r="AJ27" s="289">
        <f>IFERROR(_xlfn.XLOOKUP($A27,CFR20242025_BenchMarkDataReport!$B:$B,CFR20242025_BenchMarkDataReport!BB:BB),0)</f>
        <v>314.2</v>
      </c>
      <c r="AK27" s="289">
        <f>IFERROR(_xlfn.XLOOKUP($A27,CFR20242025_BenchMarkDataReport!$B:$B,CFR20242025_BenchMarkDataReport!BC:BC),0)</f>
        <v>47545.39</v>
      </c>
      <c r="AL27" s="289">
        <f>IFERROR(_xlfn.XLOOKUP($A27,CFR20242025_BenchMarkDataReport!$B:$B,CFR20242025_BenchMarkDataReport!BD:BD),0)</f>
        <v>46603.199999999997</v>
      </c>
      <c r="AM27" s="289">
        <f>IFERROR(_xlfn.XLOOKUP($A27,CFR20242025_BenchMarkDataReport!$B:$B,CFR20242025_BenchMarkDataReport!BE:BE),0)</f>
        <v>13749.9</v>
      </c>
      <c r="AN27" s="289">
        <f>IFERROR(_xlfn.XLOOKUP($A27,CFR20242025_BenchMarkDataReport!$B:$B,CFR20242025_BenchMarkDataReport!BF:BF),0)</f>
        <v>132945.44</v>
      </c>
      <c r="AO27" s="289">
        <f>IFERROR(_xlfn.XLOOKUP($A27,CFR20242025_BenchMarkDataReport!$B:$B,CFR20242025_BenchMarkDataReport!BN:BN),0)</f>
        <v>25211.65</v>
      </c>
      <c r="AP27" s="289">
        <f>IFERROR(_xlfn.XLOOKUP($A27,CFR20242025_BenchMarkDataReport!$B:$B,CFR20242025_BenchMarkDataReport!BO:BO),0)</f>
        <v>0</v>
      </c>
      <c r="AQ27" s="289">
        <f>IFERROR(_xlfn.XLOOKUP($A27,CFR20242025_BenchMarkDataReport!$B:$B,CFR20242025_BenchMarkDataReport!BP:BP),0)</f>
        <v>30987.19</v>
      </c>
      <c r="AR27" s="289">
        <f>IFERROR(_xlfn.XLOOKUP($A27,CFR20242025_BenchMarkDataReport!$B:$B,CFR20242025_BenchMarkDataReport!BQ:BQ),0)</f>
        <v>17530.349999999999</v>
      </c>
      <c r="AS27" s="289">
        <f>IFERROR(_xlfn.XLOOKUP($A27,CFR20242025_BenchMarkDataReport!$B:$B,CFR20242025_BenchMarkDataReport!BR:BR),0)</f>
        <v>10707.27</v>
      </c>
      <c r="AT27" s="289">
        <f>IFERROR(_xlfn.XLOOKUP($A27,CFR20242025_BenchMarkDataReport!$B:$B,CFR20242025_BenchMarkDataReport!BS:BS),0)</f>
        <v>144612.47</v>
      </c>
      <c r="AU27" s="289">
        <f>IFERROR(_xlfn.XLOOKUP($A27,CFR20242025_BenchMarkDataReport!$B:$B,CFR20242025_BenchMarkDataReport!BT:BT),0)</f>
        <v>235296.15</v>
      </c>
      <c r="AV27" s="289">
        <f>IFERROR(_xlfn.XLOOKUP($A27,CFR20242025_BenchMarkDataReport!$B:$B,CFR20242025_BenchMarkDataReport!BU:BU),0)</f>
        <v>197292.9</v>
      </c>
      <c r="AW27" s="289">
        <f>IFERROR(_xlfn.XLOOKUP($A27,CFR20242025_BenchMarkDataReport!$B:$B,CFR20242025_BenchMarkDataReport!BV:BV),0)</f>
        <v>73467.839999999997</v>
      </c>
      <c r="AX27" s="289">
        <f>IFERROR(_xlfn.XLOOKUP($A27,CFR20242025_BenchMarkDataReport!$B:$B,CFR20242025_BenchMarkDataReport!BW:BW),0)</f>
        <v>0</v>
      </c>
      <c r="AY27" s="289">
        <f>IFERROR(_xlfn.XLOOKUP($A27,CFR20242025_BenchMarkDataReport!$B:$B,CFR20242025_BenchMarkDataReport!BX:BX),0)</f>
        <v>0</v>
      </c>
      <c r="AZ27" s="289">
        <f>IFERROR(_xlfn.XLOOKUP($A27,CFR20242025_BenchMarkDataReport!$B:$B,CFR20242025_BenchMarkDataReport!BY:BY),0)</f>
        <v>0</v>
      </c>
      <c r="BA27" s="289">
        <f>IFERROR(_xlfn.XLOOKUP($A27,CFR20242025_BenchMarkDataReport!$B:$B,CFR20242025_BenchMarkDataReport!BZ:BZ),0)</f>
        <v>0</v>
      </c>
      <c r="BB27" s="289">
        <f>IFERROR(_xlfn.XLOOKUP($A27,CFR20242025_BenchMarkDataReport!$B:$B,CFR20242025_BenchMarkDataReport!CA:CA),0)</f>
        <v>0</v>
      </c>
      <c r="BC27" s="290">
        <f t="shared" si="33"/>
        <v>3021039.2000000011</v>
      </c>
      <c r="BD27" s="291">
        <f t="shared" si="101"/>
        <v>3160758.2000000007</v>
      </c>
      <c r="BE27" s="325">
        <f t="shared" si="102"/>
        <v>-139718.99999999953</v>
      </c>
      <c r="BF27" s="289">
        <f>IFERROR(_xlfn.XLOOKUP(A27,CFR20242025_BenchMarkDataReport!B:B,CFR20242025_BenchMarkDataReport!Q:Q),0)</f>
        <v>20527</v>
      </c>
      <c r="BG27" s="290">
        <f t="shared" si="0"/>
        <v>-119191.99999999953</v>
      </c>
      <c r="BH27" s="292">
        <f>_xlfn.XLOOKUP(A27,'Pupil on roll 24-25'!E:E,'Pupil on roll 24-25'!I:I)</f>
        <v>415</v>
      </c>
      <c r="BI27" s="291">
        <f t="shared" si="1"/>
        <v>2495541.0500000003</v>
      </c>
      <c r="BJ27" t="s">
        <v>190</v>
      </c>
      <c r="BK27" s="293">
        <f t="shared" si="34"/>
        <v>0.75473621792130319</v>
      </c>
      <c r="BL27" s="294">
        <f t="shared" si="35"/>
        <v>5494.1872289156627</v>
      </c>
      <c r="BM27" s="295">
        <f t="shared" si="36"/>
        <v>0</v>
      </c>
      <c r="BN27" s="296">
        <f t="shared" si="37"/>
        <v>0</v>
      </c>
      <c r="BO27" s="293">
        <f t="shared" si="38"/>
        <v>7.1317628053287063E-2</v>
      </c>
      <c r="BP27" s="294">
        <f t="shared" si="39"/>
        <v>519.1646987951807</v>
      </c>
      <c r="BQ27" s="295">
        <f t="shared" si="40"/>
        <v>0</v>
      </c>
      <c r="BR27" s="296">
        <f t="shared" si="41"/>
        <v>0</v>
      </c>
      <c r="BS27" s="293">
        <f t="shared" si="42"/>
        <v>3.9195121996430882E-2</v>
      </c>
      <c r="BT27" s="294">
        <f t="shared" si="43"/>
        <v>285.32530120481925</v>
      </c>
      <c r="BU27" s="295">
        <f t="shared" si="44"/>
        <v>1.0557526032763821E-3</v>
      </c>
      <c r="BV27" s="296">
        <f t="shared" si="45"/>
        <v>7.685469879518072</v>
      </c>
      <c r="BW27" s="293">
        <f t="shared" si="46"/>
        <v>3.1317346031127291E-2</v>
      </c>
      <c r="BX27" s="294">
        <f t="shared" si="47"/>
        <v>227.97814457831325</v>
      </c>
      <c r="BY27" s="295">
        <f t="shared" si="48"/>
        <v>4.0576070644829751E-2</v>
      </c>
      <c r="BZ27" s="297">
        <f t="shared" si="49"/>
        <v>295.37807228915659</v>
      </c>
      <c r="CA27" s="298">
        <f t="shared" si="50"/>
        <v>2.2596217884230028E-2</v>
      </c>
      <c r="CB27" s="299">
        <f t="shared" si="51"/>
        <v>164.49171084337348</v>
      </c>
      <c r="CC27" s="295">
        <f t="shared" si="52"/>
        <v>3.5906220614416377E-3</v>
      </c>
      <c r="CD27" s="296">
        <f t="shared" si="53"/>
        <v>26.138337349397592</v>
      </c>
      <c r="CE27" s="300">
        <f t="shared" si="54"/>
        <v>0.56213885962725385</v>
      </c>
      <c r="CF27" s="298">
        <f t="shared" si="55"/>
        <v>0.46435696696686335</v>
      </c>
      <c r="CG27" s="298">
        <f t="shared" si="56"/>
        <v>0.44383040752690273</v>
      </c>
      <c r="CH27" s="299">
        <f t="shared" si="57"/>
        <v>3380.3387951807226</v>
      </c>
      <c r="CI27" s="295">
        <f t="shared" si="58"/>
        <v>0.2751926801604806</v>
      </c>
      <c r="CJ27" s="301">
        <f t="shared" si="59"/>
        <v>0.22732397183062031</v>
      </c>
      <c r="CK27" s="301">
        <f t="shared" si="60"/>
        <v>0.21727528224082432</v>
      </c>
      <c r="CL27" s="302">
        <f t="shared" si="61"/>
        <v>1654.8304337349398</v>
      </c>
      <c r="CM27" s="300">
        <f t="shared" si="62"/>
        <v>8.771376451611565E-3</v>
      </c>
      <c r="CN27" s="298">
        <f t="shared" si="63"/>
        <v>7.2456292523446876E-3</v>
      </c>
      <c r="CO27" s="298">
        <f t="shared" si="64"/>
        <v>6.9253415209046985E-3</v>
      </c>
      <c r="CP27" s="299">
        <f t="shared" si="65"/>
        <v>52.745373493975904</v>
      </c>
      <c r="CQ27" s="295">
        <f t="shared" si="66"/>
        <v>3.9396482778754523E-2</v>
      </c>
      <c r="CR27" s="301">
        <f t="shared" si="67"/>
        <v>3.2543616117261885E-2</v>
      </c>
      <c r="CS27" s="301">
        <f t="shared" si="68"/>
        <v>3.1105049415042243E-2</v>
      </c>
      <c r="CT27" s="296">
        <f t="shared" si="69"/>
        <v>236.90491566265058</v>
      </c>
      <c r="CU27" s="300">
        <f t="shared" si="70"/>
        <v>0.82741674395618536</v>
      </c>
      <c r="CV27" s="298">
        <f t="shared" si="71"/>
        <v>0.68349078356877968</v>
      </c>
      <c r="CW27" s="298">
        <f t="shared" si="72"/>
        <v>0.65327757434909117</v>
      </c>
      <c r="CX27" s="299">
        <f t="shared" si="73"/>
        <v>4975.5480722891571</v>
      </c>
      <c r="CY27" s="295">
        <f t="shared" si="74"/>
        <v>5.5795475694539257E-3</v>
      </c>
      <c r="CZ27" s="301">
        <f t="shared" si="75"/>
        <v>4.4052689636303079E-3</v>
      </c>
      <c r="DA27" s="296">
        <f t="shared" si="76"/>
        <v>33.551783132530119</v>
      </c>
      <c r="DB27" s="300">
        <f t="shared" si="77"/>
        <v>9.9406528471554674E-5</v>
      </c>
      <c r="DC27" s="299">
        <f t="shared" si="78"/>
        <v>0.75710843373493975</v>
      </c>
      <c r="DD27" s="295">
        <f t="shared" si="79"/>
        <v>1.9052137010529237E-2</v>
      </c>
      <c r="DE27" s="301">
        <f t="shared" si="80"/>
        <v>1.5042400269656815E-2</v>
      </c>
      <c r="DF27" s="296">
        <f t="shared" si="81"/>
        <v>114.56720481927711</v>
      </c>
      <c r="DG27" s="300">
        <f t="shared" si="82"/>
        <v>5.5097871461581441E-3</v>
      </c>
      <c r="DH27" s="298">
        <f t="shared" si="83"/>
        <v>4.3501904068460528E-3</v>
      </c>
      <c r="DI27" s="303">
        <f t="shared" si="84"/>
        <v>33.132289156626506</v>
      </c>
      <c r="DJ27" s="295">
        <f t="shared" si="85"/>
        <v>5.3273193001573745E-2</v>
      </c>
      <c r="DK27" s="301">
        <f t="shared" si="86"/>
        <v>4.4006525966296617E-2</v>
      </c>
      <c r="DL27" s="301">
        <f t="shared" si="87"/>
        <v>4.2061249734320065E-2</v>
      </c>
      <c r="DM27" s="296">
        <f t="shared" si="88"/>
        <v>320.35045783132529</v>
      </c>
      <c r="DN27" s="300">
        <f t="shared" si="89"/>
        <v>1.2417022753442582E-2</v>
      </c>
      <c r="DO27" s="298">
        <f t="shared" si="90"/>
        <v>9.8037205123757947E-3</v>
      </c>
      <c r="DP27" s="299">
        <f t="shared" si="91"/>
        <v>74.667927710843372</v>
      </c>
      <c r="DQ27" s="295">
        <f t="shared" si="92"/>
        <v>7.9058166564721491E-2</v>
      </c>
      <c r="DR27" s="301">
        <f t="shared" si="93"/>
        <v>6.241948529944491E-2</v>
      </c>
      <c r="DS27" s="296">
        <f t="shared" si="94"/>
        <v>475.40457831325301</v>
      </c>
      <c r="DT27" s="300">
        <f t="shared" si="95"/>
        <v>4.5752462178220391E-2</v>
      </c>
      <c r="DU27" s="299">
        <f t="shared" si="96"/>
        <v>348.46378313253012</v>
      </c>
      <c r="DV27" s="295">
        <f t="shared" si="25"/>
        <v>2.0075604011720979E-2</v>
      </c>
      <c r="DW27" s="296">
        <f t="shared" si="97"/>
        <v>152.90151807228915</v>
      </c>
      <c r="DX27" s="295">
        <f t="shared" si="103"/>
        <v>3.1255747125458022E-5</v>
      </c>
      <c r="DY27" s="301">
        <f t="shared" si="98"/>
        <v>2.5818930121793841E-5</v>
      </c>
      <c r="DZ27" s="301">
        <f t="shared" si="99"/>
        <v>2.4677623236095687E-5</v>
      </c>
      <c r="EA27" s="296">
        <f t="shared" si="100"/>
        <v>0.18795180722891566</v>
      </c>
      <c r="EB27" s="304">
        <f>IFERROR(_xlfn.XLOOKUP(A27,'Pupil on roll 24-25'!E:E,'Pupil on roll 24-25'!R:R),0)</f>
        <v>78</v>
      </c>
      <c r="EC27" s="289">
        <f>IFERROR(_xlfn.XLOOKUP(A27,CFR20242025_BenchMarkDataReport!B:B,CFR20242025_BenchMarkDataReport!AK:AK),0)</f>
        <v>6090.25</v>
      </c>
      <c r="ED27" s="289">
        <f>IFERROR(_xlfn.XLOOKUP(A27,CFR20242025_BenchMarkDataReport!B:B,CFR20242025_BenchMarkDataReport!AL:AL),0)</f>
        <v>92203</v>
      </c>
    </row>
    <row r="28" spans="1:134">
      <c r="A28" s="322">
        <v>2073</v>
      </c>
      <c r="B28" s="323">
        <v>10083</v>
      </c>
      <c r="C28" s="322" t="s">
        <v>54</v>
      </c>
      <c r="D28" s="289">
        <f>IFERROR(_xlfn.XLOOKUP($A28,CFR20242025_BenchMarkDataReport!$B:$B,CFR20242025_BenchMarkDataReport!T:T),0)</f>
        <v>3683983.72</v>
      </c>
      <c r="E28" s="289">
        <f>IFERROR(_xlfn.XLOOKUP($A28,CFR20242025_BenchMarkDataReport!$B:$B,CFR20242025_BenchMarkDataReport!U:U),0)</f>
        <v>0</v>
      </c>
      <c r="F28" s="289">
        <f>IFERROR(_xlfn.XLOOKUP($A28,CFR20242025_BenchMarkDataReport!$B:$B,CFR20242025_BenchMarkDataReport!V:V),0)</f>
        <v>353299.34</v>
      </c>
      <c r="G28" s="289">
        <f>IFERROR(_xlfn.XLOOKUP($A28,CFR20242025_BenchMarkDataReport!$B:$B,CFR20242025_BenchMarkDataReport!W:W),0)</f>
        <v>0</v>
      </c>
      <c r="H28" s="289">
        <f>IFERROR(_xlfn.XLOOKUP($A28,CFR20242025_BenchMarkDataReport!$B:$B,CFR20242025_BenchMarkDataReport!X:X),0)</f>
        <v>310242</v>
      </c>
      <c r="I28" s="289">
        <f>IFERROR(_xlfn.XLOOKUP($A28,CFR20242025_BenchMarkDataReport!$B:$B,CFR20242025_BenchMarkDataReport!Y:Y),0)</f>
        <v>11862.87</v>
      </c>
      <c r="J28" s="289">
        <f>IFERROR(_xlfn.XLOOKUP($A28,CFR20242025_BenchMarkDataReport!$B:$B,CFR20242025_BenchMarkDataReport!Z:Z),0)</f>
        <v>137787.26</v>
      </c>
      <c r="K28" s="289">
        <f>IFERROR(_xlfn.XLOOKUP($A28,CFR20242025_BenchMarkDataReport!$B:$B,CFR20242025_BenchMarkDataReport!AA:AA),0)</f>
        <v>25535</v>
      </c>
      <c r="L28" s="289">
        <f>IFERROR(_xlfn.XLOOKUP($A28,CFR20242025_BenchMarkDataReport!$B:$B,CFR20242025_BenchMarkDataReport!AB:AB),0)</f>
        <v>130937.33</v>
      </c>
      <c r="M28" s="289">
        <f>IFERROR(_xlfn.XLOOKUP($A28,CFR20242025_BenchMarkDataReport!$B:$B,CFR20242025_BenchMarkDataReport!AC:AC),0)</f>
        <v>1164.18</v>
      </c>
      <c r="N28" s="289">
        <f>IFERROR(_xlfn.XLOOKUP($A28,CFR20242025_BenchMarkDataReport!$B:$B,CFR20242025_BenchMarkDataReport!AD:AD),0)</f>
        <v>0</v>
      </c>
      <c r="O28" s="289">
        <f>IFERROR(_xlfn.XLOOKUP($A28,CFR20242025_BenchMarkDataReport!$B:$B,CFR20242025_BenchMarkDataReport!AE:AE),0)</f>
        <v>0</v>
      </c>
      <c r="P28" s="289">
        <f>IFERROR(_xlfn.XLOOKUP($A28,CFR20242025_BenchMarkDataReport!$B:$B,CFR20242025_BenchMarkDataReport!AF:AF),0)</f>
        <v>27998.27</v>
      </c>
      <c r="Q28" s="289">
        <f>IFERROR(_xlfn.XLOOKUP($A28,CFR20242025_BenchMarkDataReport!$B:$B,CFR20242025_BenchMarkDataReport!AG:AG),0)</f>
        <v>4573.3599999999997</v>
      </c>
      <c r="R28" s="289">
        <f>IFERROR(_xlfn.XLOOKUP($A28,CFR20242025_BenchMarkDataReport!$B:$B,CFR20242025_BenchMarkDataReport!AH:AH),0)</f>
        <v>0</v>
      </c>
      <c r="S28" s="289">
        <f>IFERROR(_xlfn.XLOOKUP($A28,CFR20242025_BenchMarkDataReport!$B:$B,CFR20242025_BenchMarkDataReport!AI:AI),0)</f>
        <v>0</v>
      </c>
      <c r="T28" s="289">
        <f>IFERROR(_xlfn.XLOOKUP($A28,CFR20242025_BenchMarkDataReport!$B:$B,CFR20242025_BenchMarkDataReport!AJ:AJ),0)</f>
        <v>0</v>
      </c>
      <c r="U28" s="289">
        <f>INDEX(CFR20242025_BenchMarkDataReport!$B$3:$AM$87,MATCH(A28,CFR20242025_BenchMarkDataReport!$B$3:$B$87),MATCH($U$2,CFR20242025_BenchMarkDataReport!$B$3:$AM$3,0))</f>
        <v>125230.5</v>
      </c>
      <c r="V28" s="289">
        <f>IFERROR(_xlfn.XLOOKUP($A28,CFR20242025_BenchMarkDataReport!$B:$B,CFR20242025_BenchMarkDataReport!AN:AN),0)</f>
        <v>1841276.16</v>
      </c>
      <c r="W28" s="289">
        <f>IFERROR(_xlfn.XLOOKUP($A28,CFR20242025_BenchMarkDataReport!$B:$B,CFR20242025_BenchMarkDataReport!AO:AO),0)</f>
        <v>0</v>
      </c>
      <c r="X28" s="289">
        <f>IFERROR(_xlfn.XLOOKUP($A28,CFR20242025_BenchMarkDataReport!$B:$B,CFR20242025_BenchMarkDataReport!AP:AP),0)</f>
        <v>1181321.1000000001</v>
      </c>
      <c r="Y28" s="289">
        <f>IFERROR(_xlfn.XLOOKUP($A28,CFR20242025_BenchMarkDataReport!$B:$B,CFR20242025_BenchMarkDataReport!AQ:AQ),0)</f>
        <v>203584.82</v>
      </c>
      <c r="Z28" s="289">
        <f>IFERROR(_xlfn.XLOOKUP($A28,CFR20242025_BenchMarkDataReport!$B:$B,CFR20242025_BenchMarkDataReport!AR:AR),0)</f>
        <v>169049.2</v>
      </c>
      <c r="AA28" s="289">
        <f>IFERROR(_xlfn.XLOOKUP($A28,CFR20242025_BenchMarkDataReport!$B:$B,CFR20242025_BenchMarkDataReport!AS:AS),0)</f>
        <v>1331.89</v>
      </c>
      <c r="AB28" s="289">
        <f>IFERROR(_xlfn.XLOOKUP($A28,CFR20242025_BenchMarkDataReport!$B:$B,CFR20242025_BenchMarkDataReport!AT:AT),0)</f>
        <v>238114.21</v>
      </c>
      <c r="AC28" s="289">
        <f>IFERROR(_xlfn.XLOOKUP($A28,CFR20242025_BenchMarkDataReport!$B:$B,CFR20242025_BenchMarkDataReport!AU:AU),0)</f>
        <v>54093.440000000002</v>
      </c>
      <c r="AD28" s="289">
        <f>IFERROR(_xlfn.XLOOKUP($A28,CFR20242025_BenchMarkDataReport!$B:$B,CFR20242025_BenchMarkDataReport!AV:AV),0)</f>
        <v>6910.49</v>
      </c>
      <c r="AE28" s="289">
        <f>IFERROR(_xlfn.XLOOKUP($A28,CFR20242025_BenchMarkDataReport!$B:$B,CFR20242025_BenchMarkDataReport!AW:AW),0)</f>
        <v>1047.46</v>
      </c>
      <c r="AF28" s="289">
        <f>IFERROR(_xlfn.XLOOKUP($A28,CFR20242025_BenchMarkDataReport!$B:$B,CFR20242025_BenchMarkDataReport!AX:AX),0)</f>
        <v>0</v>
      </c>
      <c r="AG28" s="289">
        <f>IFERROR(_xlfn.XLOOKUP($A28,CFR20242025_BenchMarkDataReport!$B:$B,CFR20242025_BenchMarkDataReport!AY:AY),0)</f>
        <v>37068.75</v>
      </c>
      <c r="AH28" s="289">
        <f>IFERROR(_xlfn.XLOOKUP($A28,CFR20242025_BenchMarkDataReport!$B:$B,CFR20242025_BenchMarkDataReport!AZ:AZ),0)</f>
        <v>16037.51</v>
      </c>
      <c r="AI28" s="289">
        <f>IFERROR(_xlfn.XLOOKUP($A28,CFR20242025_BenchMarkDataReport!$B:$B,CFR20242025_BenchMarkDataReport!BA:BA),0)</f>
        <v>12642.29</v>
      </c>
      <c r="AJ28" s="289">
        <f>IFERROR(_xlfn.XLOOKUP($A28,CFR20242025_BenchMarkDataReport!$B:$B,CFR20242025_BenchMarkDataReport!BB:BB),0)</f>
        <v>8136.51</v>
      </c>
      <c r="AK28" s="289">
        <f>IFERROR(_xlfn.XLOOKUP($A28,CFR20242025_BenchMarkDataReport!$B:$B,CFR20242025_BenchMarkDataReport!BC:BC),0)</f>
        <v>69980.81</v>
      </c>
      <c r="AL28" s="289">
        <f>IFERROR(_xlfn.XLOOKUP($A28,CFR20242025_BenchMarkDataReport!$B:$B,CFR20242025_BenchMarkDataReport!BD:BD),0)</f>
        <v>62598.400000000001</v>
      </c>
      <c r="AM28" s="289">
        <f>IFERROR(_xlfn.XLOOKUP($A28,CFR20242025_BenchMarkDataReport!$B:$B,CFR20242025_BenchMarkDataReport!BE:BE),0)</f>
        <v>34409.99</v>
      </c>
      <c r="AN28" s="289">
        <f>IFERROR(_xlfn.XLOOKUP($A28,CFR20242025_BenchMarkDataReport!$B:$B,CFR20242025_BenchMarkDataReport!BF:BF),0)</f>
        <v>75122.98</v>
      </c>
      <c r="AO28" s="289">
        <f>IFERROR(_xlfn.XLOOKUP($A28,CFR20242025_BenchMarkDataReport!$B:$B,CFR20242025_BenchMarkDataReport!BN:BN),0)</f>
        <v>53953.57</v>
      </c>
      <c r="AP28" s="289">
        <f>IFERROR(_xlfn.XLOOKUP($A28,CFR20242025_BenchMarkDataReport!$B:$B,CFR20242025_BenchMarkDataReport!BO:BO),0)</f>
        <v>0</v>
      </c>
      <c r="AQ28" s="289">
        <f>IFERROR(_xlfn.XLOOKUP($A28,CFR20242025_BenchMarkDataReport!$B:$B,CFR20242025_BenchMarkDataReport!BP:BP),0)</f>
        <v>18529</v>
      </c>
      <c r="AR28" s="289">
        <f>IFERROR(_xlfn.XLOOKUP($A28,CFR20242025_BenchMarkDataReport!$B:$B,CFR20242025_BenchMarkDataReport!BQ:BQ),0)</f>
        <v>28561.66</v>
      </c>
      <c r="AS28" s="289">
        <f>IFERROR(_xlfn.XLOOKUP($A28,CFR20242025_BenchMarkDataReport!$B:$B,CFR20242025_BenchMarkDataReport!BR:BR),0)</f>
        <v>18765.650000000001</v>
      </c>
      <c r="AT28" s="289">
        <f>IFERROR(_xlfn.XLOOKUP($A28,CFR20242025_BenchMarkDataReport!$B:$B,CFR20242025_BenchMarkDataReport!BS:BS),0)</f>
        <v>282340.37</v>
      </c>
      <c r="AU28" s="289">
        <f>IFERROR(_xlfn.XLOOKUP($A28,CFR20242025_BenchMarkDataReport!$B:$B,CFR20242025_BenchMarkDataReport!BT:BT),0)</f>
        <v>68269.399999999994</v>
      </c>
      <c r="AV28" s="289">
        <f>IFERROR(_xlfn.XLOOKUP($A28,CFR20242025_BenchMarkDataReport!$B:$B,CFR20242025_BenchMarkDataReport!BU:BU),0)</f>
        <v>195478.14</v>
      </c>
      <c r="AW28" s="289">
        <f>IFERROR(_xlfn.XLOOKUP($A28,CFR20242025_BenchMarkDataReport!$B:$B,CFR20242025_BenchMarkDataReport!BV:BV),0)</f>
        <v>34220</v>
      </c>
      <c r="AX28" s="289">
        <f>IFERROR(_xlfn.XLOOKUP($A28,CFR20242025_BenchMarkDataReport!$B:$B,CFR20242025_BenchMarkDataReport!BW:BW),0)</f>
        <v>0</v>
      </c>
      <c r="AY28" s="289">
        <f>IFERROR(_xlfn.XLOOKUP($A28,CFR20242025_BenchMarkDataReport!$B:$B,CFR20242025_BenchMarkDataReport!BX:BX),0)</f>
        <v>0</v>
      </c>
      <c r="AZ28" s="289">
        <f>IFERROR(_xlfn.XLOOKUP($A28,CFR20242025_BenchMarkDataReport!$B:$B,CFR20242025_BenchMarkDataReport!BY:BY),0)</f>
        <v>0</v>
      </c>
      <c r="BA28" s="289">
        <f>IFERROR(_xlfn.XLOOKUP($A28,CFR20242025_BenchMarkDataReport!$B:$B,CFR20242025_BenchMarkDataReport!BZ:BZ),0)</f>
        <v>0</v>
      </c>
      <c r="BB28" s="289">
        <f>IFERROR(_xlfn.XLOOKUP($A28,CFR20242025_BenchMarkDataReport!$B:$B,CFR20242025_BenchMarkDataReport!CA:CA),0)</f>
        <v>-1965</v>
      </c>
      <c r="BC28" s="290">
        <f t="shared" si="33"/>
        <v>4812613.83</v>
      </c>
      <c r="BD28" s="291">
        <f t="shared" si="101"/>
        <v>4712843.8</v>
      </c>
      <c r="BE28" s="325">
        <f t="shared" si="102"/>
        <v>99770.030000000261</v>
      </c>
      <c r="BF28" s="289">
        <f>IFERROR(_xlfn.XLOOKUP(A28,CFR20242025_BenchMarkDataReport!B:B,CFR20242025_BenchMarkDataReport!Q:Q),0)</f>
        <v>-56832.03</v>
      </c>
      <c r="BG28" s="290">
        <f t="shared" si="0"/>
        <v>42938.000000000262</v>
      </c>
      <c r="BH28" s="292">
        <f>_xlfn.XLOOKUP(A28,'Pupil on roll 24-25'!E:E,'Pupil on roll 24-25'!I:I)</f>
        <v>631</v>
      </c>
      <c r="BI28" s="291">
        <f t="shared" si="1"/>
        <v>4037283.06</v>
      </c>
      <c r="BJ28" t="s">
        <v>190</v>
      </c>
      <c r="BK28" s="293">
        <f t="shared" si="34"/>
        <v>0.76548500464247726</v>
      </c>
      <c r="BL28" s="294">
        <f t="shared" si="35"/>
        <v>5838.326022187005</v>
      </c>
      <c r="BM28" s="295">
        <f t="shared" si="36"/>
        <v>0</v>
      </c>
      <c r="BN28" s="296">
        <f t="shared" si="37"/>
        <v>0</v>
      </c>
      <c r="BO28" s="293">
        <f t="shared" si="38"/>
        <v>7.3411113478016168E-2</v>
      </c>
      <c r="BP28" s="294">
        <f t="shared" si="39"/>
        <v>559.9038668779715</v>
      </c>
      <c r="BQ28" s="295">
        <f t="shared" si="40"/>
        <v>0</v>
      </c>
      <c r="BR28" s="296">
        <f t="shared" si="41"/>
        <v>0</v>
      </c>
      <c r="BS28" s="293">
        <f t="shared" si="42"/>
        <v>6.446434535554664E-2</v>
      </c>
      <c r="BT28" s="294">
        <f t="shared" si="43"/>
        <v>491.66719492868464</v>
      </c>
      <c r="BU28" s="295">
        <f t="shared" si="44"/>
        <v>2.4649536445354066E-3</v>
      </c>
      <c r="BV28" s="296">
        <f t="shared" si="45"/>
        <v>18.800110935023774</v>
      </c>
      <c r="BW28" s="293">
        <f t="shared" si="46"/>
        <v>2.8630441765571706E-2</v>
      </c>
      <c r="BX28" s="294">
        <f t="shared" si="47"/>
        <v>218.36332805071316</v>
      </c>
      <c r="BY28" s="295">
        <f t="shared" si="48"/>
        <v>3.2512961880425802E-2</v>
      </c>
      <c r="BZ28" s="297">
        <f t="shared" si="49"/>
        <v>247.97516640253568</v>
      </c>
      <c r="CA28" s="298">
        <f t="shared" si="50"/>
        <v>5.8176847320409253E-3</v>
      </c>
      <c r="CB28" s="299">
        <f t="shared" si="51"/>
        <v>44.371267828843109</v>
      </c>
      <c r="CC28" s="295">
        <f t="shared" si="52"/>
        <v>9.5028609432392373E-4</v>
      </c>
      <c r="CD28" s="296">
        <f t="shared" si="53"/>
        <v>7.2477971473851026</v>
      </c>
      <c r="CE28" s="300">
        <f t="shared" si="54"/>
        <v>0.47297787438267946</v>
      </c>
      <c r="CF28" s="298">
        <f t="shared" si="55"/>
        <v>0.39677930277651213</v>
      </c>
      <c r="CG28" s="298">
        <f t="shared" si="56"/>
        <v>0.40517904709678687</v>
      </c>
      <c r="CH28" s="299">
        <f t="shared" si="57"/>
        <v>3026.2211727416798</v>
      </c>
      <c r="CI28" s="295">
        <f t="shared" si="58"/>
        <v>0.29260299127998224</v>
      </c>
      <c r="CJ28" s="301">
        <f t="shared" si="59"/>
        <v>0.24546351353522169</v>
      </c>
      <c r="CK28" s="301">
        <f t="shared" si="60"/>
        <v>0.25065993063466269</v>
      </c>
      <c r="CL28" s="302">
        <f t="shared" si="61"/>
        <v>1872.141204437401</v>
      </c>
      <c r="CM28" s="300">
        <f t="shared" si="62"/>
        <v>5.0426194293149214E-2</v>
      </c>
      <c r="CN28" s="298">
        <f t="shared" si="63"/>
        <v>4.2302338644112654E-2</v>
      </c>
      <c r="CO28" s="298">
        <f t="shared" si="64"/>
        <v>4.3197871314979722E-2</v>
      </c>
      <c r="CP28" s="299">
        <f t="shared" si="65"/>
        <v>322.63838351822506</v>
      </c>
      <c r="CQ28" s="295">
        <f t="shared" si="66"/>
        <v>4.1872020734657137E-2</v>
      </c>
      <c r="CR28" s="301">
        <f t="shared" si="67"/>
        <v>3.5126275652164682E-2</v>
      </c>
      <c r="CS28" s="301">
        <f t="shared" si="68"/>
        <v>3.5869892399149748E-2</v>
      </c>
      <c r="CT28" s="296">
        <f t="shared" si="69"/>
        <v>267.90681458003172</v>
      </c>
      <c r="CU28" s="300">
        <f t="shared" si="70"/>
        <v>0.90027806472405225</v>
      </c>
      <c r="CV28" s="298">
        <f t="shared" si="71"/>
        <v>0.75523977372603779</v>
      </c>
      <c r="CW28" s="298">
        <f t="shared" si="72"/>
        <v>0.77122805979693199</v>
      </c>
      <c r="CX28" s="299">
        <f t="shared" si="73"/>
        <v>5760.1860221870047</v>
      </c>
      <c r="CY28" s="295">
        <f t="shared" si="74"/>
        <v>9.1816078905302221E-3</v>
      </c>
      <c r="CZ28" s="301">
        <f t="shared" si="75"/>
        <v>7.865473920438442E-3</v>
      </c>
      <c r="DA28" s="296">
        <f t="shared" si="76"/>
        <v>58.746038034865293</v>
      </c>
      <c r="DB28" s="300">
        <f t="shared" si="77"/>
        <v>1.7264544180309988E-3</v>
      </c>
      <c r="DC28" s="299">
        <f t="shared" si="78"/>
        <v>12.894627575277338</v>
      </c>
      <c r="DD28" s="295">
        <f t="shared" si="79"/>
        <v>1.7333639717597604E-2</v>
      </c>
      <c r="DE28" s="301">
        <f t="shared" si="80"/>
        <v>1.4848955953091422E-2</v>
      </c>
      <c r="DF28" s="296">
        <f t="shared" si="81"/>
        <v>110.90461172741679</v>
      </c>
      <c r="DG28" s="300">
        <f t="shared" si="82"/>
        <v>8.5230560970376932E-3</v>
      </c>
      <c r="DH28" s="298">
        <f t="shared" si="83"/>
        <v>7.301321974642996E-3</v>
      </c>
      <c r="DI28" s="303">
        <f t="shared" si="84"/>
        <v>54.532472266244056</v>
      </c>
      <c r="DJ28" s="295">
        <f t="shared" si="85"/>
        <v>1.8607310630332666E-2</v>
      </c>
      <c r="DK28" s="301">
        <f t="shared" si="86"/>
        <v>1.5609600656448263E-2</v>
      </c>
      <c r="DL28" s="301">
        <f t="shared" si="87"/>
        <v>1.5940053010031863E-2</v>
      </c>
      <c r="DM28" s="296">
        <f t="shared" si="88"/>
        <v>119.05385103011093</v>
      </c>
      <c r="DN28" s="300">
        <f t="shared" si="89"/>
        <v>4.5894726043806304E-3</v>
      </c>
      <c r="DO28" s="298">
        <f t="shared" si="90"/>
        <v>3.9315964598699415E-3</v>
      </c>
      <c r="DP28" s="299">
        <f t="shared" si="91"/>
        <v>29.364500792393027</v>
      </c>
      <c r="DQ28" s="295">
        <f t="shared" si="92"/>
        <v>4.841823996358581E-2</v>
      </c>
      <c r="DR28" s="301">
        <f t="shared" si="93"/>
        <v>4.1477746408654585E-2</v>
      </c>
      <c r="DS28" s="296">
        <f t="shared" si="94"/>
        <v>309.79103011093503</v>
      </c>
      <c r="DT28" s="300">
        <f t="shared" si="95"/>
        <v>5.9908705228040871E-2</v>
      </c>
      <c r="DU28" s="299">
        <f t="shared" si="96"/>
        <v>447.44908082408875</v>
      </c>
      <c r="DV28" s="295">
        <f t="shared" si="25"/>
        <v>2.6825183554778542E-3</v>
      </c>
      <c r="DW28" s="296">
        <f t="shared" si="97"/>
        <v>20.035324881141047</v>
      </c>
      <c r="DX28" s="295">
        <f t="shared" si="103"/>
        <v>5.1767487415162811E-5</v>
      </c>
      <c r="DY28" s="301">
        <f t="shared" si="98"/>
        <v>4.3427544237431573E-5</v>
      </c>
      <c r="DZ28" s="301">
        <f t="shared" si="99"/>
        <v>4.4346897302219098E-5</v>
      </c>
      <c r="EA28" s="296">
        <f t="shared" si="100"/>
        <v>0.33122028526148972</v>
      </c>
      <c r="EB28" s="304">
        <f>IFERROR(_xlfn.XLOOKUP(A28,'Pupil on roll 24-25'!E:E,'Pupil on roll 24-25'!R:R),0)</f>
        <v>209</v>
      </c>
      <c r="EC28" s="289">
        <f>IFERROR(_xlfn.XLOOKUP(A28,CFR20242025_BenchMarkDataReport!B:B,CFR20242025_BenchMarkDataReport!AK:AK),0)</f>
        <v>19792.5</v>
      </c>
      <c r="ED28" s="289">
        <f>IFERROR(_xlfn.XLOOKUP(A28,CFR20242025_BenchMarkDataReport!B:B,CFR20242025_BenchMarkDataReport!AL:AL),0)</f>
        <v>105438</v>
      </c>
    </row>
    <row r="29" spans="1:134">
      <c r="A29" s="322">
        <v>2019</v>
      </c>
      <c r="B29" s="323">
        <v>10059</v>
      </c>
      <c r="C29" s="322" t="s">
        <v>55</v>
      </c>
      <c r="D29" s="289">
        <f>IFERROR(_xlfn.XLOOKUP($A29,CFR20242025_BenchMarkDataReport!$B:$B,CFR20242025_BenchMarkDataReport!T:T),0)</f>
        <v>1349798.22</v>
      </c>
      <c r="E29" s="289">
        <f>IFERROR(_xlfn.XLOOKUP($A29,CFR20242025_BenchMarkDataReport!$B:$B,CFR20242025_BenchMarkDataReport!U:U),0)</f>
        <v>0</v>
      </c>
      <c r="F29" s="289">
        <f>IFERROR(_xlfn.XLOOKUP($A29,CFR20242025_BenchMarkDataReport!$B:$B,CFR20242025_BenchMarkDataReport!V:V),0)</f>
        <v>87419.5</v>
      </c>
      <c r="G29" s="289">
        <f>IFERROR(_xlfn.XLOOKUP($A29,CFR20242025_BenchMarkDataReport!$B:$B,CFR20242025_BenchMarkDataReport!W:W),0)</f>
        <v>0</v>
      </c>
      <c r="H29" s="289">
        <f>IFERROR(_xlfn.XLOOKUP($A29,CFR20242025_BenchMarkDataReport!$B:$B,CFR20242025_BenchMarkDataReport!X:X),0)</f>
        <v>59200</v>
      </c>
      <c r="I29" s="289">
        <f>IFERROR(_xlfn.XLOOKUP($A29,CFR20242025_BenchMarkDataReport!$B:$B,CFR20242025_BenchMarkDataReport!Y:Y),0)</f>
        <v>1723.5</v>
      </c>
      <c r="J29" s="289">
        <f>IFERROR(_xlfn.XLOOKUP($A29,CFR20242025_BenchMarkDataReport!$B:$B,CFR20242025_BenchMarkDataReport!Z:Z),0)</f>
        <v>2150</v>
      </c>
      <c r="K29" s="289">
        <f>IFERROR(_xlfn.XLOOKUP($A29,CFR20242025_BenchMarkDataReport!$B:$B,CFR20242025_BenchMarkDataReport!AA:AA),0)</f>
        <v>9960.07</v>
      </c>
      <c r="L29" s="289">
        <f>IFERROR(_xlfn.XLOOKUP($A29,CFR20242025_BenchMarkDataReport!$B:$B,CFR20242025_BenchMarkDataReport!AB:AB),0)</f>
        <v>23211.9</v>
      </c>
      <c r="M29" s="289">
        <f>IFERROR(_xlfn.XLOOKUP($A29,CFR20242025_BenchMarkDataReport!$B:$B,CFR20242025_BenchMarkDataReport!AC:AC),0)</f>
        <v>94.58</v>
      </c>
      <c r="N29" s="289">
        <f>IFERROR(_xlfn.XLOOKUP($A29,CFR20242025_BenchMarkDataReport!$B:$B,CFR20242025_BenchMarkDataReport!AD:AD),0)</f>
        <v>0</v>
      </c>
      <c r="O29" s="289">
        <f>IFERROR(_xlfn.XLOOKUP($A29,CFR20242025_BenchMarkDataReport!$B:$B,CFR20242025_BenchMarkDataReport!AE:AE),0)</f>
        <v>2500</v>
      </c>
      <c r="P29" s="289">
        <f>IFERROR(_xlfn.XLOOKUP($A29,CFR20242025_BenchMarkDataReport!$B:$B,CFR20242025_BenchMarkDataReport!AF:AF),0)</f>
        <v>26201.5</v>
      </c>
      <c r="Q29" s="289">
        <f>IFERROR(_xlfn.XLOOKUP($A29,CFR20242025_BenchMarkDataReport!$B:$B,CFR20242025_BenchMarkDataReport!AG:AG),0)</f>
        <v>8743.7000000000007</v>
      </c>
      <c r="R29" s="289">
        <f>IFERROR(_xlfn.XLOOKUP($A29,CFR20242025_BenchMarkDataReport!$B:$B,CFR20242025_BenchMarkDataReport!AH:AH),0)</f>
        <v>0</v>
      </c>
      <c r="S29" s="289">
        <f>IFERROR(_xlfn.XLOOKUP($A29,CFR20242025_BenchMarkDataReport!$B:$B,CFR20242025_BenchMarkDataReport!AI:AI),0)</f>
        <v>0</v>
      </c>
      <c r="T29" s="289">
        <f>IFERROR(_xlfn.XLOOKUP($A29,CFR20242025_BenchMarkDataReport!$B:$B,CFR20242025_BenchMarkDataReport!AJ:AJ),0)</f>
        <v>0</v>
      </c>
      <c r="U29" s="289">
        <f>INDEX(CFR20242025_BenchMarkDataReport!$B$3:$AM$87,MATCH(A29,CFR20242025_BenchMarkDataReport!$B$3:$B$87),MATCH($U$2,CFR20242025_BenchMarkDataReport!$B$3:$AM$3,0))</f>
        <v>76677.88</v>
      </c>
      <c r="V29" s="289">
        <f>IFERROR(_xlfn.XLOOKUP($A29,CFR20242025_BenchMarkDataReport!$B:$B,CFR20242025_BenchMarkDataReport!AN:AN),0)</f>
        <v>821591.34</v>
      </c>
      <c r="W29" s="289">
        <f>IFERROR(_xlfn.XLOOKUP($A29,CFR20242025_BenchMarkDataReport!$B:$B,CFR20242025_BenchMarkDataReport!AO:AO),0)</f>
        <v>0</v>
      </c>
      <c r="X29" s="289">
        <f>IFERROR(_xlfn.XLOOKUP($A29,CFR20242025_BenchMarkDataReport!$B:$B,CFR20242025_BenchMarkDataReport!AP:AP),0)</f>
        <v>449566.68</v>
      </c>
      <c r="Y29" s="289">
        <f>IFERROR(_xlfn.XLOOKUP($A29,CFR20242025_BenchMarkDataReport!$B:$B,CFR20242025_BenchMarkDataReport!AQ:AQ),0)</f>
        <v>52650.96</v>
      </c>
      <c r="Z29" s="289">
        <f>IFERROR(_xlfn.XLOOKUP($A29,CFR20242025_BenchMarkDataReport!$B:$B,CFR20242025_BenchMarkDataReport!AR:AR),0)</f>
        <v>91824.59</v>
      </c>
      <c r="AA29" s="289">
        <f>IFERROR(_xlfn.XLOOKUP($A29,CFR20242025_BenchMarkDataReport!$B:$B,CFR20242025_BenchMarkDataReport!AS:AS),0)</f>
        <v>0</v>
      </c>
      <c r="AB29" s="289">
        <f>IFERROR(_xlfn.XLOOKUP($A29,CFR20242025_BenchMarkDataReport!$B:$B,CFR20242025_BenchMarkDataReport!AT:AT),0)</f>
        <v>40688.769999999997</v>
      </c>
      <c r="AC29" s="289">
        <f>IFERROR(_xlfn.XLOOKUP($A29,CFR20242025_BenchMarkDataReport!$B:$B,CFR20242025_BenchMarkDataReport!AU:AU),0)</f>
        <v>38785.99</v>
      </c>
      <c r="AD29" s="289">
        <f>IFERROR(_xlfn.XLOOKUP($A29,CFR20242025_BenchMarkDataReport!$B:$B,CFR20242025_BenchMarkDataReport!AV:AV),0)</f>
        <v>2280.98</v>
      </c>
      <c r="AE29" s="289">
        <f>IFERROR(_xlfn.XLOOKUP($A29,CFR20242025_BenchMarkDataReport!$B:$B,CFR20242025_BenchMarkDataReport!AW:AW),0)</f>
        <v>280.54000000000002</v>
      </c>
      <c r="AF29" s="289">
        <f>IFERROR(_xlfn.XLOOKUP($A29,CFR20242025_BenchMarkDataReport!$B:$B,CFR20242025_BenchMarkDataReport!AX:AX),0)</f>
        <v>0</v>
      </c>
      <c r="AG29" s="289">
        <f>IFERROR(_xlfn.XLOOKUP($A29,CFR20242025_BenchMarkDataReport!$B:$B,CFR20242025_BenchMarkDataReport!AY:AY),0)</f>
        <v>15224.7</v>
      </c>
      <c r="AH29" s="289">
        <f>IFERROR(_xlfn.XLOOKUP($A29,CFR20242025_BenchMarkDataReport!$B:$B,CFR20242025_BenchMarkDataReport!AZ:AZ),0)</f>
        <v>5311</v>
      </c>
      <c r="AI29" s="289">
        <f>IFERROR(_xlfn.XLOOKUP($A29,CFR20242025_BenchMarkDataReport!$B:$B,CFR20242025_BenchMarkDataReport!BA:BA),0)</f>
        <v>2060.44</v>
      </c>
      <c r="AJ29" s="289">
        <f>IFERROR(_xlfn.XLOOKUP($A29,CFR20242025_BenchMarkDataReport!$B:$B,CFR20242025_BenchMarkDataReport!BB:BB),0)</f>
        <v>12665.28</v>
      </c>
      <c r="AK29" s="289">
        <f>IFERROR(_xlfn.XLOOKUP($A29,CFR20242025_BenchMarkDataReport!$B:$B,CFR20242025_BenchMarkDataReport!BC:BC),0)</f>
        <v>45232.13</v>
      </c>
      <c r="AL29" s="289">
        <f>IFERROR(_xlfn.XLOOKUP($A29,CFR20242025_BenchMarkDataReport!$B:$B,CFR20242025_BenchMarkDataReport!BD:BD),0)</f>
        <v>21150</v>
      </c>
      <c r="AM29" s="289">
        <f>IFERROR(_xlfn.XLOOKUP($A29,CFR20242025_BenchMarkDataReport!$B:$B,CFR20242025_BenchMarkDataReport!BE:BE),0)</f>
        <v>6651.9</v>
      </c>
      <c r="AN29" s="289">
        <f>IFERROR(_xlfn.XLOOKUP($A29,CFR20242025_BenchMarkDataReport!$B:$B,CFR20242025_BenchMarkDataReport!BF:BF),0)</f>
        <v>23514.91</v>
      </c>
      <c r="AO29" s="289">
        <f>IFERROR(_xlfn.XLOOKUP($A29,CFR20242025_BenchMarkDataReport!$B:$B,CFR20242025_BenchMarkDataReport!BN:BN),0)</f>
        <v>38591.339999999997</v>
      </c>
      <c r="AP29" s="289">
        <f>IFERROR(_xlfn.XLOOKUP($A29,CFR20242025_BenchMarkDataReport!$B:$B,CFR20242025_BenchMarkDataReport!BO:BO),0)</f>
        <v>0</v>
      </c>
      <c r="AQ29" s="289">
        <f>IFERROR(_xlfn.XLOOKUP($A29,CFR20242025_BenchMarkDataReport!$B:$B,CFR20242025_BenchMarkDataReport!BP:BP),0)</f>
        <v>10011.4</v>
      </c>
      <c r="AR29" s="289">
        <f>IFERROR(_xlfn.XLOOKUP($A29,CFR20242025_BenchMarkDataReport!$B:$B,CFR20242025_BenchMarkDataReport!BQ:BQ),0)</f>
        <v>6910.41</v>
      </c>
      <c r="AS29" s="289">
        <f>IFERROR(_xlfn.XLOOKUP($A29,CFR20242025_BenchMarkDataReport!$B:$B,CFR20242025_BenchMarkDataReport!BR:BR),0)</f>
        <v>4394.5</v>
      </c>
      <c r="AT29" s="289">
        <f>IFERROR(_xlfn.XLOOKUP($A29,CFR20242025_BenchMarkDataReport!$B:$B,CFR20242025_BenchMarkDataReport!BS:BS),0)</f>
        <v>66449.759999999995</v>
      </c>
      <c r="AU29" s="289">
        <f>IFERROR(_xlfn.XLOOKUP($A29,CFR20242025_BenchMarkDataReport!$B:$B,CFR20242025_BenchMarkDataReport!BT:BT),0)</f>
        <v>12521.8</v>
      </c>
      <c r="AV29" s="289">
        <f>IFERROR(_xlfn.XLOOKUP($A29,CFR20242025_BenchMarkDataReport!$B:$B,CFR20242025_BenchMarkDataReport!BU:BU),0)</f>
        <v>44609.81</v>
      </c>
      <c r="AW29" s="289">
        <f>IFERROR(_xlfn.XLOOKUP($A29,CFR20242025_BenchMarkDataReport!$B:$B,CFR20242025_BenchMarkDataReport!BV:BV),0)</f>
        <v>22383.599999999999</v>
      </c>
      <c r="AX29" s="289">
        <f>IFERROR(_xlfn.XLOOKUP($A29,CFR20242025_BenchMarkDataReport!$B:$B,CFR20242025_BenchMarkDataReport!BW:BW),0)</f>
        <v>0</v>
      </c>
      <c r="AY29" s="289">
        <f>IFERROR(_xlfn.XLOOKUP($A29,CFR20242025_BenchMarkDataReport!$B:$B,CFR20242025_BenchMarkDataReport!BX:BX),0)</f>
        <v>0</v>
      </c>
      <c r="AZ29" s="289">
        <f>IFERROR(_xlfn.XLOOKUP($A29,CFR20242025_BenchMarkDataReport!$B:$B,CFR20242025_BenchMarkDataReport!BY:BY),0)</f>
        <v>618</v>
      </c>
      <c r="BA29" s="289">
        <f>IFERROR(_xlfn.XLOOKUP($A29,CFR20242025_BenchMarkDataReport!$B:$B,CFR20242025_BenchMarkDataReport!BZ:BZ),0)</f>
        <v>0</v>
      </c>
      <c r="BB29" s="289">
        <f>IFERROR(_xlfn.XLOOKUP($A29,CFR20242025_BenchMarkDataReport!$B:$B,CFR20242025_BenchMarkDataReport!CA:CA),0)</f>
        <v>0</v>
      </c>
      <c r="BC29" s="290">
        <f t="shared" si="33"/>
        <v>1647680.85</v>
      </c>
      <c r="BD29" s="291">
        <f t="shared" si="101"/>
        <v>1835970.8299999998</v>
      </c>
      <c r="BE29" s="325">
        <f t="shared" si="102"/>
        <v>-188289.97999999975</v>
      </c>
      <c r="BF29" s="289">
        <f>IFERROR(_xlfn.XLOOKUP(A29,CFR20242025_BenchMarkDataReport!B:B,CFR20242025_BenchMarkDataReport!Q:Q),0)</f>
        <v>-24333.59</v>
      </c>
      <c r="BG29" s="290">
        <f t="shared" si="0"/>
        <v>-212623.56999999975</v>
      </c>
      <c r="BH29" s="292">
        <f>_xlfn.XLOOKUP(A29,'Pupil on roll 24-25'!E:E,'Pupil on roll 24-25'!I:I)</f>
        <v>169</v>
      </c>
      <c r="BI29" s="291">
        <f t="shared" si="1"/>
        <v>1437217.72</v>
      </c>
      <c r="BJ29" t="s">
        <v>190</v>
      </c>
      <c r="BK29" s="293">
        <f t="shared" si="34"/>
        <v>0.81921096552162997</v>
      </c>
      <c r="BL29" s="294">
        <f t="shared" si="35"/>
        <v>7986.9717159763313</v>
      </c>
      <c r="BM29" s="295">
        <f t="shared" si="36"/>
        <v>0</v>
      </c>
      <c r="BN29" s="296">
        <f t="shared" si="37"/>
        <v>0</v>
      </c>
      <c r="BO29" s="293">
        <f t="shared" si="38"/>
        <v>5.3056087894691496E-2</v>
      </c>
      <c r="BP29" s="294">
        <f t="shared" si="39"/>
        <v>517.2751479289941</v>
      </c>
      <c r="BQ29" s="295">
        <f t="shared" si="40"/>
        <v>0</v>
      </c>
      <c r="BR29" s="296">
        <f t="shared" si="41"/>
        <v>0</v>
      </c>
      <c r="BS29" s="293">
        <f t="shared" si="42"/>
        <v>3.5929288126398992E-2</v>
      </c>
      <c r="BT29" s="294">
        <f t="shared" si="43"/>
        <v>350.29585798816566</v>
      </c>
      <c r="BU29" s="295">
        <f t="shared" si="44"/>
        <v>1.046015677125822E-3</v>
      </c>
      <c r="BV29" s="296">
        <f t="shared" si="45"/>
        <v>10.198224852071005</v>
      </c>
      <c r="BW29" s="293">
        <f t="shared" si="46"/>
        <v>1.3048643491850986E-3</v>
      </c>
      <c r="BX29" s="294">
        <f t="shared" si="47"/>
        <v>12.721893491124261</v>
      </c>
      <c r="BY29" s="295">
        <f t="shared" si="48"/>
        <v>2.0132521416389586E-2</v>
      </c>
      <c r="BZ29" s="297">
        <f t="shared" si="49"/>
        <v>196.28384615384616</v>
      </c>
      <c r="CA29" s="298">
        <f t="shared" si="50"/>
        <v>1.5902048021010865E-2</v>
      </c>
      <c r="CB29" s="299">
        <f t="shared" si="51"/>
        <v>155.03846153846155</v>
      </c>
      <c r="CC29" s="295">
        <f t="shared" si="52"/>
        <v>5.306670888358022E-3</v>
      </c>
      <c r="CD29" s="296">
        <f t="shared" si="53"/>
        <v>51.737869822485209</v>
      </c>
      <c r="CE29" s="300">
        <f t="shared" si="54"/>
        <v>0.58036658495972349</v>
      </c>
      <c r="CF29" s="298">
        <f t="shared" si="55"/>
        <v>0.50623465096411113</v>
      </c>
      <c r="CG29" s="298">
        <f t="shared" si="56"/>
        <v>0.45431720720748059</v>
      </c>
      <c r="CH29" s="299">
        <f t="shared" si="57"/>
        <v>4935.5807100591719</v>
      </c>
      <c r="CI29" s="295">
        <f t="shared" si="58"/>
        <v>0.31280346306890788</v>
      </c>
      <c r="CJ29" s="301">
        <f t="shared" si="59"/>
        <v>0.27284815502953741</v>
      </c>
      <c r="CK29" s="301">
        <f t="shared" si="60"/>
        <v>0.24486591652439274</v>
      </c>
      <c r="CL29" s="302">
        <f t="shared" si="61"/>
        <v>2660.1578698224853</v>
      </c>
      <c r="CM29" s="300">
        <f t="shared" si="62"/>
        <v>3.663394854330073E-2</v>
      </c>
      <c r="CN29" s="298">
        <f t="shared" si="63"/>
        <v>3.1954586350870069E-2</v>
      </c>
      <c r="CO29" s="298">
        <f t="shared" si="64"/>
        <v>2.8677449085615377E-2</v>
      </c>
      <c r="CP29" s="299">
        <f t="shared" si="65"/>
        <v>311.54414201183431</v>
      </c>
      <c r="CQ29" s="295">
        <f t="shared" si="66"/>
        <v>6.3890521750594606E-2</v>
      </c>
      <c r="CR29" s="301">
        <f t="shared" si="67"/>
        <v>5.5729597148622557E-2</v>
      </c>
      <c r="CS29" s="301">
        <f t="shared" si="68"/>
        <v>5.0014187861579483E-2</v>
      </c>
      <c r="CT29" s="296">
        <f t="shared" si="69"/>
        <v>543.34076923076918</v>
      </c>
      <c r="CU29" s="300">
        <f t="shared" si="70"/>
        <v>1.0132927807207943</v>
      </c>
      <c r="CV29" s="298">
        <f t="shared" si="71"/>
        <v>0.88386190808735809</v>
      </c>
      <c r="CW29" s="298">
        <f t="shared" si="72"/>
        <v>0.79321649135351469</v>
      </c>
      <c r="CX29" s="299">
        <f t="shared" si="73"/>
        <v>8617.2919526627229</v>
      </c>
      <c r="CY29" s="295">
        <f t="shared" si="74"/>
        <v>1.0593175820292559E-2</v>
      </c>
      <c r="CZ29" s="301">
        <f t="shared" si="75"/>
        <v>8.2924520102533456E-3</v>
      </c>
      <c r="DA29" s="296">
        <f t="shared" si="76"/>
        <v>90.086982248520712</v>
      </c>
      <c r="DB29" s="300">
        <f t="shared" si="77"/>
        <v>6.8984102541542027E-3</v>
      </c>
      <c r="DC29" s="299">
        <f t="shared" si="78"/>
        <v>74.942485207100589</v>
      </c>
      <c r="DD29" s="295">
        <f t="shared" si="79"/>
        <v>3.1472009682708336E-2</v>
      </c>
      <c r="DE29" s="301">
        <f t="shared" si="80"/>
        <v>2.4636627805246777E-2</v>
      </c>
      <c r="DF29" s="296">
        <f t="shared" si="81"/>
        <v>267.64573964497038</v>
      </c>
      <c r="DG29" s="300">
        <f t="shared" si="82"/>
        <v>4.6283175523329891E-3</v>
      </c>
      <c r="DH29" s="298">
        <f t="shared" si="83"/>
        <v>3.6230967787216971E-3</v>
      </c>
      <c r="DI29" s="303">
        <f t="shared" si="84"/>
        <v>39.360355029585797</v>
      </c>
      <c r="DJ29" s="295">
        <f t="shared" si="85"/>
        <v>1.6361411129832158E-2</v>
      </c>
      <c r="DK29" s="301">
        <f t="shared" si="86"/>
        <v>1.4271519875951703E-2</v>
      </c>
      <c r="DL29" s="301">
        <f t="shared" si="87"/>
        <v>1.2807888674353287E-2</v>
      </c>
      <c r="DM29" s="296">
        <f t="shared" si="88"/>
        <v>139.14147928994083</v>
      </c>
      <c r="DN29" s="300">
        <f t="shared" si="89"/>
        <v>6.9658200429090168E-3</v>
      </c>
      <c r="DO29" s="298">
        <f t="shared" si="90"/>
        <v>5.4529188788909029E-3</v>
      </c>
      <c r="DP29" s="299">
        <f t="shared" si="91"/>
        <v>59.23905325443787</v>
      </c>
      <c r="DQ29" s="295">
        <f t="shared" si="92"/>
        <v>3.1039006393547664E-2</v>
      </c>
      <c r="DR29" s="301">
        <f t="shared" si="93"/>
        <v>2.4297668171558044E-2</v>
      </c>
      <c r="DS29" s="296">
        <f t="shared" si="94"/>
        <v>263.96337278106506</v>
      </c>
      <c r="DT29" s="300">
        <f t="shared" si="95"/>
        <v>3.6193254769739454E-2</v>
      </c>
      <c r="DU29" s="299">
        <f t="shared" si="96"/>
        <v>393.1938461538461</v>
      </c>
      <c r="DV29" s="295">
        <f t="shared" si="25"/>
        <v>1.1222618389857535E-3</v>
      </c>
      <c r="DW29" s="296">
        <f t="shared" si="97"/>
        <v>12.191952662721894</v>
      </c>
      <c r="DX29" s="295">
        <f t="shared" si="103"/>
        <v>2.7831552202125648E-5</v>
      </c>
      <c r="DY29" s="301">
        <f t="shared" si="98"/>
        <v>2.4276546031350671E-5</v>
      </c>
      <c r="DZ29" s="301">
        <f t="shared" si="99"/>
        <v>2.178683851965121E-5</v>
      </c>
      <c r="EA29" s="296">
        <f t="shared" si="100"/>
        <v>0.23668639053254437</v>
      </c>
      <c r="EB29" s="304">
        <f>IFERROR(_xlfn.XLOOKUP(A29,'Pupil on roll 24-25'!E:E,'Pupil on roll 24-25'!R:R),0)</f>
        <v>40</v>
      </c>
      <c r="EC29" s="289">
        <f>IFERROR(_xlfn.XLOOKUP(A29,CFR20242025_BenchMarkDataReport!B:B,CFR20242025_BenchMarkDataReport!AK:AK),0)</f>
        <v>1871.88</v>
      </c>
      <c r="ED29" s="289">
        <f>IFERROR(_xlfn.XLOOKUP(A29,CFR20242025_BenchMarkDataReport!B:B,CFR20242025_BenchMarkDataReport!AL:AL),0)</f>
        <v>74806</v>
      </c>
    </row>
    <row r="30" spans="1:134">
      <c r="A30" s="208">
        <v>2023</v>
      </c>
      <c r="B30" s="326">
        <v>10063</v>
      </c>
      <c r="C30" s="328" t="s">
        <v>412</v>
      </c>
      <c r="D30" s="289">
        <f>IFERROR(_xlfn.XLOOKUP($A30,CFR20242025_BenchMarkDataReport!$B:$B,CFR20242025_BenchMarkDataReport!T:T),0)</f>
        <v>2674845.5</v>
      </c>
      <c r="E30" s="289">
        <f>IFERROR(_xlfn.XLOOKUP($A30,CFR20242025_BenchMarkDataReport!$B:$B,CFR20242025_BenchMarkDataReport!U:U),0)</f>
        <v>0</v>
      </c>
      <c r="F30" s="289">
        <f>IFERROR(_xlfn.XLOOKUP($A30,CFR20242025_BenchMarkDataReport!$B:$B,CFR20242025_BenchMarkDataReport!V:V),0)</f>
        <v>221842.74</v>
      </c>
      <c r="G30" s="289">
        <f>IFERROR(_xlfn.XLOOKUP($A30,CFR20242025_BenchMarkDataReport!$B:$B,CFR20242025_BenchMarkDataReport!W:W),0)</f>
        <v>0</v>
      </c>
      <c r="H30" s="289">
        <f>IFERROR(_xlfn.XLOOKUP($A30,CFR20242025_BenchMarkDataReport!$B:$B,CFR20242025_BenchMarkDataReport!X:X),0)</f>
        <v>217560</v>
      </c>
      <c r="I30" s="289">
        <f>IFERROR(_xlfn.XLOOKUP($A30,CFR20242025_BenchMarkDataReport!$B:$B,CFR20242025_BenchMarkDataReport!Y:Y),0)</f>
        <v>10991.02</v>
      </c>
      <c r="J30" s="289">
        <f>IFERROR(_xlfn.XLOOKUP($A30,CFR20242025_BenchMarkDataReport!$B:$B,CFR20242025_BenchMarkDataReport!Z:Z),0)</f>
        <v>81201.039999999994</v>
      </c>
      <c r="K30" s="289">
        <f>IFERROR(_xlfn.XLOOKUP($A30,CFR20242025_BenchMarkDataReport!$B:$B,CFR20242025_BenchMarkDataReport!AA:AA),0)</f>
        <v>120773.97</v>
      </c>
      <c r="L30" s="289">
        <f>IFERROR(_xlfn.XLOOKUP($A30,CFR20242025_BenchMarkDataReport!$B:$B,CFR20242025_BenchMarkDataReport!AB:AB),0)</f>
        <v>22311.73</v>
      </c>
      <c r="M30" s="289">
        <f>IFERROR(_xlfn.XLOOKUP($A30,CFR20242025_BenchMarkDataReport!$B:$B,CFR20242025_BenchMarkDataReport!AC:AC),0)</f>
        <v>2113.0500000000002</v>
      </c>
      <c r="N30" s="289">
        <f>IFERROR(_xlfn.XLOOKUP($A30,CFR20242025_BenchMarkDataReport!$B:$B,CFR20242025_BenchMarkDataReport!AD:AD),0)</f>
        <v>0</v>
      </c>
      <c r="O30" s="289">
        <f>IFERROR(_xlfn.XLOOKUP($A30,CFR20242025_BenchMarkDataReport!$B:$B,CFR20242025_BenchMarkDataReport!AE:AE),0)</f>
        <v>0</v>
      </c>
      <c r="P30" s="289">
        <f>IFERROR(_xlfn.XLOOKUP($A30,CFR20242025_BenchMarkDataReport!$B:$B,CFR20242025_BenchMarkDataReport!AF:AF),0)</f>
        <v>11845.15</v>
      </c>
      <c r="Q30" s="289">
        <f>IFERROR(_xlfn.XLOOKUP($A30,CFR20242025_BenchMarkDataReport!$B:$B,CFR20242025_BenchMarkDataReport!AG:AG),0)</f>
        <v>2762.7</v>
      </c>
      <c r="R30" s="289">
        <f>IFERROR(_xlfn.XLOOKUP($A30,CFR20242025_BenchMarkDataReport!$B:$B,CFR20242025_BenchMarkDataReport!AH:AH),0)</f>
        <v>0</v>
      </c>
      <c r="S30" s="289">
        <f>IFERROR(_xlfn.XLOOKUP($A30,CFR20242025_BenchMarkDataReport!$B:$B,CFR20242025_BenchMarkDataReport!AI:AI),0)</f>
        <v>0</v>
      </c>
      <c r="T30" s="289">
        <f>IFERROR(_xlfn.XLOOKUP($A30,CFR20242025_BenchMarkDataReport!$B:$B,CFR20242025_BenchMarkDataReport!AJ:AJ),0)</f>
        <v>0</v>
      </c>
      <c r="U30" s="289">
        <f>INDEX(CFR20242025_BenchMarkDataReport!$B$3:$AM$87,MATCH(A30,CFR20242025_BenchMarkDataReport!$B$3:$B$87),MATCH($U$2,CFR20242025_BenchMarkDataReport!$B$3:$AM$3,0))</f>
        <v>88142</v>
      </c>
      <c r="V30" s="289">
        <f>IFERROR(_xlfn.XLOOKUP($A30,CFR20242025_BenchMarkDataReport!$B:$B,CFR20242025_BenchMarkDataReport!AN:AN),0)</f>
        <v>1322690.8600000001</v>
      </c>
      <c r="W30" s="289">
        <f>IFERROR(_xlfn.XLOOKUP($A30,CFR20242025_BenchMarkDataReport!$B:$B,CFR20242025_BenchMarkDataReport!AO:AO),0)</f>
        <v>0</v>
      </c>
      <c r="X30" s="289">
        <f>IFERROR(_xlfn.XLOOKUP($A30,CFR20242025_BenchMarkDataReport!$B:$B,CFR20242025_BenchMarkDataReport!AP:AP),0)</f>
        <v>843885.48</v>
      </c>
      <c r="Y30" s="289">
        <f>IFERROR(_xlfn.XLOOKUP($A30,CFR20242025_BenchMarkDataReport!$B:$B,CFR20242025_BenchMarkDataReport!AQ:AQ),0)</f>
        <v>84057.07</v>
      </c>
      <c r="Z30" s="289">
        <f>IFERROR(_xlfn.XLOOKUP($A30,CFR20242025_BenchMarkDataReport!$B:$B,CFR20242025_BenchMarkDataReport!AR:AR),0)</f>
        <v>196802.98</v>
      </c>
      <c r="AA30" s="289">
        <f>IFERROR(_xlfn.XLOOKUP($A30,CFR20242025_BenchMarkDataReport!$B:$B,CFR20242025_BenchMarkDataReport!AS:AS),0)</f>
        <v>0</v>
      </c>
      <c r="AB30" s="289">
        <f>IFERROR(_xlfn.XLOOKUP($A30,CFR20242025_BenchMarkDataReport!$B:$B,CFR20242025_BenchMarkDataReport!AT:AT),0)</f>
        <v>29858.3</v>
      </c>
      <c r="AC30" s="289">
        <f>IFERROR(_xlfn.XLOOKUP($A30,CFR20242025_BenchMarkDataReport!$B:$B,CFR20242025_BenchMarkDataReport!AU:AU),0)</f>
        <v>50496.84</v>
      </c>
      <c r="AD30" s="289">
        <f>IFERROR(_xlfn.XLOOKUP($A30,CFR20242025_BenchMarkDataReport!$B:$B,CFR20242025_BenchMarkDataReport!AV:AV),0)</f>
        <v>2727.28</v>
      </c>
      <c r="AE30" s="289">
        <f>IFERROR(_xlfn.XLOOKUP($A30,CFR20242025_BenchMarkDataReport!$B:$B,CFR20242025_BenchMarkDataReport!AW:AW),0)</f>
        <v>682.26</v>
      </c>
      <c r="AF30" s="289">
        <f>IFERROR(_xlfn.XLOOKUP($A30,CFR20242025_BenchMarkDataReport!$B:$B,CFR20242025_BenchMarkDataReport!AX:AX),0)</f>
        <v>0</v>
      </c>
      <c r="AG30" s="289">
        <f>IFERROR(_xlfn.XLOOKUP($A30,CFR20242025_BenchMarkDataReport!$B:$B,CFR20242025_BenchMarkDataReport!AY:AY),0)</f>
        <v>39945.11</v>
      </c>
      <c r="AH30" s="289">
        <f>IFERROR(_xlfn.XLOOKUP($A30,CFR20242025_BenchMarkDataReport!$B:$B,CFR20242025_BenchMarkDataReport!AZ:AZ),0)</f>
        <v>5841.5</v>
      </c>
      <c r="AI30" s="289">
        <f>IFERROR(_xlfn.XLOOKUP($A30,CFR20242025_BenchMarkDataReport!$B:$B,CFR20242025_BenchMarkDataReport!BA:BA),0)</f>
        <v>74329.59</v>
      </c>
      <c r="AJ30" s="289">
        <f>IFERROR(_xlfn.XLOOKUP($A30,CFR20242025_BenchMarkDataReport!$B:$B,CFR20242025_BenchMarkDataReport!BB:BB),0)</f>
        <v>21822.75</v>
      </c>
      <c r="AK30" s="289">
        <f>IFERROR(_xlfn.XLOOKUP($A30,CFR20242025_BenchMarkDataReport!$B:$B,CFR20242025_BenchMarkDataReport!BC:BC),0)</f>
        <v>63159.34</v>
      </c>
      <c r="AL30" s="289">
        <f>IFERROR(_xlfn.XLOOKUP($A30,CFR20242025_BenchMarkDataReport!$B:$B,CFR20242025_BenchMarkDataReport!BD:BD),0)</f>
        <v>28742.400000000001</v>
      </c>
      <c r="AM30" s="289">
        <f>IFERROR(_xlfn.XLOOKUP($A30,CFR20242025_BenchMarkDataReport!$B:$B,CFR20242025_BenchMarkDataReport!BE:BE),0)</f>
        <v>8284.9599999999991</v>
      </c>
      <c r="AN30" s="289">
        <f>IFERROR(_xlfn.XLOOKUP($A30,CFR20242025_BenchMarkDataReport!$B:$B,CFR20242025_BenchMarkDataReport!BF:BF),0)</f>
        <v>95575.82</v>
      </c>
      <c r="AO30" s="289">
        <f>IFERROR(_xlfn.XLOOKUP($A30,CFR20242025_BenchMarkDataReport!$B:$B,CFR20242025_BenchMarkDataReport!BN:BN),0)</f>
        <v>55727.329999999994</v>
      </c>
      <c r="AP30" s="289">
        <f>IFERROR(_xlfn.XLOOKUP($A30,CFR20242025_BenchMarkDataReport!$B:$B,CFR20242025_BenchMarkDataReport!BO:BO),0)</f>
        <v>0</v>
      </c>
      <c r="AQ30" s="289">
        <f>IFERROR(_xlfn.XLOOKUP($A30,CFR20242025_BenchMarkDataReport!$B:$B,CFR20242025_BenchMarkDataReport!BP:BP),0)</f>
        <v>12327.95</v>
      </c>
      <c r="AR30" s="289">
        <f>IFERROR(_xlfn.XLOOKUP($A30,CFR20242025_BenchMarkDataReport!$B:$B,CFR20242025_BenchMarkDataReport!BQ:BQ),0)</f>
        <v>16805.79</v>
      </c>
      <c r="AS30" s="289">
        <f>IFERROR(_xlfn.XLOOKUP($A30,CFR20242025_BenchMarkDataReport!$B:$B,CFR20242025_BenchMarkDataReport!BR:BR),0)</f>
        <v>7327.8</v>
      </c>
      <c r="AT30" s="289">
        <f>IFERROR(_xlfn.XLOOKUP($A30,CFR20242025_BenchMarkDataReport!$B:$B,CFR20242025_BenchMarkDataReport!BS:BS),0)</f>
        <v>175907.22</v>
      </c>
      <c r="AU30" s="289">
        <f>IFERROR(_xlfn.XLOOKUP($A30,CFR20242025_BenchMarkDataReport!$B:$B,CFR20242025_BenchMarkDataReport!BT:BT),0)</f>
        <v>133093.74</v>
      </c>
      <c r="AV30" s="289">
        <f>IFERROR(_xlfn.XLOOKUP($A30,CFR20242025_BenchMarkDataReport!$B:$B,CFR20242025_BenchMarkDataReport!BU:BU),0)</f>
        <v>224376.52</v>
      </c>
      <c r="AW30" s="289">
        <f>IFERROR(_xlfn.XLOOKUP($A30,CFR20242025_BenchMarkDataReport!$B:$B,CFR20242025_BenchMarkDataReport!BV:BV),0)</f>
        <v>33654.44</v>
      </c>
      <c r="AX30" s="289">
        <f>IFERROR(_xlfn.XLOOKUP($A30,CFR20242025_BenchMarkDataReport!$B:$B,CFR20242025_BenchMarkDataReport!BW:BW),0)</f>
        <v>0</v>
      </c>
      <c r="AY30" s="289">
        <f>IFERROR(_xlfn.XLOOKUP($A30,CFR20242025_BenchMarkDataReport!$B:$B,CFR20242025_BenchMarkDataReport!BX:BX),0)</f>
        <v>0</v>
      </c>
      <c r="AZ30" s="289">
        <f>IFERROR(_xlfn.XLOOKUP($A30,CFR20242025_BenchMarkDataReport!$B:$B,CFR20242025_BenchMarkDataReport!BY:BY),0)</f>
        <v>0</v>
      </c>
      <c r="BA30" s="289">
        <f>IFERROR(_xlfn.XLOOKUP($A30,CFR20242025_BenchMarkDataReport!$B:$B,CFR20242025_BenchMarkDataReport!BZ:BZ),0)</f>
        <v>0</v>
      </c>
      <c r="BB30" s="289">
        <f>IFERROR(_xlfn.XLOOKUP($A30,CFR20242025_BenchMarkDataReport!$B:$B,CFR20242025_BenchMarkDataReport!CA:CA),0)</f>
        <v>0</v>
      </c>
      <c r="BC30" s="290">
        <f t="shared" si="33"/>
        <v>3454388.9000000004</v>
      </c>
      <c r="BD30" s="291">
        <f t="shared" si="101"/>
        <v>3528123.3299999982</v>
      </c>
      <c r="BE30" s="327">
        <f t="shared" si="102"/>
        <v>-73734.429999997839</v>
      </c>
      <c r="BF30" s="289">
        <f>IFERROR(_xlfn.XLOOKUP(A30,CFR20242025_BenchMarkDataReport!B:B,CFR20242025_BenchMarkDataReport!Q:Q),0)</f>
        <v>31240.73</v>
      </c>
      <c r="BG30" s="290">
        <f t="shared" si="0"/>
        <v>-42493.699999997843</v>
      </c>
      <c r="BH30" s="292">
        <f>_xlfn.XLOOKUP(A30,'Pupil on roll 24-25'!E:E,'Pupil on roll 24-25'!I:I)</f>
        <v>411</v>
      </c>
      <c r="BI30" s="291">
        <f t="shared" si="1"/>
        <v>2896688.24</v>
      </c>
      <c r="BJ30" t="s">
        <v>190</v>
      </c>
      <c r="BK30" s="293">
        <f t="shared" si="34"/>
        <v>0.77433247310399811</v>
      </c>
      <c r="BL30" s="294">
        <f t="shared" si="35"/>
        <v>6508.1399026763993</v>
      </c>
      <c r="BM30" s="295">
        <f t="shared" si="36"/>
        <v>0</v>
      </c>
      <c r="BN30" s="296">
        <f t="shared" si="37"/>
        <v>0</v>
      </c>
      <c r="BO30" s="293">
        <f t="shared" si="38"/>
        <v>6.4220545636885285E-2</v>
      </c>
      <c r="BP30" s="294">
        <f t="shared" si="39"/>
        <v>539.76335766423358</v>
      </c>
      <c r="BQ30" s="295">
        <f t="shared" si="40"/>
        <v>0</v>
      </c>
      <c r="BR30" s="296">
        <f t="shared" si="41"/>
        <v>0</v>
      </c>
      <c r="BS30" s="293">
        <f t="shared" si="42"/>
        <v>6.2980748924940086E-2</v>
      </c>
      <c r="BT30" s="294">
        <f t="shared" si="43"/>
        <v>529.34306569343062</v>
      </c>
      <c r="BU30" s="295">
        <f t="shared" si="44"/>
        <v>3.1817552447554469E-3</v>
      </c>
      <c r="BV30" s="296">
        <f t="shared" si="45"/>
        <v>26.742141119221412</v>
      </c>
      <c r="BW30" s="293">
        <f t="shared" si="46"/>
        <v>2.3506629493859243E-2</v>
      </c>
      <c r="BX30" s="294">
        <f t="shared" si="47"/>
        <v>197.56944038929439</v>
      </c>
      <c r="BY30" s="295">
        <f t="shared" si="48"/>
        <v>4.1421421890279926E-2</v>
      </c>
      <c r="BZ30" s="297">
        <f t="shared" si="49"/>
        <v>348.14038929440392</v>
      </c>
      <c r="CA30" s="298">
        <f t="shared" si="50"/>
        <v>3.4290146080541185E-3</v>
      </c>
      <c r="CB30" s="299">
        <f t="shared" si="51"/>
        <v>28.820316301703162</v>
      </c>
      <c r="CC30" s="295">
        <f t="shared" si="52"/>
        <v>7.9976519146411097E-4</v>
      </c>
      <c r="CD30" s="296">
        <f t="shared" si="53"/>
        <v>6.7218978102189775</v>
      </c>
      <c r="CE30" s="300">
        <f t="shared" si="54"/>
        <v>0.50256861608275805</v>
      </c>
      <c r="CF30" s="298">
        <f t="shared" si="55"/>
        <v>0.42143043014062487</v>
      </c>
      <c r="CG30" s="298">
        <f t="shared" si="56"/>
        <v>0.41262293401744571</v>
      </c>
      <c r="CH30" s="299">
        <f t="shared" si="57"/>
        <v>3542.05498783455</v>
      </c>
      <c r="CI30" s="295">
        <f t="shared" si="58"/>
        <v>0.29132768530174996</v>
      </c>
      <c r="CJ30" s="301">
        <f t="shared" si="59"/>
        <v>0.24429370995257654</v>
      </c>
      <c r="CK30" s="301">
        <f t="shared" si="60"/>
        <v>0.23918820320830464</v>
      </c>
      <c r="CL30" s="302">
        <f t="shared" si="61"/>
        <v>2053.2493430656932</v>
      </c>
      <c r="CM30" s="300">
        <f t="shared" si="62"/>
        <v>2.9018335090144187E-2</v>
      </c>
      <c r="CN30" s="298">
        <f t="shared" si="63"/>
        <v>2.4333412488674915E-2</v>
      </c>
      <c r="CO30" s="298">
        <f t="shared" si="64"/>
        <v>2.3824867255986783E-2</v>
      </c>
      <c r="CP30" s="299">
        <f t="shared" si="65"/>
        <v>204.5184184914842</v>
      </c>
      <c r="CQ30" s="295">
        <f t="shared" si="66"/>
        <v>6.7940683875597194E-2</v>
      </c>
      <c r="CR30" s="301">
        <f t="shared" si="67"/>
        <v>5.6971865559202091E-2</v>
      </c>
      <c r="CS30" s="301">
        <f t="shared" si="68"/>
        <v>5.5781207625754996E-2</v>
      </c>
      <c r="CT30" s="296">
        <f t="shared" si="69"/>
        <v>478.83936739659367</v>
      </c>
      <c r="CU30" s="300">
        <f t="shared" si="70"/>
        <v>0.8552161933726079</v>
      </c>
      <c r="CV30" s="298">
        <f t="shared" si="71"/>
        <v>0.71714412062868749</v>
      </c>
      <c r="CW30" s="298">
        <f t="shared" si="72"/>
        <v>0.7021564889569778</v>
      </c>
      <c r="CX30" s="299">
        <f t="shared" si="73"/>
        <v>6027.4809975669086</v>
      </c>
      <c r="CY30" s="295">
        <f t="shared" si="74"/>
        <v>1.3789923764802524E-2</v>
      </c>
      <c r="CZ30" s="301">
        <f t="shared" si="75"/>
        <v>1.1321914305076184E-2</v>
      </c>
      <c r="DA30" s="296">
        <f t="shared" si="76"/>
        <v>97.190048661800489</v>
      </c>
      <c r="DB30" s="300">
        <f t="shared" si="77"/>
        <v>6.1853705097094812E-3</v>
      </c>
      <c r="DC30" s="299">
        <f t="shared" si="78"/>
        <v>53.096715328467155</v>
      </c>
      <c r="DD30" s="295">
        <f t="shared" si="79"/>
        <v>2.1803982606012164E-2</v>
      </c>
      <c r="DE30" s="301">
        <f t="shared" si="80"/>
        <v>1.7901681458510701E-2</v>
      </c>
      <c r="DF30" s="296">
        <f t="shared" si="81"/>
        <v>153.6723600973236</v>
      </c>
      <c r="DG30" s="300">
        <f t="shared" si="82"/>
        <v>2.8601490093390232E-3</v>
      </c>
      <c r="DH30" s="298">
        <f t="shared" si="83"/>
        <v>2.3482625818525464E-3</v>
      </c>
      <c r="DI30" s="303">
        <f t="shared" si="84"/>
        <v>20.158053527980535</v>
      </c>
      <c r="DJ30" s="295">
        <f t="shared" si="85"/>
        <v>3.2994858984203283E-2</v>
      </c>
      <c r="DK30" s="301">
        <f t="shared" si="86"/>
        <v>2.7667938604133423E-2</v>
      </c>
      <c r="DL30" s="301">
        <f t="shared" si="87"/>
        <v>2.7089704939537943E-2</v>
      </c>
      <c r="DM30" s="296">
        <f t="shared" si="88"/>
        <v>232.54457420924575</v>
      </c>
      <c r="DN30" s="300">
        <f t="shared" si="89"/>
        <v>4.2558773946622577E-3</v>
      </c>
      <c r="DO30" s="298">
        <f t="shared" si="90"/>
        <v>3.4941947451706591E-3</v>
      </c>
      <c r="DP30" s="299">
        <f t="shared" si="91"/>
        <v>29.995012165450124</v>
      </c>
      <c r="DQ30" s="295">
        <f t="shared" si="92"/>
        <v>7.745967166974102E-2</v>
      </c>
      <c r="DR30" s="301">
        <f t="shared" si="93"/>
        <v>6.3596563672279588E-2</v>
      </c>
      <c r="DS30" s="296">
        <f t="shared" si="94"/>
        <v>545.92827250608275</v>
      </c>
      <c r="DT30" s="300">
        <f t="shared" si="95"/>
        <v>4.9858580198782365E-2</v>
      </c>
      <c r="DU30" s="299">
        <f t="shared" si="96"/>
        <v>427.99810218978104</v>
      </c>
      <c r="DV30" s="295">
        <f t="shared" si="25"/>
        <v>2.1067741415944221E-2</v>
      </c>
      <c r="DW30" s="296">
        <f t="shared" si="97"/>
        <v>180.85058394160583</v>
      </c>
      <c r="DX30" s="295">
        <f t="shared" si="103"/>
        <v>5.0747608241058066E-5</v>
      </c>
      <c r="DY30" s="301">
        <f t="shared" si="98"/>
        <v>4.2554560084418981E-5</v>
      </c>
      <c r="DZ30" s="301">
        <f t="shared" si="99"/>
        <v>4.1665210155791256E-5</v>
      </c>
      <c r="EA30" s="296">
        <f t="shared" si="100"/>
        <v>0.35766423357664234</v>
      </c>
      <c r="EB30" s="304">
        <f>IFERROR(_xlfn.XLOOKUP(A30,'Pupil on roll 24-25'!E:E,'Pupil on roll 24-25'!R:R),0)</f>
        <v>147</v>
      </c>
      <c r="EC30" s="289">
        <f>IFERROR(_xlfn.XLOOKUP(A30,CFR20242025_BenchMarkDataReport!B:B,CFR20242025_BenchMarkDataReport!AK:AK),0)</f>
        <v>5180</v>
      </c>
      <c r="ED30" s="289">
        <f>IFERROR(_xlfn.XLOOKUP(A30,CFR20242025_BenchMarkDataReport!B:B,CFR20242025_BenchMarkDataReport!AL:AL),0)</f>
        <v>82962</v>
      </c>
    </row>
    <row r="31" spans="1:134">
      <c r="A31" s="208">
        <v>2024</v>
      </c>
      <c r="B31" s="326">
        <v>10064</v>
      </c>
      <c r="C31" s="208" t="s">
        <v>61</v>
      </c>
      <c r="D31" s="289">
        <f>IFERROR(_xlfn.XLOOKUP($A31,CFR20242025_BenchMarkDataReport!$B:$B,CFR20242025_BenchMarkDataReport!T:T),0)</f>
        <v>1670178.56</v>
      </c>
      <c r="E31" s="289">
        <f>IFERROR(_xlfn.XLOOKUP($A31,CFR20242025_BenchMarkDataReport!$B:$B,CFR20242025_BenchMarkDataReport!U:U),0)</f>
        <v>0</v>
      </c>
      <c r="F31" s="289">
        <f>IFERROR(_xlfn.XLOOKUP($A31,CFR20242025_BenchMarkDataReport!$B:$B,CFR20242025_BenchMarkDataReport!V:V),0)</f>
        <v>116440.02</v>
      </c>
      <c r="G31" s="289">
        <f>IFERROR(_xlfn.XLOOKUP($A31,CFR20242025_BenchMarkDataReport!$B:$B,CFR20242025_BenchMarkDataReport!W:W),0)</f>
        <v>0</v>
      </c>
      <c r="H31" s="289">
        <f>IFERROR(_xlfn.XLOOKUP($A31,CFR20242025_BenchMarkDataReport!$B:$B,CFR20242025_BenchMarkDataReport!X:X),0)</f>
        <v>128399</v>
      </c>
      <c r="I31" s="289">
        <f>IFERROR(_xlfn.XLOOKUP($A31,CFR20242025_BenchMarkDataReport!$B:$B,CFR20242025_BenchMarkDataReport!Y:Y),0)</f>
        <v>3000</v>
      </c>
      <c r="J31" s="289">
        <f>IFERROR(_xlfn.XLOOKUP($A31,CFR20242025_BenchMarkDataReport!$B:$B,CFR20242025_BenchMarkDataReport!Z:Z),0)</f>
        <v>35626.67</v>
      </c>
      <c r="K31" s="289">
        <f>IFERROR(_xlfn.XLOOKUP($A31,CFR20242025_BenchMarkDataReport!$B:$B,CFR20242025_BenchMarkDataReport!AA:AA),0)</f>
        <v>24763.43</v>
      </c>
      <c r="L31" s="289">
        <f>IFERROR(_xlfn.XLOOKUP($A31,CFR20242025_BenchMarkDataReport!$B:$B,CFR20242025_BenchMarkDataReport!AB:AB),0)</f>
        <v>9222.92</v>
      </c>
      <c r="M31" s="289">
        <f>IFERROR(_xlfn.XLOOKUP($A31,CFR20242025_BenchMarkDataReport!$B:$B,CFR20242025_BenchMarkDataReport!AC:AC),0)</f>
        <v>661.13</v>
      </c>
      <c r="N31" s="289">
        <f>IFERROR(_xlfn.XLOOKUP($A31,CFR20242025_BenchMarkDataReport!$B:$B,CFR20242025_BenchMarkDataReport!AD:AD),0)</f>
        <v>0</v>
      </c>
      <c r="O31" s="289">
        <f>IFERROR(_xlfn.XLOOKUP($A31,CFR20242025_BenchMarkDataReport!$B:$B,CFR20242025_BenchMarkDataReport!AE:AE),0)</f>
        <v>0</v>
      </c>
      <c r="P31" s="289">
        <f>IFERROR(_xlfn.XLOOKUP($A31,CFR20242025_BenchMarkDataReport!$B:$B,CFR20242025_BenchMarkDataReport!AF:AF),0)</f>
        <v>72639.55</v>
      </c>
      <c r="Q31" s="289">
        <f>IFERROR(_xlfn.XLOOKUP($A31,CFR20242025_BenchMarkDataReport!$B:$B,CFR20242025_BenchMarkDataReport!AG:AG),0)</f>
        <v>7686.65</v>
      </c>
      <c r="R31" s="289">
        <f>IFERROR(_xlfn.XLOOKUP($A31,CFR20242025_BenchMarkDataReport!$B:$B,CFR20242025_BenchMarkDataReport!AH:AH),0)</f>
        <v>0</v>
      </c>
      <c r="S31" s="289">
        <f>IFERROR(_xlfn.XLOOKUP($A31,CFR20242025_BenchMarkDataReport!$B:$B,CFR20242025_BenchMarkDataReport!AI:AI),0)</f>
        <v>198014</v>
      </c>
      <c r="T31" s="289">
        <f>IFERROR(_xlfn.XLOOKUP($A31,CFR20242025_BenchMarkDataReport!$B:$B,CFR20242025_BenchMarkDataReport!AJ:AJ),0)</f>
        <v>0</v>
      </c>
      <c r="U31" s="289">
        <f>INDEX(CFR20242025_BenchMarkDataReport!$B$3:$AM$87,MATCH(A31,CFR20242025_BenchMarkDataReport!$B$3:$B$87),MATCH($U$2,CFR20242025_BenchMarkDataReport!$B$3:$AM$3,0))</f>
        <v>53947.38</v>
      </c>
      <c r="V31" s="289">
        <f>IFERROR(_xlfn.XLOOKUP($A31,CFR20242025_BenchMarkDataReport!$B:$B,CFR20242025_BenchMarkDataReport!AN:AN),0)</f>
        <v>712470.97</v>
      </c>
      <c r="W31" s="289">
        <f>IFERROR(_xlfn.XLOOKUP($A31,CFR20242025_BenchMarkDataReport!$B:$B,CFR20242025_BenchMarkDataReport!AO:AO),0)</f>
        <v>0</v>
      </c>
      <c r="X31" s="289">
        <f>IFERROR(_xlfn.XLOOKUP($A31,CFR20242025_BenchMarkDataReport!$B:$B,CFR20242025_BenchMarkDataReport!AP:AP),0)</f>
        <v>626986.75</v>
      </c>
      <c r="Y31" s="289">
        <f>IFERROR(_xlfn.XLOOKUP($A31,CFR20242025_BenchMarkDataReport!$B:$B,CFR20242025_BenchMarkDataReport!AQ:AQ),0)</f>
        <v>34879.85</v>
      </c>
      <c r="Z31" s="289">
        <f>IFERROR(_xlfn.XLOOKUP($A31,CFR20242025_BenchMarkDataReport!$B:$B,CFR20242025_BenchMarkDataReport!AR:AR),0)</f>
        <v>99268.95</v>
      </c>
      <c r="AA31" s="289">
        <f>IFERROR(_xlfn.XLOOKUP($A31,CFR20242025_BenchMarkDataReport!$B:$B,CFR20242025_BenchMarkDataReport!AS:AS),0)</f>
        <v>0</v>
      </c>
      <c r="AB31" s="289">
        <f>IFERROR(_xlfn.XLOOKUP($A31,CFR20242025_BenchMarkDataReport!$B:$B,CFR20242025_BenchMarkDataReport!AT:AT),0)</f>
        <v>34861.74</v>
      </c>
      <c r="AC31" s="289">
        <f>IFERROR(_xlfn.XLOOKUP($A31,CFR20242025_BenchMarkDataReport!$B:$B,CFR20242025_BenchMarkDataReport!AU:AU),0)</f>
        <v>7731.6</v>
      </c>
      <c r="AD31" s="289">
        <f>IFERROR(_xlfn.XLOOKUP($A31,CFR20242025_BenchMarkDataReport!$B:$B,CFR20242025_BenchMarkDataReport!AV:AV),0)</f>
        <v>3209.99</v>
      </c>
      <c r="AE31" s="289">
        <f>IFERROR(_xlfn.XLOOKUP($A31,CFR20242025_BenchMarkDataReport!$B:$B,CFR20242025_BenchMarkDataReport!AW:AW),0)</f>
        <v>341.96</v>
      </c>
      <c r="AF31" s="289">
        <f>IFERROR(_xlfn.XLOOKUP($A31,CFR20242025_BenchMarkDataReport!$B:$B,CFR20242025_BenchMarkDataReport!AX:AX),0)</f>
        <v>0</v>
      </c>
      <c r="AG31" s="289">
        <f>IFERROR(_xlfn.XLOOKUP($A31,CFR20242025_BenchMarkDataReport!$B:$B,CFR20242025_BenchMarkDataReport!AY:AY),0)</f>
        <v>5546.1</v>
      </c>
      <c r="AH31" s="289">
        <f>IFERROR(_xlfn.XLOOKUP($A31,CFR20242025_BenchMarkDataReport!$B:$B,CFR20242025_BenchMarkDataReport!AZ:AZ),0)</f>
        <v>3438.18</v>
      </c>
      <c r="AI31" s="289">
        <f>IFERROR(_xlfn.XLOOKUP($A31,CFR20242025_BenchMarkDataReport!$B:$B,CFR20242025_BenchMarkDataReport!BA:BA),0)</f>
        <v>38222.69</v>
      </c>
      <c r="AJ31" s="289">
        <f>IFERROR(_xlfn.XLOOKUP($A31,CFR20242025_BenchMarkDataReport!$B:$B,CFR20242025_BenchMarkDataReport!BB:BB),0)</f>
        <v>6368.86</v>
      </c>
      <c r="AK31" s="289">
        <f>IFERROR(_xlfn.XLOOKUP($A31,CFR20242025_BenchMarkDataReport!$B:$B,CFR20242025_BenchMarkDataReport!BC:BC),0)</f>
        <v>53861</v>
      </c>
      <c r="AL31" s="289">
        <f>IFERROR(_xlfn.XLOOKUP($A31,CFR20242025_BenchMarkDataReport!$B:$B,CFR20242025_BenchMarkDataReport!BD:BD),0)</f>
        <v>60857.78</v>
      </c>
      <c r="AM31" s="289">
        <f>IFERROR(_xlfn.XLOOKUP($A31,CFR20242025_BenchMarkDataReport!$B:$B,CFR20242025_BenchMarkDataReport!BE:BE),0)</f>
        <v>12299.35</v>
      </c>
      <c r="AN31" s="289">
        <f>IFERROR(_xlfn.XLOOKUP($A31,CFR20242025_BenchMarkDataReport!$B:$B,CFR20242025_BenchMarkDataReport!BF:BF),0)</f>
        <v>35844.160000000003</v>
      </c>
      <c r="AO31" s="289">
        <f>IFERROR(_xlfn.XLOOKUP($A31,CFR20242025_BenchMarkDataReport!$B:$B,CFR20242025_BenchMarkDataReport!BN:BN),0)</f>
        <v>40522.03</v>
      </c>
      <c r="AP31" s="289">
        <f>IFERROR(_xlfn.XLOOKUP($A31,CFR20242025_BenchMarkDataReport!$B:$B,CFR20242025_BenchMarkDataReport!BO:BO),0)</f>
        <v>0</v>
      </c>
      <c r="AQ31" s="289">
        <f>IFERROR(_xlfn.XLOOKUP($A31,CFR20242025_BenchMarkDataReport!$B:$B,CFR20242025_BenchMarkDataReport!BP:BP),0)</f>
        <v>4585.79</v>
      </c>
      <c r="AR31" s="289">
        <f>IFERROR(_xlfn.XLOOKUP($A31,CFR20242025_BenchMarkDataReport!$B:$B,CFR20242025_BenchMarkDataReport!BQ:BQ),0)</f>
        <v>7623.34</v>
      </c>
      <c r="AS31" s="289">
        <f>IFERROR(_xlfn.XLOOKUP($A31,CFR20242025_BenchMarkDataReport!$B:$B,CFR20242025_BenchMarkDataReport!BR:BR),0)</f>
        <v>2608.11</v>
      </c>
      <c r="AT31" s="289">
        <f>IFERROR(_xlfn.XLOOKUP($A31,CFR20242025_BenchMarkDataReport!$B:$B,CFR20242025_BenchMarkDataReport!BS:BS),0)</f>
        <v>82637.710000000006</v>
      </c>
      <c r="AU31" s="289">
        <f>IFERROR(_xlfn.XLOOKUP($A31,CFR20242025_BenchMarkDataReport!$B:$B,CFR20242025_BenchMarkDataReport!BT:BT),0)</f>
        <v>58273.5</v>
      </c>
      <c r="AV31" s="289">
        <f>IFERROR(_xlfn.XLOOKUP($A31,CFR20242025_BenchMarkDataReport!$B:$B,CFR20242025_BenchMarkDataReport!BU:BU),0)</f>
        <v>99430.01</v>
      </c>
      <c r="AW31" s="289">
        <f>IFERROR(_xlfn.XLOOKUP($A31,CFR20242025_BenchMarkDataReport!$B:$B,CFR20242025_BenchMarkDataReport!BV:BV),0)</f>
        <v>39713.620000000003</v>
      </c>
      <c r="AX31" s="289">
        <f>IFERROR(_xlfn.XLOOKUP($A31,CFR20242025_BenchMarkDataReport!$B:$B,CFR20242025_BenchMarkDataReport!BW:BW),0)</f>
        <v>0</v>
      </c>
      <c r="AY31" s="289">
        <f>IFERROR(_xlfn.XLOOKUP($A31,CFR20242025_BenchMarkDataReport!$B:$B,CFR20242025_BenchMarkDataReport!BX:BX),0)</f>
        <v>0</v>
      </c>
      <c r="AZ31" s="289">
        <f>IFERROR(_xlfn.XLOOKUP($A31,CFR20242025_BenchMarkDataReport!$B:$B,CFR20242025_BenchMarkDataReport!BY:BY),0)</f>
        <v>0</v>
      </c>
      <c r="BA31" s="289">
        <f>IFERROR(_xlfn.XLOOKUP($A31,CFR20242025_BenchMarkDataReport!$B:$B,CFR20242025_BenchMarkDataReport!BZ:BZ),0)</f>
        <v>127482.85</v>
      </c>
      <c r="BB31" s="289">
        <f>IFERROR(_xlfn.XLOOKUP($A31,CFR20242025_BenchMarkDataReport!$B:$B,CFR20242025_BenchMarkDataReport!CA:CA),0)</f>
        <v>33593.32</v>
      </c>
      <c r="BC31" s="290">
        <f t="shared" si="33"/>
        <v>2122565.3099999996</v>
      </c>
      <c r="BD31" s="291">
        <f t="shared" si="101"/>
        <v>2071584.0400000005</v>
      </c>
      <c r="BE31" s="327">
        <f t="shared" si="102"/>
        <v>50981.269999999087</v>
      </c>
      <c r="BF31" s="289">
        <f>IFERROR(_xlfn.XLOOKUP(A31,CFR20242025_BenchMarkDataReport!B:B,CFR20242025_BenchMarkDataReport!Q:Q),0)</f>
        <v>-122297.84</v>
      </c>
      <c r="BG31" s="290">
        <f t="shared" si="0"/>
        <v>-71316.570000000909</v>
      </c>
      <c r="BH31" s="292">
        <f>_xlfn.XLOOKUP(A31,'Pupil on roll 24-25'!E:E,'Pupil on roll 24-25'!I:I)</f>
        <v>206</v>
      </c>
      <c r="BI31" s="291">
        <f t="shared" si="1"/>
        <v>1786618.58</v>
      </c>
      <c r="BJ31" t="s">
        <v>190</v>
      </c>
      <c r="BK31" s="293">
        <f t="shared" si="34"/>
        <v>0.78686792445505505</v>
      </c>
      <c r="BL31" s="294">
        <f t="shared" si="35"/>
        <v>8107.6629126213593</v>
      </c>
      <c r="BM31" s="295">
        <f t="shared" si="36"/>
        <v>0</v>
      </c>
      <c r="BN31" s="296">
        <f t="shared" si="37"/>
        <v>0</v>
      </c>
      <c r="BO31" s="293">
        <f t="shared" si="38"/>
        <v>5.4858156520046032E-2</v>
      </c>
      <c r="BP31" s="294">
        <f t="shared" si="39"/>
        <v>565.24281553398055</v>
      </c>
      <c r="BQ31" s="295">
        <f t="shared" si="40"/>
        <v>0</v>
      </c>
      <c r="BR31" s="296">
        <f t="shared" si="41"/>
        <v>0</v>
      </c>
      <c r="BS31" s="293">
        <f t="shared" si="42"/>
        <v>6.0492367134747919E-2</v>
      </c>
      <c r="BT31" s="294">
        <f t="shared" si="43"/>
        <v>623.29611650485435</v>
      </c>
      <c r="BU31" s="295">
        <f t="shared" si="44"/>
        <v>1.4133840715600881E-3</v>
      </c>
      <c r="BV31" s="296">
        <f t="shared" si="45"/>
        <v>14.563106796116505</v>
      </c>
      <c r="BW31" s="293">
        <f t="shared" si="46"/>
        <v>1.6784722633575881E-2</v>
      </c>
      <c r="BX31" s="294">
        <f t="shared" si="47"/>
        <v>172.94499999999999</v>
      </c>
      <c r="BY31" s="295">
        <f t="shared" si="48"/>
        <v>1.6011921913488731E-2</v>
      </c>
      <c r="BZ31" s="297">
        <f t="shared" si="49"/>
        <v>164.98228155339805</v>
      </c>
      <c r="CA31" s="298">
        <f t="shared" si="50"/>
        <v>3.4222527645097534E-2</v>
      </c>
      <c r="CB31" s="299">
        <f t="shared" si="51"/>
        <v>352.61917475728154</v>
      </c>
      <c r="CC31" s="295">
        <f t="shared" si="52"/>
        <v>3.6213962245524502E-3</v>
      </c>
      <c r="CD31" s="296">
        <f t="shared" si="53"/>
        <v>37.313834951456307</v>
      </c>
      <c r="CE31" s="300">
        <f t="shared" si="54"/>
        <v>0.43139844095878593</v>
      </c>
      <c r="CF31" s="298">
        <f t="shared" si="55"/>
        <v>0.36311931904700739</v>
      </c>
      <c r="CG31" s="298">
        <f t="shared" si="56"/>
        <v>0.37205561305637391</v>
      </c>
      <c r="CH31" s="299">
        <f t="shared" si="57"/>
        <v>3741.4780097087378</v>
      </c>
      <c r="CI31" s="295">
        <f t="shared" si="58"/>
        <v>0.35093486489992731</v>
      </c>
      <c r="CJ31" s="301">
        <f t="shared" si="59"/>
        <v>0.29539102850974236</v>
      </c>
      <c r="CK31" s="301">
        <f t="shared" si="60"/>
        <v>0.30266054279892979</v>
      </c>
      <c r="CL31" s="302">
        <f t="shared" si="61"/>
        <v>3043.625</v>
      </c>
      <c r="CM31" s="300">
        <f t="shared" si="62"/>
        <v>1.9522829545408623E-2</v>
      </c>
      <c r="CN31" s="298">
        <f t="shared" si="63"/>
        <v>1.6432874802801711E-2</v>
      </c>
      <c r="CO31" s="298">
        <f t="shared" si="64"/>
        <v>1.6837284573789239E-2</v>
      </c>
      <c r="CP31" s="299">
        <f t="shared" si="65"/>
        <v>169.31966019417476</v>
      </c>
      <c r="CQ31" s="295">
        <f t="shared" si="66"/>
        <v>5.5562474896012778E-2</v>
      </c>
      <c r="CR31" s="301">
        <f t="shared" si="67"/>
        <v>4.6768384243498266E-2</v>
      </c>
      <c r="CS31" s="301">
        <f t="shared" si="68"/>
        <v>4.791934485071625E-2</v>
      </c>
      <c r="CT31" s="296">
        <f t="shared" si="69"/>
        <v>481.88810679611652</v>
      </c>
      <c r="CU31" s="300">
        <f t="shared" si="70"/>
        <v>0.84431466060316018</v>
      </c>
      <c r="CV31" s="298">
        <f t="shared" si="71"/>
        <v>0.71068167037932051</v>
      </c>
      <c r="CW31" s="298">
        <f t="shared" si="72"/>
        <v>0.72817140452578488</v>
      </c>
      <c r="CX31" s="299">
        <f t="shared" si="73"/>
        <v>7322.6614563106796</v>
      </c>
      <c r="CY31" s="295">
        <f t="shared" si="74"/>
        <v>3.1042439959400848E-3</v>
      </c>
      <c r="CZ31" s="301">
        <f t="shared" si="75"/>
        <v>2.6772266501918014E-3</v>
      </c>
      <c r="DA31" s="296">
        <f t="shared" si="76"/>
        <v>26.922815533980586</v>
      </c>
      <c r="DB31" s="300">
        <f t="shared" si="77"/>
        <v>3.0743913242351479E-3</v>
      </c>
      <c r="DC31" s="299">
        <f t="shared" si="78"/>
        <v>30.916796116504852</v>
      </c>
      <c r="DD31" s="295">
        <f t="shared" si="79"/>
        <v>3.0146893468442491E-2</v>
      </c>
      <c r="DE31" s="301">
        <f t="shared" si="80"/>
        <v>2.5999910677048849E-2</v>
      </c>
      <c r="DF31" s="296">
        <f t="shared" si="81"/>
        <v>261.46116504854371</v>
      </c>
      <c r="DG31" s="300">
        <f t="shared" si="82"/>
        <v>6.8841498334804062E-3</v>
      </c>
      <c r="DH31" s="298">
        <f t="shared" si="83"/>
        <v>5.937171634127862E-3</v>
      </c>
      <c r="DI31" s="303">
        <f t="shared" si="84"/>
        <v>59.705582524271847</v>
      </c>
      <c r="DJ31" s="295">
        <f t="shared" si="85"/>
        <v>2.0062569818343656E-2</v>
      </c>
      <c r="DK31" s="301">
        <f t="shared" si="86"/>
        <v>1.6887188267483751E-2</v>
      </c>
      <c r="DL31" s="301">
        <f t="shared" si="87"/>
        <v>1.7302778602213981E-2</v>
      </c>
      <c r="DM31" s="296">
        <f t="shared" si="88"/>
        <v>174.00077669902913</v>
      </c>
      <c r="DN31" s="300">
        <f t="shared" si="89"/>
        <v>2.5667425892324483E-3</v>
      </c>
      <c r="DO31" s="298">
        <f t="shared" si="90"/>
        <v>2.2136635113292331E-3</v>
      </c>
      <c r="DP31" s="299">
        <f t="shared" si="91"/>
        <v>22.261116504854368</v>
      </c>
      <c r="DQ31" s="295">
        <f t="shared" si="92"/>
        <v>5.5652622844658869E-2</v>
      </c>
      <c r="DR31" s="301">
        <f t="shared" si="93"/>
        <v>4.7997092118937143E-2</v>
      </c>
      <c r="DS31" s="296">
        <f t="shared" si="94"/>
        <v>482.66995145631063</v>
      </c>
      <c r="DT31" s="300">
        <f t="shared" si="95"/>
        <v>3.9891072920218089E-2</v>
      </c>
      <c r="DU31" s="299">
        <f t="shared" si="96"/>
        <v>401.15393203883497</v>
      </c>
      <c r="DV31" s="295">
        <f t="shared" si="25"/>
        <v>1.8450948289792768E-2</v>
      </c>
      <c r="DW31" s="296">
        <f t="shared" si="97"/>
        <v>185.54703883495148</v>
      </c>
      <c r="DX31" s="295">
        <f t="shared" si="103"/>
        <v>4.3657891434219829E-5</v>
      </c>
      <c r="DY31" s="301">
        <f t="shared" si="98"/>
        <v>3.6747985860562293E-5</v>
      </c>
      <c r="DZ31" s="301">
        <f t="shared" si="99"/>
        <v>3.7652346462371851E-5</v>
      </c>
      <c r="EA31" s="296">
        <f t="shared" si="100"/>
        <v>0.37864077669902912</v>
      </c>
      <c r="EB31" s="304">
        <f>IFERROR(_xlfn.XLOOKUP(A31,'Pupil on roll 24-25'!E:E,'Pupil on roll 24-25'!R:R),0)</f>
        <v>78</v>
      </c>
      <c r="EC31" s="289">
        <f>IFERROR(_xlfn.XLOOKUP(A31,CFR20242025_BenchMarkDataReport!B:B,CFR20242025_BenchMarkDataReport!AK:AK),0)</f>
        <v>7031.38</v>
      </c>
      <c r="ED31" s="289">
        <f>IFERROR(_xlfn.XLOOKUP(A31,CFR20242025_BenchMarkDataReport!B:B,CFR20242025_BenchMarkDataReport!AL:AL),0)</f>
        <v>46916</v>
      </c>
    </row>
    <row r="32" spans="1:134">
      <c r="A32" s="208">
        <v>2025</v>
      </c>
      <c r="B32" s="326">
        <v>10065</v>
      </c>
      <c r="C32" s="208" t="s">
        <v>62</v>
      </c>
      <c r="D32" s="289">
        <f>IFERROR(_xlfn.XLOOKUP($A32,CFR20242025_BenchMarkDataReport!$B:$B,CFR20242025_BenchMarkDataReport!T:T),0)</f>
        <v>1643378.11</v>
      </c>
      <c r="E32" s="289">
        <f>IFERROR(_xlfn.XLOOKUP($A32,CFR20242025_BenchMarkDataReport!$B:$B,CFR20242025_BenchMarkDataReport!U:U),0)</f>
        <v>0</v>
      </c>
      <c r="F32" s="289">
        <f>IFERROR(_xlfn.XLOOKUP($A32,CFR20242025_BenchMarkDataReport!$B:$B,CFR20242025_BenchMarkDataReport!V:V),0)</f>
        <v>86367.41</v>
      </c>
      <c r="G32" s="289">
        <f>IFERROR(_xlfn.XLOOKUP($A32,CFR20242025_BenchMarkDataReport!$B:$B,CFR20242025_BenchMarkDataReport!W:W),0)</f>
        <v>0</v>
      </c>
      <c r="H32" s="289">
        <f>IFERROR(_xlfn.XLOOKUP($A32,CFR20242025_BenchMarkDataReport!$B:$B,CFR20242025_BenchMarkDataReport!X:X),0)</f>
        <v>21140</v>
      </c>
      <c r="I32" s="289">
        <f>IFERROR(_xlfn.XLOOKUP($A32,CFR20242025_BenchMarkDataReport!$B:$B,CFR20242025_BenchMarkDataReport!Y:Y),0)</f>
        <v>4000</v>
      </c>
      <c r="J32" s="289">
        <f>IFERROR(_xlfn.XLOOKUP($A32,CFR20242025_BenchMarkDataReport!$B:$B,CFR20242025_BenchMarkDataReport!Z:Z),0)</f>
        <v>103912.13</v>
      </c>
      <c r="K32" s="289">
        <f>IFERROR(_xlfn.XLOOKUP($A32,CFR20242025_BenchMarkDataReport!$B:$B,CFR20242025_BenchMarkDataReport!AA:AA),0)</f>
        <v>45702.5</v>
      </c>
      <c r="L32" s="289">
        <f>IFERROR(_xlfn.XLOOKUP($A32,CFR20242025_BenchMarkDataReport!$B:$B,CFR20242025_BenchMarkDataReport!AB:AB),0)</f>
        <v>31771.53</v>
      </c>
      <c r="M32" s="289">
        <f>IFERROR(_xlfn.XLOOKUP($A32,CFR20242025_BenchMarkDataReport!$B:$B,CFR20242025_BenchMarkDataReport!AC:AC),0)</f>
        <v>0</v>
      </c>
      <c r="N32" s="289">
        <f>IFERROR(_xlfn.XLOOKUP($A32,CFR20242025_BenchMarkDataReport!$B:$B,CFR20242025_BenchMarkDataReport!AD:AD),0)</f>
        <v>0</v>
      </c>
      <c r="O32" s="289">
        <f>IFERROR(_xlfn.XLOOKUP($A32,CFR20242025_BenchMarkDataReport!$B:$B,CFR20242025_BenchMarkDataReport!AE:AE),0)</f>
        <v>0</v>
      </c>
      <c r="P32" s="289">
        <f>IFERROR(_xlfn.XLOOKUP($A32,CFR20242025_BenchMarkDataReport!$B:$B,CFR20242025_BenchMarkDataReport!AF:AF),0)</f>
        <v>81433.2</v>
      </c>
      <c r="Q32" s="289">
        <f>IFERROR(_xlfn.XLOOKUP($A32,CFR20242025_BenchMarkDataReport!$B:$B,CFR20242025_BenchMarkDataReport!AG:AG),0)</f>
        <v>29048.91</v>
      </c>
      <c r="R32" s="289">
        <f>IFERROR(_xlfn.XLOOKUP($A32,CFR20242025_BenchMarkDataReport!$B:$B,CFR20242025_BenchMarkDataReport!AH:AH),0)</f>
        <v>0</v>
      </c>
      <c r="S32" s="289">
        <f>IFERROR(_xlfn.XLOOKUP($A32,CFR20242025_BenchMarkDataReport!$B:$B,CFR20242025_BenchMarkDataReport!AI:AI),0)</f>
        <v>0</v>
      </c>
      <c r="T32" s="289">
        <f>IFERROR(_xlfn.XLOOKUP($A32,CFR20242025_BenchMarkDataReport!$B:$B,CFR20242025_BenchMarkDataReport!AJ:AJ),0)</f>
        <v>0</v>
      </c>
      <c r="U32" s="289">
        <f>INDEX(CFR20242025_BenchMarkDataReport!$B$3:$AM$87,MATCH(A32,CFR20242025_BenchMarkDataReport!$B$3:$B$87),MATCH($U$2,CFR20242025_BenchMarkDataReport!$B$3:$AM$3,0))</f>
        <v>82209.88</v>
      </c>
      <c r="V32" s="289">
        <f>IFERROR(_xlfn.XLOOKUP($A32,CFR20242025_BenchMarkDataReport!$B:$B,CFR20242025_BenchMarkDataReport!AN:AN),0)</f>
        <v>1104979.6100000001</v>
      </c>
      <c r="W32" s="289">
        <f>IFERROR(_xlfn.XLOOKUP($A32,CFR20242025_BenchMarkDataReport!$B:$B,CFR20242025_BenchMarkDataReport!AO:AO),0)</f>
        <v>7026.42</v>
      </c>
      <c r="X32" s="289">
        <f>IFERROR(_xlfn.XLOOKUP($A32,CFR20242025_BenchMarkDataReport!$B:$B,CFR20242025_BenchMarkDataReport!AP:AP),0)</f>
        <v>337965.89</v>
      </c>
      <c r="Y32" s="289">
        <f>IFERROR(_xlfn.XLOOKUP($A32,CFR20242025_BenchMarkDataReport!$B:$B,CFR20242025_BenchMarkDataReport!AQ:AQ),0)</f>
        <v>91615.02</v>
      </c>
      <c r="Z32" s="289">
        <f>IFERROR(_xlfn.XLOOKUP($A32,CFR20242025_BenchMarkDataReport!$B:$B,CFR20242025_BenchMarkDataReport!AR:AR),0)</f>
        <v>74207.460000000006</v>
      </c>
      <c r="AA32" s="289">
        <f>IFERROR(_xlfn.XLOOKUP($A32,CFR20242025_BenchMarkDataReport!$B:$B,CFR20242025_BenchMarkDataReport!AS:AS),0)</f>
        <v>0</v>
      </c>
      <c r="AB32" s="289">
        <f>IFERROR(_xlfn.XLOOKUP($A32,CFR20242025_BenchMarkDataReport!$B:$B,CFR20242025_BenchMarkDataReport!AT:AT),0)</f>
        <v>46063.99</v>
      </c>
      <c r="AC32" s="289">
        <f>IFERROR(_xlfn.XLOOKUP($A32,CFR20242025_BenchMarkDataReport!$B:$B,CFR20242025_BenchMarkDataReport!AU:AU),0)</f>
        <v>8423.68</v>
      </c>
      <c r="AD32" s="289">
        <f>IFERROR(_xlfn.XLOOKUP($A32,CFR20242025_BenchMarkDataReport!$B:$B,CFR20242025_BenchMarkDataReport!AV:AV),0)</f>
        <v>2924.05</v>
      </c>
      <c r="AE32" s="289">
        <f>IFERROR(_xlfn.XLOOKUP($A32,CFR20242025_BenchMarkDataReport!$B:$B,CFR20242025_BenchMarkDataReport!AW:AW),0)</f>
        <v>519.58000000000004</v>
      </c>
      <c r="AF32" s="289">
        <f>IFERROR(_xlfn.XLOOKUP($A32,CFR20242025_BenchMarkDataReport!$B:$B,CFR20242025_BenchMarkDataReport!AX:AX),0)</f>
        <v>0</v>
      </c>
      <c r="AG32" s="289">
        <f>IFERROR(_xlfn.XLOOKUP($A32,CFR20242025_BenchMarkDataReport!$B:$B,CFR20242025_BenchMarkDataReport!AY:AY),0)</f>
        <v>16658.8</v>
      </c>
      <c r="AH32" s="289">
        <f>IFERROR(_xlfn.XLOOKUP($A32,CFR20242025_BenchMarkDataReport!$B:$B,CFR20242025_BenchMarkDataReport!AZ:AZ),0)</f>
        <v>0</v>
      </c>
      <c r="AI32" s="289">
        <f>IFERROR(_xlfn.XLOOKUP($A32,CFR20242025_BenchMarkDataReport!$B:$B,CFR20242025_BenchMarkDataReport!BA:BA),0)</f>
        <v>3708.11</v>
      </c>
      <c r="AJ32" s="289">
        <f>IFERROR(_xlfn.XLOOKUP($A32,CFR20242025_BenchMarkDataReport!$B:$B,CFR20242025_BenchMarkDataReport!BB:BB),0)</f>
        <v>3346.9</v>
      </c>
      <c r="AK32" s="289">
        <f>IFERROR(_xlfn.XLOOKUP($A32,CFR20242025_BenchMarkDataReport!$B:$B,CFR20242025_BenchMarkDataReport!BC:BC),0)</f>
        <v>65053.7</v>
      </c>
      <c r="AL32" s="289">
        <f>IFERROR(_xlfn.XLOOKUP($A32,CFR20242025_BenchMarkDataReport!$B:$B,CFR20242025_BenchMarkDataReport!BD:BD),0)</f>
        <v>40857.599999999999</v>
      </c>
      <c r="AM32" s="289">
        <f>IFERROR(_xlfn.XLOOKUP($A32,CFR20242025_BenchMarkDataReport!$B:$B,CFR20242025_BenchMarkDataReport!BE:BE),0)</f>
        <v>6352.56</v>
      </c>
      <c r="AN32" s="289">
        <f>IFERROR(_xlfn.XLOOKUP($A32,CFR20242025_BenchMarkDataReport!$B:$B,CFR20242025_BenchMarkDataReport!BF:BF),0)</f>
        <v>83674.59</v>
      </c>
      <c r="AO32" s="289">
        <f>IFERROR(_xlfn.XLOOKUP($A32,CFR20242025_BenchMarkDataReport!$B:$B,CFR20242025_BenchMarkDataReport!BN:BN),0)</f>
        <v>25112.300000000003</v>
      </c>
      <c r="AP32" s="289">
        <f>IFERROR(_xlfn.XLOOKUP($A32,CFR20242025_BenchMarkDataReport!$B:$B,CFR20242025_BenchMarkDataReport!BO:BO),0)</f>
        <v>0</v>
      </c>
      <c r="AQ32" s="289">
        <f>IFERROR(_xlfn.XLOOKUP($A32,CFR20242025_BenchMarkDataReport!$B:$B,CFR20242025_BenchMarkDataReport!BP:BP),0)</f>
        <v>4865.25</v>
      </c>
      <c r="AR32" s="289">
        <f>IFERROR(_xlfn.XLOOKUP($A32,CFR20242025_BenchMarkDataReport!$B:$B,CFR20242025_BenchMarkDataReport!BQ:BQ),0)</f>
        <v>12798.57</v>
      </c>
      <c r="AS32" s="289">
        <f>IFERROR(_xlfn.XLOOKUP($A32,CFR20242025_BenchMarkDataReport!$B:$B,CFR20242025_BenchMarkDataReport!BR:BR),0)</f>
        <v>7901.01</v>
      </c>
      <c r="AT32" s="289">
        <f>IFERROR(_xlfn.XLOOKUP($A32,CFR20242025_BenchMarkDataReport!$B:$B,CFR20242025_BenchMarkDataReport!BS:BS),0)</f>
        <v>132590.79999999999</v>
      </c>
      <c r="AU32" s="289">
        <f>IFERROR(_xlfn.XLOOKUP($A32,CFR20242025_BenchMarkDataReport!$B:$B,CFR20242025_BenchMarkDataReport!BT:BT),0)</f>
        <v>16472.400000000001</v>
      </c>
      <c r="AV32" s="289">
        <f>IFERROR(_xlfn.XLOOKUP($A32,CFR20242025_BenchMarkDataReport!$B:$B,CFR20242025_BenchMarkDataReport!BU:BU),0)</f>
        <v>60727.6</v>
      </c>
      <c r="AW32" s="289">
        <f>IFERROR(_xlfn.XLOOKUP($A32,CFR20242025_BenchMarkDataReport!$B:$B,CFR20242025_BenchMarkDataReport!BV:BV),0)</f>
        <v>28968.25</v>
      </c>
      <c r="AX32" s="289">
        <f>IFERROR(_xlfn.XLOOKUP($A32,CFR20242025_BenchMarkDataReport!$B:$B,CFR20242025_BenchMarkDataReport!BW:BW),0)</f>
        <v>0</v>
      </c>
      <c r="AY32" s="289">
        <f>IFERROR(_xlfn.XLOOKUP($A32,CFR20242025_BenchMarkDataReport!$B:$B,CFR20242025_BenchMarkDataReport!BX:BX),0)</f>
        <v>0</v>
      </c>
      <c r="AZ32" s="289">
        <f>IFERROR(_xlfn.XLOOKUP($A32,CFR20242025_BenchMarkDataReport!$B:$B,CFR20242025_BenchMarkDataReport!BY:BY),0)</f>
        <v>0</v>
      </c>
      <c r="BA32" s="289">
        <f>IFERROR(_xlfn.XLOOKUP($A32,CFR20242025_BenchMarkDataReport!$B:$B,CFR20242025_BenchMarkDataReport!BZ:BZ),0)</f>
        <v>0</v>
      </c>
      <c r="BB32" s="289">
        <f>IFERROR(_xlfn.XLOOKUP($A32,CFR20242025_BenchMarkDataReport!$B:$B,CFR20242025_BenchMarkDataReport!CA:CA),0)</f>
        <v>0</v>
      </c>
      <c r="BC32" s="290">
        <f t="shared" si="33"/>
        <v>2128963.67</v>
      </c>
      <c r="BD32" s="291">
        <f t="shared" si="101"/>
        <v>2182814.14</v>
      </c>
      <c r="BE32" s="327">
        <f t="shared" si="102"/>
        <v>-53850.470000000205</v>
      </c>
      <c r="BF32" s="289">
        <f>IFERROR(_xlfn.XLOOKUP(A32,CFR20242025_BenchMarkDataReport!B:B,CFR20242025_BenchMarkDataReport!Q:Q),0)</f>
        <v>53929.47</v>
      </c>
      <c r="BG32" s="290">
        <f t="shared" si="0"/>
        <v>78.999999999796273</v>
      </c>
      <c r="BH32" s="292">
        <f>_xlfn.XLOOKUP(A32,'Pupil on roll 24-25'!E:E,'Pupil on roll 24-25'!I:I)</f>
        <v>313</v>
      </c>
      <c r="BI32" s="291">
        <f t="shared" si="1"/>
        <v>1729745.52</v>
      </c>
      <c r="BJ32" t="s">
        <v>190</v>
      </c>
      <c r="BK32" s="293">
        <f t="shared" si="34"/>
        <v>0.77191458602954932</v>
      </c>
      <c r="BL32" s="294">
        <f t="shared" si="35"/>
        <v>5250.4092971246009</v>
      </c>
      <c r="BM32" s="295">
        <f t="shared" si="36"/>
        <v>0</v>
      </c>
      <c r="BN32" s="296">
        <f t="shared" si="37"/>
        <v>0</v>
      </c>
      <c r="BO32" s="293">
        <f t="shared" si="38"/>
        <v>4.0567817674408695E-2</v>
      </c>
      <c r="BP32" s="294">
        <f t="shared" si="39"/>
        <v>275.93421725239619</v>
      </c>
      <c r="BQ32" s="295">
        <f t="shared" si="40"/>
        <v>0</v>
      </c>
      <c r="BR32" s="296">
        <f t="shared" si="41"/>
        <v>0</v>
      </c>
      <c r="BS32" s="293">
        <f t="shared" si="42"/>
        <v>9.9297138311430187E-3</v>
      </c>
      <c r="BT32" s="294">
        <f t="shared" si="43"/>
        <v>67.539936102236425</v>
      </c>
      <c r="BU32" s="295">
        <f t="shared" si="44"/>
        <v>1.8788484070280072E-3</v>
      </c>
      <c r="BV32" s="296">
        <f t="shared" si="45"/>
        <v>12.779552715654953</v>
      </c>
      <c r="BW32" s="293">
        <f t="shared" si="46"/>
        <v>4.8808784980346805E-2</v>
      </c>
      <c r="BX32" s="294">
        <f t="shared" si="47"/>
        <v>331.98763578274765</v>
      </c>
      <c r="BY32" s="295">
        <f t="shared" si="48"/>
        <v>3.6390489462885013E-2</v>
      </c>
      <c r="BZ32" s="297">
        <f t="shared" si="49"/>
        <v>247.5208626198083</v>
      </c>
      <c r="CA32" s="298">
        <f t="shared" si="50"/>
        <v>3.825015952479828E-2</v>
      </c>
      <c r="CB32" s="299">
        <f t="shared" si="51"/>
        <v>260.16996805111819</v>
      </c>
      <c r="CC32" s="295">
        <f t="shared" si="52"/>
        <v>1.3644624569849988E-2</v>
      </c>
      <c r="CD32" s="296">
        <f t="shared" si="53"/>
        <v>92.808019169329071</v>
      </c>
      <c r="CE32" s="300">
        <f t="shared" si="54"/>
        <v>0.65239563678708068</v>
      </c>
      <c r="CF32" s="298">
        <f t="shared" si="55"/>
        <v>0.53005997514274161</v>
      </c>
      <c r="CG32" s="298">
        <f t="shared" si="56"/>
        <v>0.51698328745478983</v>
      </c>
      <c r="CH32" s="299">
        <f t="shared" si="57"/>
        <v>3605.3623961661342</v>
      </c>
      <c r="CI32" s="295">
        <f t="shared" si="58"/>
        <v>0.19538474653774504</v>
      </c>
      <c r="CJ32" s="301">
        <f t="shared" si="59"/>
        <v>0.15874666851407568</v>
      </c>
      <c r="CK32" s="301">
        <f t="shared" si="60"/>
        <v>0.15483035582681354</v>
      </c>
      <c r="CL32" s="302">
        <f t="shared" si="61"/>
        <v>1079.7632268370608</v>
      </c>
      <c r="CM32" s="300">
        <f t="shared" si="62"/>
        <v>5.2964449938277626E-2</v>
      </c>
      <c r="CN32" s="298">
        <f t="shared" si="63"/>
        <v>4.303268359670976E-2</v>
      </c>
      <c r="CO32" s="298">
        <f t="shared" si="64"/>
        <v>4.1971058516232625E-2</v>
      </c>
      <c r="CP32" s="299">
        <f t="shared" si="65"/>
        <v>292.69974440894572</v>
      </c>
      <c r="CQ32" s="295">
        <f t="shared" si="66"/>
        <v>4.2900796181856861E-2</v>
      </c>
      <c r="CR32" s="301">
        <f t="shared" si="67"/>
        <v>3.4856142002648645E-2</v>
      </c>
      <c r="CS32" s="301">
        <f t="shared" si="68"/>
        <v>3.3996233870832449E-2</v>
      </c>
      <c r="CT32" s="296">
        <f t="shared" si="69"/>
        <v>237.08453674121407</v>
      </c>
      <c r="CU32" s="300">
        <f t="shared" si="70"/>
        <v>0.96075311124378571</v>
      </c>
      <c r="CV32" s="298">
        <f t="shared" si="71"/>
        <v>0.78059499718940717</v>
      </c>
      <c r="CW32" s="298">
        <f t="shared" si="72"/>
        <v>0.76133755941309766</v>
      </c>
      <c r="CX32" s="299">
        <f t="shared" si="73"/>
        <v>5309.4517252396163</v>
      </c>
      <c r="CY32" s="295">
        <f t="shared" si="74"/>
        <v>9.6307808330094707E-3</v>
      </c>
      <c r="CZ32" s="301">
        <f t="shared" si="75"/>
        <v>7.6317995631089318E-3</v>
      </c>
      <c r="DA32" s="296">
        <f t="shared" si="76"/>
        <v>53.223003194888179</v>
      </c>
      <c r="DB32" s="300">
        <f t="shared" si="77"/>
        <v>1.5332959131371577E-3</v>
      </c>
      <c r="DC32" s="299">
        <f t="shared" si="78"/>
        <v>10.69297124600639</v>
      </c>
      <c r="DD32" s="295">
        <f t="shared" si="79"/>
        <v>3.7608826990920607E-2</v>
      </c>
      <c r="DE32" s="301">
        <f t="shared" si="80"/>
        <v>2.9802674816830715E-2</v>
      </c>
      <c r="DF32" s="296">
        <f t="shared" si="81"/>
        <v>207.83929712460062</v>
      </c>
      <c r="DG32" s="300">
        <f t="shared" si="82"/>
        <v>3.6725402242984277E-3</v>
      </c>
      <c r="DH32" s="298">
        <f t="shared" si="83"/>
        <v>2.9102615213954953E-3</v>
      </c>
      <c r="DI32" s="303">
        <f t="shared" si="84"/>
        <v>20.295718849840256</v>
      </c>
      <c r="DJ32" s="295">
        <f t="shared" si="85"/>
        <v>4.8373930750229659E-2</v>
      </c>
      <c r="DK32" s="301">
        <f t="shared" si="86"/>
        <v>3.9302967532555404E-2</v>
      </c>
      <c r="DL32" s="301">
        <f t="shared" si="87"/>
        <v>3.8333355308024529E-2</v>
      </c>
      <c r="DM32" s="296">
        <f t="shared" si="88"/>
        <v>267.33095846645364</v>
      </c>
      <c r="DN32" s="300">
        <f t="shared" si="89"/>
        <v>2.8126969798424454E-3</v>
      </c>
      <c r="DO32" s="298">
        <f t="shared" si="90"/>
        <v>2.2288888049808949E-3</v>
      </c>
      <c r="DP32" s="299">
        <f t="shared" si="91"/>
        <v>15.543929712460065</v>
      </c>
      <c r="DQ32" s="295">
        <f t="shared" si="92"/>
        <v>3.5107823259458416E-2</v>
      </c>
      <c r="DR32" s="301">
        <f t="shared" si="93"/>
        <v>2.7820783678815637E-2</v>
      </c>
      <c r="DS32" s="296">
        <f t="shared" si="94"/>
        <v>194.01789137380192</v>
      </c>
      <c r="DT32" s="300">
        <f t="shared" si="95"/>
        <v>6.0743055292834039E-2</v>
      </c>
      <c r="DU32" s="299">
        <f t="shared" si="96"/>
        <v>423.61277955271561</v>
      </c>
      <c r="DV32" s="295">
        <f t="shared" si="25"/>
        <v>1.6987749584579839E-3</v>
      </c>
      <c r="DW32" s="296">
        <f t="shared" si="97"/>
        <v>11.846996805111822</v>
      </c>
      <c r="DX32" s="295">
        <f t="shared" si="103"/>
        <v>3.4687183349375E-6</v>
      </c>
      <c r="DY32" s="301">
        <f t="shared" si="98"/>
        <v>2.818272610542011E-6</v>
      </c>
      <c r="DZ32" s="301">
        <f t="shared" si="99"/>
        <v>2.7487452504774408E-6</v>
      </c>
      <c r="EA32" s="296">
        <f t="shared" si="100"/>
        <v>1.9169329073482427E-2</v>
      </c>
      <c r="EB32" s="304">
        <f>IFERROR(_xlfn.XLOOKUP(A32,'Pupil on roll 24-25'!E:E,'Pupil on roll 24-25'!R:R),0)</f>
        <v>6</v>
      </c>
      <c r="EC32" s="289">
        <f>IFERROR(_xlfn.XLOOKUP(A32,CFR20242025_BenchMarkDataReport!B:B,CFR20242025_BenchMarkDataReport!AK:AK),0)</f>
        <v>566.88</v>
      </c>
      <c r="ED32" s="289">
        <f>IFERROR(_xlfn.XLOOKUP(A32,CFR20242025_BenchMarkDataReport!B:B,CFR20242025_BenchMarkDataReport!AL:AL),0)</f>
        <v>81643</v>
      </c>
    </row>
    <row r="33" spans="1:134">
      <c r="A33" s="208">
        <v>2026</v>
      </c>
      <c r="B33" s="326">
        <v>10066</v>
      </c>
      <c r="C33" s="208" t="s">
        <v>63</v>
      </c>
      <c r="D33" s="289">
        <f>IFERROR(_xlfn.XLOOKUP($A33,CFR20242025_BenchMarkDataReport!$B:$B,CFR20242025_BenchMarkDataReport!T:T),0)</f>
        <v>2867251.6</v>
      </c>
      <c r="E33" s="289">
        <f>IFERROR(_xlfn.XLOOKUP($A33,CFR20242025_BenchMarkDataReport!$B:$B,CFR20242025_BenchMarkDataReport!U:U),0)</f>
        <v>0</v>
      </c>
      <c r="F33" s="289">
        <f>IFERROR(_xlfn.XLOOKUP($A33,CFR20242025_BenchMarkDataReport!$B:$B,CFR20242025_BenchMarkDataReport!V:V),0)</f>
        <v>127528.51</v>
      </c>
      <c r="G33" s="289">
        <f>IFERROR(_xlfn.XLOOKUP($A33,CFR20242025_BenchMarkDataReport!$B:$B,CFR20242025_BenchMarkDataReport!W:W),0)</f>
        <v>0</v>
      </c>
      <c r="H33" s="289">
        <f>IFERROR(_xlfn.XLOOKUP($A33,CFR20242025_BenchMarkDataReport!$B:$B,CFR20242025_BenchMarkDataReport!X:X),0)</f>
        <v>98770</v>
      </c>
      <c r="I33" s="289">
        <f>IFERROR(_xlfn.XLOOKUP($A33,CFR20242025_BenchMarkDataReport!$B:$B,CFR20242025_BenchMarkDataReport!Y:Y),0)</f>
        <v>1400</v>
      </c>
      <c r="J33" s="289">
        <f>IFERROR(_xlfn.XLOOKUP($A33,CFR20242025_BenchMarkDataReport!$B:$B,CFR20242025_BenchMarkDataReport!Z:Z),0)</f>
        <v>112484.52</v>
      </c>
      <c r="K33" s="289">
        <f>IFERROR(_xlfn.XLOOKUP($A33,CFR20242025_BenchMarkDataReport!$B:$B,CFR20242025_BenchMarkDataReport!AA:AA),0)</f>
        <v>65845.73</v>
      </c>
      <c r="L33" s="289">
        <f>IFERROR(_xlfn.XLOOKUP($A33,CFR20242025_BenchMarkDataReport!$B:$B,CFR20242025_BenchMarkDataReport!AB:AB),0)</f>
        <v>1710.31</v>
      </c>
      <c r="M33" s="289">
        <f>IFERROR(_xlfn.XLOOKUP($A33,CFR20242025_BenchMarkDataReport!$B:$B,CFR20242025_BenchMarkDataReport!AC:AC),0)</f>
        <v>6709.04</v>
      </c>
      <c r="N33" s="289">
        <f>IFERROR(_xlfn.XLOOKUP($A33,CFR20242025_BenchMarkDataReport!$B:$B,CFR20242025_BenchMarkDataReport!AD:AD),0)</f>
        <v>0</v>
      </c>
      <c r="O33" s="289">
        <f>IFERROR(_xlfn.XLOOKUP($A33,CFR20242025_BenchMarkDataReport!$B:$B,CFR20242025_BenchMarkDataReport!AE:AE),0)</f>
        <v>0</v>
      </c>
      <c r="P33" s="289">
        <f>IFERROR(_xlfn.XLOOKUP($A33,CFR20242025_BenchMarkDataReport!$B:$B,CFR20242025_BenchMarkDataReport!AF:AF),0)</f>
        <v>190304.23</v>
      </c>
      <c r="Q33" s="289">
        <f>IFERROR(_xlfn.XLOOKUP($A33,CFR20242025_BenchMarkDataReport!$B:$B,CFR20242025_BenchMarkDataReport!AG:AG),0)</f>
        <v>16148.2</v>
      </c>
      <c r="R33" s="289">
        <f>IFERROR(_xlfn.XLOOKUP($A33,CFR20242025_BenchMarkDataReport!$B:$B,CFR20242025_BenchMarkDataReport!AH:AH),0)</f>
        <v>0</v>
      </c>
      <c r="S33" s="289">
        <f>IFERROR(_xlfn.XLOOKUP($A33,CFR20242025_BenchMarkDataReport!$B:$B,CFR20242025_BenchMarkDataReport!AI:AI),0)</f>
        <v>0</v>
      </c>
      <c r="T33" s="289">
        <f>IFERROR(_xlfn.XLOOKUP($A33,CFR20242025_BenchMarkDataReport!$B:$B,CFR20242025_BenchMarkDataReport!AJ:AJ),0)</f>
        <v>0</v>
      </c>
      <c r="U33" s="289">
        <f>INDEX(CFR20242025_BenchMarkDataReport!$B$3:$AM$87,MATCH(A33,CFR20242025_BenchMarkDataReport!$B$3:$B$87),MATCH($U$2,CFR20242025_BenchMarkDataReport!$B$3:$AM$3,0))</f>
        <v>100655.38</v>
      </c>
      <c r="V33" s="289">
        <f>IFERROR(_xlfn.XLOOKUP($A33,CFR20242025_BenchMarkDataReport!$B:$B,CFR20242025_BenchMarkDataReport!AN:AN),0)</f>
        <v>1490400.77</v>
      </c>
      <c r="W33" s="289">
        <f>IFERROR(_xlfn.XLOOKUP($A33,CFR20242025_BenchMarkDataReport!$B:$B,CFR20242025_BenchMarkDataReport!AO:AO),0)</f>
        <v>0</v>
      </c>
      <c r="X33" s="289">
        <f>IFERROR(_xlfn.XLOOKUP($A33,CFR20242025_BenchMarkDataReport!$B:$B,CFR20242025_BenchMarkDataReport!AP:AP),0)</f>
        <v>788620.66</v>
      </c>
      <c r="Y33" s="289">
        <f>IFERROR(_xlfn.XLOOKUP($A33,CFR20242025_BenchMarkDataReport!$B:$B,CFR20242025_BenchMarkDataReport!AQ:AQ),0)</f>
        <v>75730.12</v>
      </c>
      <c r="Z33" s="289">
        <f>IFERROR(_xlfn.XLOOKUP($A33,CFR20242025_BenchMarkDataReport!$B:$B,CFR20242025_BenchMarkDataReport!AR:AR),0)</f>
        <v>134861.69</v>
      </c>
      <c r="AA33" s="289">
        <f>IFERROR(_xlfn.XLOOKUP($A33,CFR20242025_BenchMarkDataReport!$B:$B,CFR20242025_BenchMarkDataReport!AS:AS),0)</f>
        <v>0</v>
      </c>
      <c r="AB33" s="289">
        <f>IFERROR(_xlfn.XLOOKUP($A33,CFR20242025_BenchMarkDataReport!$B:$B,CFR20242025_BenchMarkDataReport!AT:AT),0)</f>
        <v>94808.87</v>
      </c>
      <c r="AC33" s="289">
        <f>IFERROR(_xlfn.XLOOKUP($A33,CFR20242025_BenchMarkDataReport!$B:$B,CFR20242025_BenchMarkDataReport!AU:AU),0)</f>
        <v>11687.92</v>
      </c>
      <c r="AD33" s="289">
        <f>IFERROR(_xlfn.XLOOKUP($A33,CFR20242025_BenchMarkDataReport!$B:$B,CFR20242025_BenchMarkDataReport!AV:AV),0)</f>
        <v>4854.55</v>
      </c>
      <c r="AE33" s="289">
        <f>IFERROR(_xlfn.XLOOKUP($A33,CFR20242025_BenchMarkDataReport!$B:$B,CFR20242025_BenchMarkDataReport!AW:AW),0)</f>
        <v>730.4</v>
      </c>
      <c r="AF33" s="289">
        <f>IFERROR(_xlfn.XLOOKUP($A33,CFR20242025_BenchMarkDataReport!$B:$B,CFR20242025_BenchMarkDataReport!AX:AX),0)</f>
        <v>0</v>
      </c>
      <c r="AG33" s="289">
        <f>IFERROR(_xlfn.XLOOKUP($A33,CFR20242025_BenchMarkDataReport!$B:$B,CFR20242025_BenchMarkDataReport!AY:AY),0)</f>
        <v>39082.1</v>
      </c>
      <c r="AH33" s="289">
        <f>IFERROR(_xlfn.XLOOKUP($A33,CFR20242025_BenchMarkDataReport!$B:$B,CFR20242025_BenchMarkDataReport!AZ:AZ),0)</f>
        <v>4378.33</v>
      </c>
      <c r="AI33" s="289">
        <f>IFERROR(_xlfn.XLOOKUP($A33,CFR20242025_BenchMarkDataReport!$B:$B,CFR20242025_BenchMarkDataReport!BA:BA),0)</f>
        <v>65578.73</v>
      </c>
      <c r="AJ33" s="289">
        <f>IFERROR(_xlfn.XLOOKUP($A33,CFR20242025_BenchMarkDataReport!$B:$B,CFR20242025_BenchMarkDataReport!BB:BB),0)</f>
        <v>3500.1</v>
      </c>
      <c r="AK33" s="289">
        <f>IFERROR(_xlfn.XLOOKUP($A33,CFR20242025_BenchMarkDataReport!$B:$B,CFR20242025_BenchMarkDataReport!BC:BC),0)</f>
        <v>67727.62</v>
      </c>
      <c r="AL33" s="289">
        <f>IFERROR(_xlfn.XLOOKUP($A33,CFR20242025_BenchMarkDataReport!$B:$B,CFR20242025_BenchMarkDataReport!BD:BD),0)</f>
        <v>51596.81</v>
      </c>
      <c r="AM33" s="289">
        <f>IFERROR(_xlfn.XLOOKUP($A33,CFR20242025_BenchMarkDataReport!$B:$B,CFR20242025_BenchMarkDataReport!BE:BE),0)</f>
        <v>16246.83</v>
      </c>
      <c r="AN33" s="289">
        <f>IFERROR(_xlfn.XLOOKUP($A33,CFR20242025_BenchMarkDataReport!$B:$B,CFR20242025_BenchMarkDataReport!BF:BF),0)</f>
        <v>92954</v>
      </c>
      <c r="AO33" s="289">
        <f>IFERROR(_xlfn.XLOOKUP($A33,CFR20242025_BenchMarkDataReport!$B:$B,CFR20242025_BenchMarkDataReport!BN:BN),0)</f>
        <v>58043.700000000004</v>
      </c>
      <c r="AP33" s="289">
        <f>IFERROR(_xlfn.XLOOKUP($A33,CFR20242025_BenchMarkDataReport!$B:$B,CFR20242025_BenchMarkDataReport!BO:BO),0)</f>
        <v>0</v>
      </c>
      <c r="AQ33" s="289">
        <f>IFERROR(_xlfn.XLOOKUP($A33,CFR20242025_BenchMarkDataReport!$B:$B,CFR20242025_BenchMarkDataReport!BP:BP),0)</f>
        <v>12106.83</v>
      </c>
      <c r="AR33" s="289">
        <f>IFERROR(_xlfn.XLOOKUP($A33,CFR20242025_BenchMarkDataReport!$B:$B,CFR20242025_BenchMarkDataReport!BQ:BQ),0)</f>
        <v>18899.93</v>
      </c>
      <c r="AS33" s="289">
        <f>IFERROR(_xlfn.XLOOKUP($A33,CFR20242025_BenchMarkDataReport!$B:$B,CFR20242025_BenchMarkDataReport!BR:BR),0)</f>
        <v>328</v>
      </c>
      <c r="AT33" s="289">
        <f>IFERROR(_xlfn.XLOOKUP($A33,CFR20242025_BenchMarkDataReport!$B:$B,CFR20242025_BenchMarkDataReport!BS:BS),0)</f>
        <v>176803.35</v>
      </c>
      <c r="AU33" s="289">
        <f>IFERROR(_xlfn.XLOOKUP($A33,CFR20242025_BenchMarkDataReport!$B:$B,CFR20242025_BenchMarkDataReport!BT:BT),0)</f>
        <v>38529.24</v>
      </c>
      <c r="AV33" s="289">
        <f>IFERROR(_xlfn.XLOOKUP($A33,CFR20242025_BenchMarkDataReport!$B:$B,CFR20242025_BenchMarkDataReport!BU:BU),0)</f>
        <v>116329.81</v>
      </c>
      <c r="AW33" s="289">
        <f>IFERROR(_xlfn.XLOOKUP($A33,CFR20242025_BenchMarkDataReport!$B:$B,CFR20242025_BenchMarkDataReport!BV:BV),0)</f>
        <v>49298.54</v>
      </c>
      <c r="AX33" s="289">
        <f>IFERROR(_xlfn.XLOOKUP($A33,CFR20242025_BenchMarkDataReport!$B:$B,CFR20242025_BenchMarkDataReport!BW:BW),0)</f>
        <v>0</v>
      </c>
      <c r="AY33" s="289">
        <f>IFERROR(_xlfn.XLOOKUP($A33,CFR20242025_BenchMarkDataReport!$B:$B,CFR20242025_BenchMarkDataReport!BX:BX),0)</f>
        <v>0</v>
      </c>
      <c r="AZ33" s="289">
        <f>IFERROR(_xlfn.XLOOKUP($A33,CFR20242025_BenchMarkDataReport!$B:$B,CFR20242025_BenchMarkDataReport!BY:BY),0)</f>
        <v>0</v>
      </c>
      <c r="BA33" s="289">
        <f>IFERROR(_xlfn.XLOOKUP($A33,CFR20242025_BenchMarkDataReport!$B:$B,CFR20242025_BenchMarkDataReport!BZ:BZ),0)</f>
        <v>0</v>
      </c>
      <c r="BB33" s="289">
        <f>IFERROR(_xlfn.XLOOKUP($A33,CFR20242025_BenchMarkDataReport!$B:$B,CFR20242025_BenchMarkDataReport!CA:CA),0)</f>
        <v>0</v>
      </c>
      <c r="BC33" s="290">
        <f t="shared" si="33"/>
        <v>3588807.52</v>
      </c>
      <c r="BD33" s="291">
        <f t="shared" si="101"/>
        <v>3413098.9000000013</v>
      </c>
      <c r="BE33" s="327">
        <f t="shared" si="102"/>
        <v>175708.61999999871</v>
      </c>
      <c r="BF33" s="289">
        <f>IFERROR(_xlfn.XLOOKUP(A33,CFR20242025_BenchMarkDataReport!B:B,CFR20242025_BenchMarkDataReport!Q:Q),0)</f>
        <v>-99110.62</v>
      </c>
      <c r="BG33" s="290">
        <f t="shared" si="0"/>
        <v>76597.999999998719</v>
      </c>
      <c r="BH33" s="292">
        <f>_xlfn.XLOOKUP(A33,'Pupil on roll 24-25'!E:E,'Pupil on roll 24-25'!I:I)</f>
        <v>440</v>
      </c>
      <c r="BI33" s="291">
        <f t="shared" si="1"/>
        <v>2994780.11</v>
      </c>
      <c r="BJ33" t="s">
        <v>190</v>
      </c>
      <c r="BK33" s="293">
        <f t="shared" si="34"/>
        <v>0.79894270841251469</v>
      </c>
      <c r="BL33" s="294">
        <f t="shared" si="35"/>
        <v>6516.4809090909093</v>
      </c>
      <c r="BM33" s="295">
        <f t="shared" si="36"/>
        <v>0</v>
      </c>
      <c r="BN33" s="296">
        <f t="shared" si="37"/>
        <v>0</v>
      </c>
      <c r="BO33" s="293">
        <f t="shared" si="38"/>
        <v>3.5535065419167421E-2</v>
      </c>
      <c r="BP33" s="294">
        <f t="shared" si="39"/>
        <v>289.8375227272727</v>
      </c>
      <c r="BQ33" s="295">
        <f t="shared" si="40"/>
        <v>0</v>
      </c>
      <c r="BR33" s="296">
        <f t="shared" si="41"/>
        <v>0</v>
      </c>
      <c r="BS33" s="293">
        <f t="shared" si="42"/>
        <v>2.7521676615300895E-2</v>
      </c>
      <c r="BT33" s="294">
        <f t="shared" si="43"/>
        <v>224.47727272727272</v>
      </c>
      <c r="BU33" s="295">
        <f t="shared" si="44"/>
        <v>3.9010172381716366E-4</v>
      </c>
      <c r="BV33" s="296">
        <f t="shared" si="45"/>
        <v>3.1818181818181817</v>
      </c>
      <c r="BW33" s="293">
        <f t="shared" si="46"/>
        <v>3.1343146539104444E-2</v>
      </c>
      <c r="BX33" s="294">
        <f t="shared" si="47"/>
        <v>255.64663636363636</v>
      </c>
      <c r="BY33" s="295">
        <f t="shared" si="48"/>
        <v>1.8824091184472327E-2</v>
      </c>
      <c r="BZ33" s="297">
        <f t="shared" si="49"/>
        <v>153.53645454545452</v>
      </c>
      <c r="CA33" s="298">
        <f t="shared" si="50"/>
        <v>5.3027148694784282E-2</v>
      </c>
      <c r="CB33" s="299">
        <f t="shared" si="51"/>
        <v>432.50961363636367</v>
      </c>
      <c r="CC33" s="295">
        <f t="shared" si="52"/>
        <v>4.4996004689602303E-3</v>
      </c>
      <c r="CD33" s="296">
        <f t="shared" si="53"/>
        <v>36.700454545454548</v>
      </c>
      <c r="CE33" s="300">
        <f t="shared" si="54"/>
        <v>0.51053164300600351</v>
      </c>
      <c r="CF33" s="298">
        <f t="shared" si="55"/>
        <v>0.42602730892628088</v>
      </c>
      <c r="CG33" s="298">
        <f t="shared" si="56"/>
        <v>0.44795948045923878</v>
      </c>
      <c r="CH33" s="299">
        <f t="shared" si="57"/>
        <v>3474.8409318181816</v>
      </c>
      <c r="CI33" s="295">
        <f t="shared" si="58"/>
        <v>0.26333174090701439</v>
      </c>
      <c r="CJ33" s="301">
        <f t="shared" si="59"/>
        <v>0.21974448493130666</v>
      </c>
      <c r="CK33" s="301">
        <f t="shared" si="60"/>
        <v>0.23105707836359496</v>
      </c>
      <c r="CL33" s="302">
        <f t="shared" si="61"/>
        <v>1792.3196818181818</v>
      </c>
      <c r="CM33" s="300">
        <f t="shared" si="62"/>
        <v>2.5287372434165123E-2</v>
      </c>
      <c r="CN33" s="298">
        <f t="shared" si="63"/>
        <v>2.1101750254914755E-2</v>
      </c>
      <c r="CO33" s="298">
        <f t="shared" si="64"/>
        <v>2.2188082507658941E-2</v>
      </c>
      <c r="CP33" s="299">
        <f t="shared" si="65"/>
        <v>172.11390909090909</v>
      </c>
      <c r="CQ33" s="295">
        <f t="shared" si="66"/>
        <v>4.5032251132454598E-2</v>
      </c>
      <c r="CR33" s="301">
        <f t="shared" si="67"/>
        <v>3.7578412675639959E-2</v>
      </c>
      <c r="CS33" s="301">
        <f t="shared" si="68"/>
        <v>3.9512974558106109E-2</v>
      </c>
      <c r="CT33" s="296">
        <f t="shared" si="69"/>
        <v>306.50384090909091</v>
      </c>
      <c r="CU33" s="300">
        <f t="shared" si="70"/>
        <v>0.86297558253784468</v>
      </c>
      <c r="CV33" s="298">
        <f t="shared" si="71"/>
        <v>0.72013394298727962</v>
      </c>
      <c r="CW33" s="298">
        <f t="shared" si="72"/>
        <v>0.7572069212527065</v>
      </c>
      <c r="CX33" s="299">
        <f t="shared" si="73"/>
        <v>5873.6866136363642</v>
      </c>
      <c r="CY33" s="295">
        <f t="shared" si="74"/>
        <v>1.3050073315733355E-2</v>
      </c>
      <c r="CZ33" s="301">
        <f t="shared" si="75"/>
        <v>1.1450620431772423E-2</v>
      </c>
      <c r="DA33" s="296">
        <f t="shared" si="76"/>
        <v>88.822954545454536</v>
      </c>
      <c r="DB33" s="300">
        <f t="shared" si="77"/>
        <v>1.0254903542349736E-3</v>
      </c>
      <c r="DC33" s="299">
        <f t="shared" si="78"/>
        <v>7.9547727272727267</v>
      </c>
      <c r="DD33" s="295">
        <f t="shared" si="79"/>
        <v>2.261522299211477E-2</v>
      </c>
      <c r="DE33" s="301">
        <f t="shared" si="80"/>
        <v>1.9843439051824712E-2</v>
      </c>
      <c r="DF33" s="296">
        <f t="shared" si="81"/>
        <v>153.92640909090909</v>
      </c>
      <c r="DG33" s="300">
        <f t="shared" si="82"/>
        <v>5.4250493870149283E-3</v>
      </c>
      <c r="DH33" s="298">
        <f t="shared" si="83"/>
        <v>4.7601404108155183E-3</v>
      </c>
      <c r="DI33" s="303">
        <f t="shared" si="84"/>
        <v>36.924613636363638</v>
      </c>
      <c r="DJ33" s="295">
        <f t="shared" si="85"/>
        <v>3.1038672819287558E-2</v>
      </c>
      <c r="DK33" s="301">
        <f t="shared" si="86"/>
        <v>2.5901082596929022E-2</v>
      </c>
      <c r="DL33" s="301">
        <f t="shared" si="87"/>
        <v>2.7234487696796587E-2</v>
      </c>
      <c r="DM33" s="296">
        <f t="shared" si="88"/>
        <v>211.2590909090909</v>
      </c>
      <c r="DN33" s="300">
        <f t="shared" si="89"/>
        <v>4.0426440524209311E-3</v>
      </c>
      <c r="DO33" s="298">
        <f t="shared" si="90"/>
        <v>3.5471664767756936E-3</v>
      </c>
      <c r="DP33" s="299">
        <f t="shared" si="91"/>
        <v>27.515522727272728</v>
      </c>
      <c r="DQ33" s="295">
        <f t="shared" si="92"/>
        <v>3.8844190801040145E-2</v>
      </c>
      <c r="DR33" s="301">
        <f t="shared" si="93"/>
        <v>3.4083339923141387E-2</v>
      </c>
      <c r="DS33" s="296">
        <f t="shared" si="94"/>
        <v>264.3859318181818</v>
      </c>
      <c r="DT33" s="300">
        <f t="shared" si="95"/>
        <v>5.1801414251429964E-2</v>
      </c>
      <c r="DU33" s="299">
        <f t="shared" si="96"/>
        <v>401.82579545454547</v>
      </c>
      <c r="DV33" s="295">
        <f t="shared" si="25"/>
        <v>1.9213838192617263E-2</v>
      </c>
      <c r="DW33" s="296">
        <f t="shared" si="97"/>
        <v>149.04256818181818</v>
      </c>
      <c r="DX33" s="295">
        <f t="shared" si="103"/>
        <v>2.1704431581789825E-5</v>
      </c>
      <c r="DY33" s="301">
        <f t="shared" si="98"/>
        <v>1.8111865748654027E-5</v>
      </c>
      <c r="DZ33" s="301">
        <f t="shared" si="99"/>
        <v>1.904427674217116E-5</v>
      </c>
      <c r="EA33" s="296">
        <f t="shared" si="100"/>
        <v>0.14772727272727273</v>
      </c>
      <c r="EB33" s="304">
        <f>IFERROR(_xlfn.XLOOKUP(A33,'Pupil on roll 24-25'!E:E,'Pupil on roll 24-25'!R:R),0)</f>
        <v>65</v>
      </c>
      <c r="EC33" s="289">
        <f>IFERROR(_xlfn.XLOOKUP(A33,CFR20242025_BenchMarkDataReport!B:B,CFR20242025_BenchMarkDataReport!AK:AK),0)</f>
        <v>5434.38</v>
      </c>
      <c r="ED33" s="289">
        <f>IFERROR(_xlfn.XLOOKUP(A33,CFR20242025_BenchMarkDataReport!B:B,CFR20242025_BenchMarkDataReport!AL:AL),0)</f>
        <v>95221</v>
      </c>
    </row>
    <row r="34" spans="1:134">
      <c r="A34" s="208">
        <v>2028</v>
      </c>
      <c r="B34" s="326">
        <v>10068</v>
      </c>
      <c r="C34" s="208" t="s">
        <v>64</v>
      </c>
      <c r="D34" s="289">
        <f>IFERROR(_xlfn.XLOOKUP($A34,CFR20242025_BenchMarkDataReport!$B:$B,CFR20242025_BenchMarkDataReport!T:T),0)</f>
        <v>1424423.07</v>
      </c>
      <c r="E34" s="289">
        <f>IFERROR(_xlfn.XLOOKUP($A34,CFR20242025_BenchMarkDataReport!$B:$B,CFR20242025_BenchMarkDataReport!U:U),0)</f>
        <v>0</v>
      </c>
      <c r="F34" s="289">
        <f>IFERROR(_xlfn.XLOOKUP($A34,CFR20242025_BenchMarkDataReport!$B:$B,CFR20242025_BenchMarkDataReport!V:V),0)</f>
        <v>130931.01</v>
      </c>
      <c r="G34" s="289">
        <f>IFERROR(_xlfn.XLOOKUP($A34,CFR20242025_BenchMarkDataReport!$B:$B,CFR20242025_BenchMarkDataReport!W:W),0)</f>
        <v>0</v>
      </c>
      <c r="H34" s="289">
        <f>IFERROR(_xlfn.XLOOKUP($A34,CFR20242025_BenchMarkDataReport!$B:$B,CFR20242025_BenchMarkDataReport!X:X),0)</f>
        <v>81400</v>
      </c>
      <c r="I34" s="289">
        <f>IFERROR(_xlfn.XLOOKUP($A34,CFR20242025_BenchMarkDataReport!$B:$B,CFR20242025_BenchMarkDataReport!Y:Y),0)</f>
        <v>3800</v>
      </c>
      <c r="J34" s="289">
        <f>IFERROR(_xlfn.XLOOKUP($A34,CFR20242025_BenchMarkDataReport!$B:$B,CFR20242025_BenchMarkDataReport!Z:Z),0)</f>
        <v>9103.36</v>
      </c>
      <c r="K34" s="289">
        <f>IFERROR(_xlfn.XLOOKUP($A34,CFR20242025_BenchMarkDataReport!$B:$B,CFR20242025_BenchMarkDataReport!AA:AA),0)</f>
        <v>14821</v>
      </c>
      <c r="L34" s="289">
        <f>IFERROR(_xlfn.XLOOKUP($A34,CFR20242025_BenchMarkDataReport!$B:$B,CFR20242025_BenchMarkDataReport!AB:AB),0)</f>
        <v>7806.86</v>
      </c>
      <c r="M34" s="289">
        <f>IFERROR(_xlfn.XLOOKUP($A34,CFR20242025_BenchMarkDataReport!$B:$B,CFR20242025_BenchMarkDataReport!AC:AC),0)</f>
        <v>2953.08</v>
      </c>
      <c r="N34" s="289">
        <f>IFERROR(_xlfn.XLOOKUP($A34,CFR20242025_BenchMarkDataReport!$B:$B,CFR20242025_BenchMarkDataReport!AD:AD),0)</f>
        <v>0</v>
      </c>
      <c r="O34" s="289">
        <f>IFERROR(_xlfn.XLOOKUP($A34,CFR20242025_BenchMarkDataReport!$B:$B,CFR20242025_BenchMarkDataReport!AE:AE),0)</f>
        <v>0</v>
      </c>
      <c r="P34" s="289">
        <f>IFERROR(_xlfn.XLOOKUP($A34,CFR20242025_BenchMarkDataReport!$B:$B,CFR20242025_BenchMarkDataReport!AF:AF),0)</f>
        <v>7872.73</v>
      </c>
      <c r="Q34" s="289">
        <f>IFERROR(_xlfn.XLOOKUP($A34,CFR20242025_BenchMarkDataReport!$B:$B,CFR20242025_BenchMarkDataReport!AG:AG),0)</f>
        <v>3234.27</v>
      </c>
      <c r="R34" s="289">
        <f>IFERROR(_xlfn.XLOOKUP($A34,CFR20242025_BenchMarkDataReport!$B:$B,CFR20242025_BenchMarkDataReport!AH:AH),0)</f>
        <v>0</v>
      </c>
      <c r="S34" s="289">
        <f>IFERROR(_xlfn.XLOOKUP($A34,CFR20242025_BenchMarkDataReport!$B:$B,CFR20242025_BenchMarkDataReport!AI:AI),0)</f>
        <v>0</v>
      </c>
      <c r="T34" s="289">
        <f>IFERROR(_xlfn.XLOOKUP($A34,CFR20242025_BenchMarkDataReport!$B:$B,CFR20242025_BenchMarkDataReport!AJ:AJ),0)</f>
        <v>0</v>
      </c>
      <c r="U34" s="289">
        <f>INDEX(CFR20242025_BenchMarkDataReport!$B$3:$AM$87,MATCH(A34,CFR20242025_BenchMarkDataReport!$B$3:$B$87),MATCH($U$2,CFR20242025_BenchMarkDataReport!$B$3:$AM$3,0))</f>
        <v>85579.38</v>
      </c>
      <c r="V34" s="289">
        <f>IFERROR(_xlfn.XLOOKUP($A34,CFR20242025_BenchMarkDataReport!$B:$B,CFR20242025_BenchMarkDataReport!AN:AN),0)</f>
        <v>777909.36</v>
      </c>
      <c r="W34" s="289">
        <f>IFERROR(_xlfn.XLOOKUP($A34,CFR20242025_BenchMarkDataReport!$B:$B,CFR20242025_BenchMarkDataReport!AO:AO),0)</f>
        <v>0</v>
      </c>
      <c r="X34" s="289">
        <f>IFERROR(_xlfn.XLOOKUP($A34,CFR20242025_BenchMarkDataReport!$B:$B,CFR20242025_BenchMarkDataReport!AP:AP),0)</f>
        <v>236474.91</v>
      </c>
      <c r="Y34" s="289">
        <f>IFERROR(_xlfn.XLOOKUP($A34,CFR20242025_BenchMarkDataReport!$B:$B,CFR20242025_BenchMarkDataReport!AQ:AQ),0)</f>
        <v>44175.11</v>
      </c>
      <c r="Z34" s="289">
        <f>IFERROR(_xlfn.XLOOKUP($A34,CFR20242025_BenchMarkDataReport!$B:$B,CFR20242025_BenchMarkDataReport!AR:AR),0)</f>
        <v>105062.82</v>
      </c>
      <c r="AA34" s="289">
        <f>IFERROR(_xlfn.XLOOKUP($A34,CFR20242025_BenchMarkDataReport!$B:$B,CFR20242025_BenchMarkDataReport!AS:AS),0)</f>
        <v>0</v>
      </c>
      <c r="AB34" s="289">
        <f>IFERROR(_xlfn.XLOOKUP($A34,CFR20242025_BenchMarkDataReport!$B:$B,CFR20242025_BenchMarkDataReport!AT:AT),0)</f>
        <v>34626.54</v>
      </c>
      <c r="AC34" s="289">
        <f>IFERROR(_xlfn.XLOOKUP($A34,CFR20242025_BenchMarkDataReport!$B:$B,CFR20242025_BenchMarkDataReport!AU:AU),0)</f>
        <v>8007.72</v>
      </c>
      <c r="AD34" s="289">
        <f>IFERROR(_xlfn.XLOOKUP($A34,CFR20242025_BenchMarkDataReport!$B:$B,CFR20242025_BenchMarkDataReport!AV:AV),0)</f>
        <v>975</v>
      </c>
      <c r="AE34" s="289">
        <f>IFERROR(_xlfn.XLOOKUP($A34,CFR20242025_BenchMarkDataReport!$B:$B,CFR20242025_BenchMarkDataReport!AW:AW),0)</f>
        <v>363.54</v>
      </c>
      <c r="AF34" s="289">
        <f>IFERROR(_xlfn.XLOOKUP($A34,CFR20242025_BenchMarkDataReport!$B:$B,CFR20242025_BenchMarkDataReport!AX:AX),0)</f>
        <v>0</v>
      </c>
      <c r="AG34" s="289">
        <f>IFERROR(_xlfn.XLOOKUP($A34,CFR20242025_BenchMarkDataReport!$B:$B,CFR20242025_BenchMarkDataReport!AY:AY),0)</f>
        <v>6648.51</v>
      </c>
      <c r="AH34" s="289">
        <f>IFERROR(_xlfn.XLOOKUP($A34,CFR20242025_BenchMarkDataReport!$B:$B,CFR20242025_BenchMarkDataReport!AZ:AZ),0)</f>
        <v>3084.94</v>
      </c>
      <c r="AI34" s="289">
        <f>IFERROR(_xlfn.XLOOKUP($A34,CFR20242025_BenchMarkDataReport!$B:$B,CFR20242025_BenchMarkDataReport!BA:BA),0)</f>
        <v>23517.69</v>
      </c>
      <c r="AJ34" s="289">
        <f>IFERROR(_xlfn.XLOOKUP($A34,CFR20242025_BenchMarkDataReport!$B:$B,CFR20242025_BenchMarkDataReport!BB:BB),0)</f>
        <v>3522.78</v>
      </c>
      <c r="AK34" s="289">
        <f>IFERROR(_xlfn.XLOOKUP($A34,CFR20242025_BenchMarkDataReport!$B:$B,CFR20242025_BenchMarkDataReport!BC:BC),0)</f>
        <v>29526.91</v>
      </c>
      <c r="AL34" s="289">
        <f>IFERROR(_xlfn.XLOOKUP($A34,CFR20242025_BenchMarkDataReport!$B:$B,CFR20242025_BenchMarkDataReport!BD:BD),0)</f>
        <v>23451.37</v>
      </c>
      <c r="AM34" s="289">
        <f>IFERROR(_xlfn.XLOOKUP($A34,CFR20242025_BenchMarkDataReport!$B:$B,CFR20242025_BenchMarkDataReport!BE:BE),0)</f>
        <v>9396.15</v>
      </c>
      <c r="AN34" s="289">
        <f>IFERROR(_xlfn.XLOOKUP($A34,CFR20242025_BenchMarkDataReport!$B:$B,CFR20242025_BenchMarkDataReport!BF:BF),0)</f>
        <v>19716.080000000002</v>
      </c>
      <c r="AO34" s="289">
        <f>IFERROR(_xlfn.XLOOKUP($A34,CFR20242025_BenchMarkDataReport!$B:$B,CFR20242025_BenchMarkDataReport!BN:BN),0)</f>
        <v>26535.91</v>
      </c>
      <c r="AP34" s="289">
        <f>IFERROR(_xlfn.XLOOKUP($A34,CFR20242025_BenchMarkDataReport!$B:$B,CFR20242025_BenchMarkDataReport!BO:BO),0)</f>
        <v>0</v>
      </c>
      <c r="AQ34" s="289">
        <f>IFERROR(_xlfn.XLOOKUP($A34,CFR20242025_BenchMarkDataReport!$B:$B,CFR20242025_BenchMarkDataReport!BP:BP),0)</f>
        <v>3054.93</v>
      </c>
      <c r="AR34" s="289">
        <f>IFERROR(_xlfn.XLOOKUP($A34,CFR20242025_BenchMarkDataReport!$B:$B,CFR20242025_BenchMarkDataReport!BQ:BQ),0)</f>
        <v>9132.91</v>
      </c>
      <c r="AS34" s="289">
        <f>IFERROR(_xlfn.XLOOKUP($A34,CFR20242025_BenchMarkDataReport!$B:$B,CFR20242025_BenchMarkDataReport!BR:BR),0)</f>
        <v>929.82</v>
      </c>
      <c r="AT34" s="289">
        <f>IFERROR(_xlfn.XLOOKUP($A34,CFR20242025_BenchMarkDataReport!$B:$B,CFR20242025_BenchMarkDataReport!BS:BS),0)</f>
        <v>78462.27</v>
      </c>
      <c r="AU34" s="289">
        <f>IFERROR(_xlfn.XLOOKUP($A34,CFR20242025_BenchMarkDataReport!$B:$B,CFR20242025_BenchMarkDataReport!BT:BT),0)</f>
        <v>67713.3</v>
      </c>
      <c r="AV34" s="289">
        <f>IFERROR(_xlfn.XLOOKUP($A34,CFR20242025_BenchMarkDataReport!$B:$B,CFR20242025_BenchMarkDataReport!BU:BU),0)</f>
        <v>207941.77</v>
      </c>
      <c r="AW34" s="289">
        <f>IFERROR(_xlfn.XLOOKUP($A34,CFR20242025_BenchMarkDataReport!$B:$B,CFR20242025_BenchMarkDataReport!BV:BV),0)</f>
        <v>32774.5</v>
      </c>
      <c r="AX34" s="289">
        <f>IFERROR(_xlfn.XLOOKUP($A34,CFR20242025_BenchMarkDataReport!$B:$B,CFR20242025_BenchMarkDataReport!BW:BW),0)</f>
        <v>0</v>
      </c>
      <c r="AY34" s="289">
        <f>IFERROR(_xlfn.XLOOKUP($A34,CFR20242025_BenchMarkDataReport!$B:$B,CFR20242025_BenchMarkDataReport!BX:BX),0)</f>
        <v>0</v>
      </c>
      <c r="AZ34" s="289">
        <f>IFERROR(_xlfn.XLOOKUP($A34,CFR20242025_BenchMarkDataReport!$B:$B,CFR20242025_BenchMarkDataReport!BY:BY),0)</f>
        <v>0</v>
      </c>
      <c r="BA34" s="289">
        <f>IFERROR(_xlfn.XLOOKUP($A34,CFR20242025_BenchMarkDataReport!$B:$B,CFR20242025_BenchMarkDataReport!BZ:BZ),0)</f>
        <v>0</v>
      </c>
      <c r="BB34" s="289">
        <f>IFERROR(_xlfn.XLOOKUP($A34,CFR20242025_BenchMarkDataReport!$B:$B,CFR20242025_BenchMarkDataReport!CA:CA),0)</f>
        <v>0</v>
      </c>
      <c r="BC34" s="290">
        <f t="shared" si="33"/>
        <v>1771924.7600000002</v>
      </c>
      <c r="BD34" s="291">
        <f t="shared" si="101"/>
        <v>1753004.84</v>
      </c>
      <c r="BE34" s="327">
        <f t="shared" si="102"/>
        <v>18919.920000000158</v>
      </c>
      <c r="BF34" s="289">
        <f>IFERROR(_xlfn.XLOOKUP(A34,CFR20242025_BenchMarkDataReport!B:B,CFR20242025_BenchMarkDataReport!Q:Q),0)</f>
        <v>-247171.92</v>
      </c>
      <c r="BG34" s="290">
        <f t="shared" si="0"/>
        <v>-228251.99999999985</v>
      </c>
      <c r="BH34" s="292">
        <f>_xlfn.XLOOKUP(A34,'Pupil on roll 24-25'!E:E,'Pupil on roll 24-25'!I:I)</f>
        <v>219</v>
      </c>
      <c r="BI34" s="291">
        <f t="shared" si="1"/>
        <v>1555354.08</v>
      </c>
      <c r="BJ34" t="s">
        <v>190</v>
      </c>
      <c r="BK34" s="293">
        <f t="shared" si="34"/>
        <v>0.80388462431102314</v>
      </c>
      <c r="BL34" s="294">
        <f t="shared" si="35"/>
        <v>6504.21493150685</v>
      </c>
      <c r="BM34" s="295">
        <f t="shared" si="36"/>
        <v>0</v>
      </c>
      <c r="BN34" s="296">
        <f t="shared" si="37"/>
        <v>0</v>
      </c>
      <c r="BO34" s="293">
        <f t="shared" si="38"/>
        <v>7.3891969318155462E-2</v>
      </c>
      <c r="BP34" s="294">
        <f t="shared" si="39"/>
        <v>597.85849315068492</v>
      </c>
      <c r="BQ34" s="295">
        <f t="shared" si="40"/>
        <v>0</v>
      </c>
      <c r="BR34" s="296">
        <f t="shared" si="41"/>
        <v>0</v>
      </c>
      <c r="BS34" s="293">
        <f t="shared" si="42"/>
        <v>4.5938745164326271E-2</v>
      </c>
      <c r="BT34" s="294">
        <f t="shared" si="43"/>
        <v>371.689497716895</v>
      </c>
      <c r="BU34" s="295">
        <f t="shared" si="44"/>
        <v>2.1445605850668285E-3</v>
      </c>
      <c r="BV34" s="296">
        <f t="shared" si="45"/>
        <v>17.351598173515981</v>
      </c>
      <c r="BW34" s="293">
        <f t="shared" si="46"/>
        <v>5.1375544862299902E-3</v>
      </c>
      <c r="BX34" s="294">
        <f t="shared" si="47"/>
        <v>41.567853881278545</v>
      </c>
      <c r="BY34" s="295">
        <f t="shared" si="48"/>
        <v>1.2770214915897443E-2</v>
      </c>
      <c r="BZ34" s="297">
        <f t="shared" si="49"/>
        <v>103.32356164383562</v>
      </c>
      <c r="CA34" s="298">
        <f t="shared" si="50"/>
        <v>4.4430385407560977E-3</v>
      </c>
      <c r="CB34" s="299">
        <f t="shared" si="51"/>
        <v>35.948538812785387</v>
      </c>
      <c r="CC34" s="295">
        <f t="shared" si="52"/>
        <v>1.8252863061747609E-3</v>
      </c>
      <c r="CD34" s="296">
        <f t="shared" si="53"/>
        <v>14.768356164383562</v>
      </c>
      <c r="CE34" s="300">
        <f t="shared" si="54"/>
        <v>0.54368498522214315</v>
      </c>
      <c r="CF34" s="298">
        <f t="shared" si="55"/>
        <v>0.4772339543356231</v>
      </c>
      <c r="CG34" s="298">
        <f t="shared" si="56"/>
        <v>0.48238466928591023</v>
      </c>
      <c r="CH34" s="299">
        <f t="shared" si="57"/>
        <v>3861.2906849315068</v>
      </c>
      <c r="CI34" s="295">
        <f t="shared" si="58"/>
        <v>0.15203927712717349</v>
      </c>
      <c r="CJ34" s="301">
        <f t="shared" si="59"/>
        <v>0.13345651877453305</v>
      </c>
      <c r="CK34" s="301">
        <f t="shared" si="60"/>
        <v>0.13489689509356972</v>
      </c>
      <c r="CL34" s="302">
        <f t="shared" si="61"/>
        <v>1079.794109589041</v>
      </c>
      <c r="CM34" s="300">
        <f t="shared" si="62"/>
        <v>2.8401963622328361E-2</v>
      </c>
      <c r="CN34" s="298">
        <f t="shared" si="63"/>
        <v>2.4930578880787237E-2</v>
      </c>
      <c r="CO34" s="298">
        <f t="shared" si="64"/>
        <v>2.5199650903416786E-2</v>
      </c>
      <c r="CP34" s="299">
        <f t="shared" si="65"/>
        <v>201.71283105022832</v>
      </c>
      <c r="CQ34" s="295">
        <f t="shared" si="66"/>
        <v>6.7549133249452761E-2</v>
      </c>
      <c r="CR34" s="301">
        <f t="shared" si="67"/>
        <v>5.9293048086308128E-2</v>
      </c>
      <c r="CS34" s="301">
        <f t="shared" si="68"/>
        <v>5.9932989118273057E-2</v>
      </c>
      <c r="CT34" s="296">
        <f t="shared" si="69"/>
        <v>479.7389041095891</v>
      </c>
      <c r="CU34" s="300">
        <f t="shared" si="70"/>
        <v>0.770402543966066</v>
      </c>
      <c r="CV34" s="298">
        <f t="shared" si="71"/>
        <v>0.67624132076578691</v>
      </c>
      <c r="CW34" s="298">
        <f t="shared" si="72"/>
        <v>0.68353989256527103</v>
      </c>
      <c r="CX34" s="299">
        <f t="shared" si="73"/>
        <v>5471.4554337899554</v>
      </c>
      <c r="CY34" s="295">
        <f t="shared" si="74"/>
        <v>4.2745957885036694E-3</v>
      </c>
      <c r="CZ34" s="301">
        <f t="shared" si="75"/>
        <v>3.7926364196461657E-3</v>
      </c>
      <c r="DA34" s="296">
        <f t="shared" si="76"/>
        <v>30.358493150684932</v>
      </c>
      <c r="DB34" s="300">
        <f t="shared" si="77"/>
        <v>2.0095666136323957E-3</v>
      </c>
      <c r="DC34" s="299">
        <f t="shared" si="78"/>
        <v>16.085753424657536</v>
      </c>
      <c r="DD34" s="295">
        <f t="shared" si="79"/>
        <v>1.8984043813354706E-2</v>
      </c>
      <c r="DE34" s="301">
        <f t="shared" si="80"/>
        <v>1.6843598674833093E-2</v>
      </c>
      <c r="DF34" s="296">
        <f t="shared" si="81"/>
        <v>134.82607305936074</v>
      </c>
      <c r="DG34" s="300">
        <f t="shared" si="82"/>
        <v>6.0411645944954215E-3</v>
      </c>
      <c r="DH34" s="298">
        <f t="shared" si="83"/>
        <v>5.3600251326174318E-3</v>
      </c>
      <c r="DI34" s="303">
        <f t="shared" si="84"/>
        <v>42.904794520547945</v>
      </c>
      <c r="DJ34" s="295">
        <f t="shared" si="85"/>
        <v>1.2676264686945111E-2</v>
      </c>
      <c r="DK34" s="301">
        <f t="shared" si="86"/>
        <v>1.1126928436848526E-2</v>
      </c>
      <c r="DL34" s="301">
        <f t="shared" si="87"/>
        <v>1.1247019717298671E-2</v>
      </c>
      <c r="DM34" s="296">
        <f t="shared" si="88"/>
        <v>90.027762557077637</v>
      </c>
      <c r="DN34" s="300">
        <f t="shared" si="89"/>
        <v>1.9641379665780024E-3</v>
      </c>
      <c r="DO34" s="298">
        <f t="shared" si="90"/>
        <v>1.742682011077619E-3</v>
      </c>
      <c r="DP34" s="299">
        <f t="shared" si="91"/>
        <v>13.94945205479452</v>
      </c>
      <c r="DQ34" s="295">
        <f t="shared" si="92"/>
        <v>0.13369416821152388</v>
      </c>
      <c r="DR34" s="301">
        <f t="shared" si="93"/>
        <v>0.11862019160198096</v>
      </c>
      <c r="DS34" s="296">
        <f t="shared" si="94"/>
        <v>949.50579908675797</v>
      </c>
      <c r="DT34" s="300">
        <f t="shared" si="95"/>
        <v>4.4758729816170961E-2</v>
      </c>
      <c r="DU34" s="299">
        <f t="shared" si="96"/>
        <v>358.2752054794521</v>
      </c>
      <c r="DV34" s="295">
        <f t="shared" si="25"/>
        <v>1.3415644648191614E-2</v>
      </c>
      <c r="DW34" s="296">
        <f t="shared" si="97"/>
        <v>107.38671232876712</v>
      </c>
      <c r="DX34" s="295">
        <f t="shared" si="103"/>
        <v>3.5361722907493831E-5</v>
      </c>
      <c r="DY34" s="301">
        <f t="shared" si="98"/>
        <v>3.1039692678598831E-5</v>
      </c>
      <c r="DZ34" s="301">
        <f t="shared" si="99"/>
        <v>3.1374699456049417E-5</v>
      </c>
      <c r="EA34" s="296">
        <f t="shared" si="100"/>
        <v>0.25114155251141551</v>
      </c>
      <c r="EB34" s="304">
        <f>IFERROR(_xlfn.XLOOKUP(A34,'Pupil on roll 24-25'!E:E,'Pupil on roll 24-25'!R:R),0)</f>
        <v>55</v>
      </c>
      <c r="EC34" s="289">
        <f>IFERROR(_xlfn.XLOOKUP(A34,CFR20242025_BenchMarkDataReport!B:B,CFR20242025_BenchMarkDataReport!AK:AK),0)</f>
        <v>5124.38</v>
      </c>
      <c r="ED34" s="289">
        <f>IFERROR(_xlfn.XLOOKUP(A34,CFR20242025_BenchMarkDataReport!B:B,CFR20242025_BenchMarkDataReport!AL:AL),0)</f>
        <v>80455</v>
      </c>
    </row>
    <row r="35" spans="1:134">
      <c r="A35" s="208">
        <v>2027</v>
      </c>
      <c r="B35" s="326">
        <v>10067</v>
      </c>
      <c r="C35" s="208" t="s">
        <v>65</v>
      </c>
      <c r="D35" s="289">
        <f>IFERROR(_xlfn.XLOOKUP($A35,CFR20242025_BenchMarkDataReport!$B:$B,CFR20242025_BenchMarkDataReport!T:T),0)</f>
        <v>1877936.41</v>
      </c>
      <c r="E35" s="289">
        <f>IFERROR(_xlfn.XLOOKUP($A35,CFR20242025_BenchMarkDataReport!$B:$B,CFR20242025_BenchMarkDataReport!U:U),0)</f>
        <v>0</v>
      </c>
      <c r="F35" s="289">
        <f>IFERROR(_xlfn.XLOOKUP($A35,CFR20242025_BenchMarkDataReport!$B:$B,CFR20242025_BenchMarkDataReport!V:V),0)</f>
        <v>173961.68</v>
      </c>
      <c r="G35" s="289">
        <f>IFERROR(_xlfn.XLOOKUP($A35,CFR20242025_BenchMarkDataReport!$B:$B,CFR20242025_BenchMarkDataReport!W:W),0)</f>
        <v>0</v>
      </c>
      <c r="H35" s="289">
        <f>IFERROR(_xlfn.XLOOKUP($A35,CFR20242025_BenchMarkDataReport!$B:$B,CFR20242025_BenchMarkDataReport!X:X),0)</f>
        <v>130940</v>
      </c>
      <c r="I35" s="289">
        <f>IFERROR(_xlfn.XLOOKUP($A35,CFR20242025_BenchMarkDataReport!$B:$B,CFR20242025_BenchMarkDataReport!Y:Y),0)</f>
        <v>1400</v>
      </c>
      <c r="J35" s="289">
        <f>IFERROR(_xlfn.XLOOKUP($A35,CFR20242025_BenchMarkDataReport!$B:$B,CFR20242025_BenchMarkDataReport!Z:Z),0)</f>
        <v>153367.89000000001</v>
      </c>
      <c r="K35" s="289">
        <f>IFERROR(_xlfn.XLOOKUP($A35,CFR20242025_BenchMarkDataReport!$B:$B,CFR20242025_BenchMarkDataReport!AA:AA),0)</f>
        <v>15331.5</v>
      </c>
      <c r="L35" s="289">
        <f>IFERROR(_xlfn.XLOOKUP($A35,CFR20242025_BenchMarkDataReport!$B:$B,CFR20242025_BenchMarkDataReport!AB:AB),0)</f>
        <v>21683.119999999999</v>
      </c>
      <c r="M35" s="289">
        <f>IFERROR(_xlfn.XLOOKUP($A35,CFR20242025_BenchMarkDataReport!$B:$B,CFR20242025_BenchMarkDataReport!AC:AC),0)</f>
        <v>5124.97</v>
      </c>
      <c r="N35" s="289">
        <f>IFERROR(_xlfn.XLOOKUP($A35,CFR20242025_BenchMarkDataReport!$B:$B,CFR20242025_BenchMarkDataReport!AD:AD),0)</f>
        <v>6000</v>
      </c>
      <c r="O35" s="289">
        <f>IFERROR(_xlfn.XLOOKUP($A35,CFR20242025_BenchMarkDataReport!$B:$B,CFR20242025_BenchMarkDataReport!AE:AE),0)</f>
        <v>2268</v>
      </c>
      <c r="P35" s="289">
        <f>IFERROR(_xlfn.XLOOKUP($A35,CFR20242025_BenchMarkDataReport!$B:$B,CFR20242025_BenchMarkDataReport!AF:AF),0)</f>
        <v>32870.449999999997</v>
      </c>
      <c r="Q35" s="289">
        <f>IFERROR(_xlfn.XLOOKUP($A35,CFR20242025_BenchMarkDataReport!$B:$B,CFR20242025_BenchMarkDataReport!AG:AG),0)</f>
        <v>8625.1200000000008</v>
      </c>
      <c r="R35" s="289">
        <f>IFERROR(_xlfn.XLOOKUP($A35,CFR20242025_BenchMarkDataReport!$B:$B,CFR20242025_BenchMarkDataReport!AH:AH),0)</f>
        <v>0</v>
      </c>
      <c r="S35" s="289">
        <f>IFERROR(_xlfn.XLOOKUP($A35,CFR20242025_BenchMarkDataReport!$B:$B,CFR20242025_BenchMarkDataReport!AI:AI),0)</f>
        <v>0</v>
      </c>
      <c r="T35" s="289">
        <f>IFERROR(_xlfn.XLOOKUP($A35,CFR20242025_BenchMarkDataReport!$B:$B,CFR20242025_BenchMarkDataReport!AJ:AJ),0)</f>
        <v>0</v>
      </c>
      <c r="U35" s="289">
        <f>INDEX(CFR20242025_BenchMarkDataReport!$B$3:$AM$87,MATCH(A35,CFR20242025_BenchMarkDataReport!$B$3:$B$87),MATCH($U$2,CFR20242025_BenchMarkDataReport!$B$3:$AM$3,0))</f>
        <v>28499.879999999997</v>
      </c>
      <c r="V35" s="289">
        <f>IFERROR(_xlfn.XLOOKUP($A35,CFR20242025_BenchMarkDataReport!$B:$B,CFR20242025_BenchMarkDataReport!AN:AN),0)</f>
        <v>1201155.02</v>
      </c>
      <c r="W35" s="289">
        <f>IFERROR(_xlfn.XLOOKUP($A35,CFR20242025_BenchMarkDataReport!$B:$B,CFR20242025_BenchMarkDataReport!AO:AO),0)</f>
        <v>0</v>
      </c>
      <c r="X35" s="289">
        <f>IFERROR(_xlfn.XLOOKUP($A35,CFR20242025_BenchMarkDataReport!$B:$B,CFR20242025_BenchMarkDataReport!AP:AP),0)</f>
        <v>302709.78000000003</v>
      </c>
      <c r="Y35" s="289">
        <f>IFERROR(_xlfn.XLOOKUP($A35,CFR20242025_BenchMarkDataReport!$B:$B,CFR20242025_BenchMarkDataReport!AQ:AQ),0)</f>
        <v>44175.73</v>
      </c>
      <c r="Z35" s="289">
        <f>IFERROR(_xlfn.XLOOKUP($A35,CFR20242025_BenchMarkDataReport!$B:$B,CFR20242025_BenchMarkDataReport!AR:AR),0)</f>
        <v>101684.63</v>
      </c>
      <c r="AA35" s="289">
        <f>IFERROR(_xlfn.XLOOKUP($A35,CFR20242025_BenchMarkDataReport!$B:$B,CFR20242025_BenchMarkDataReport!AS:AS),0)</f>
        <v>0</v>
      </c>
      <c r="AB35" s="289">
        <f>IFERROR(_xlfn.XLOOKUP($A35,CFR20242025_BenchMarkDataReport!$B:$B,CFR20242025_BenchMarkDataReport!AT:AT),0)</f>
        <v>27965.69</v>
      </c>
      <c r="AC35" s="289">
        <f>IFERROR(_xlfn.XLOOKUP($A35,CFR20242025_BenchMarkDataReport!$B:$B,CFR20242025_BenchMarkDataReport!AU:AU),0)</f>
        <v>13622.96</v>
      </c>
      <c r="AD35" s="289">
        <f>IFERROR(_xlfn.XLOOKUP($A35,CFR20242025_BenchMarkDataReport!$B:$B,CFR20242025_BenchMarkDataReport!AV:AV),0)</f>
        <v>3932.5</v>
      </c>
      <c r="AE35" s="289">
        <f>IFERROR(_xlfn.XLOOKUP($A35,CFR20242025_BenchMarkDataReport!$B:$B,CFR20242025_BenchMarkDataReport!AW:AW),0)</f>
        <v>6535.14</v>
      </c>
      <c r="AF35" s="289">
        <f>IFERROR(_xlfn.XLOOKUP($A35,CFR20242025_BenchMarkDataReport!$B:$B,CFR20242025_BenchMarkDataReport!AX:AX),0)</f>
        <v>0</v>
      </c>
      <c r="AG35" s="289">
        <f>IFERROR(_xlfn.XLOOKUP($A35,CFR20242025_BenchMarkDataReport!$B:$B,CFR20242025_BenchMarkDataReport!AY:AY),0)</f>
        <v>17217.91</v>
      </c>
      <c r="AH35" s="289">
        <f>IFERROR(_xlfn.XLOOKUP($A35,CFR20242025_BenchMarkDataReport!$B:$B,CFR20242025_BenchMarkDataReport!AZ:AZ),0)</f>
        <v>2786</v>
      </c>
      <c r="AI35" s="289">
        <f>IFERROR(_xlfn.XLOOKUP($A35,CFR20242025_BenchMarkDataReport!$B:$B,CFR20242025_BenchMarkDataReport!BA:BA),0)</f>
        <v>31053.82</v>
      </c>
      <c r="AJ35" s="289">
        <f>IFERROR(_xlfn.XLOOKUP($A35,CFR20242025_BenchMarkDataReport!$B:$B,CFR20242025_BenchMarkDataReport!BB:BB),0)</f>
        <v>5284.19</v>
      </c>
      <c r="AK35" s="289">
        <f>IFERROR(_xlfn.XLOOKUP($A35,CFR20242025_BenchMarkDataReport!$B:$B,CFR20242025_BenchMarkDataReport!BC:BC),0)</f>
        <v>47881.68</v>
      </c>
      <c r="AL35" s="289">
        <f>IFERROR(_xlfn.XLOOKUP($A35,CFR20242025_BenchMarkDataReport!$B:$B,CFR20242025_BenchMarkDataReport!BD:BD),0)</f>
        <v>23451.360000000001</v>
      </c>
      <c r="AM35" s="289">
        <f>IFERROR(_xlfn.XLOOKUP($A35,CFR20242025_BenchMarkDataReport!$B:$B,CFR20242025_BenchMarkDataReport!BE:BE),0)</f>
        <v>12203.74</v>
      </c>
      <c r="AN35" s="289">
        <f>IFERROR(_xlfn.XLOOKUP($A35,CFR20242025_BenchMarkDataReport!$B:$B,CFR20242025_BenchMarkDataReport!BF:BF),0)</f>
        <v>60229.33</v>
      </c>
      <c r="AO35" s="289">
        <f>IFERROR(_xlfn.XLOOKUP($A35,CFR20242025_BenchMarkDataReport!$B:$B,CFR20242025_BenchMarkDataReport!BN:BN),0)</f>
        <v>34639.49</v>
      </c>
      <c r="AP35" s="289">
        <f>IFERROR(_xlfn.XLOOKUP($A35,CFR20242025_BenchMarkDataReport!$B:$B,CFR20242025_BenchMarkDataReport!BO:BO),0)</f>
        <v>0</v>
      </c>
      <c r="AQ35" s="289">
        <f>IFERROR(_xlfn.XLOOKUP($A35,CFR20242025_BenchMarkDataReport!$B:$B,CFR20242025_BenchMarkDataReport!BP:BP),0)</f>
        <v>5708.23</v>
      </c>
      <c r="AR35" s="289">
        <f>IFERROR(_xlfn.XLOOKUP($A35,CFR20242025_BenchMarkDataReport!$B:$B,CFR20242025_BenchMarkDataReport!BQ:BQ),0)</f>
        <v>13719.81</v>
      </c>
      <c r="AS35" s="289">
        <f>IFERROR(_xlfn.XLOOKUP($A35,CFR20242025_BenchMarkDataReport!$B:$B,CFR20242025_BenchMarkDataReport!BR:BR),0)</f>
        <v>11762.55</v>
      </c>
      <c r="AT35" s="289">
        <f>IFERROR(_xlfn.XLOOKUP($A35,CFR20242025_BenchMarkDataReport!$B:$B,CFR20242025_BenchMarkDataReport!BS:BS),0)</f>
        <v>120744.77</v>
      </c>
      <c r="AU35" s="289">
        <f>IFERROR(_xlfn.XLOOKUP($A35,CFR20242025_BenchMarkDataReport!$B:$B,CFR20242025_BenchMarkDataReport!BT:BT),0)</f>
        <v>163243.60999999999</v>
      </c>
      <c r="AV35" s="289">
        <f>IFERROR(_xlfn.XLOOKUP($A35,CFR20242025_BenchMarkDataReport!$B:$B,CFR20242025_BenchMarkDataReport!BU:BU),0)</f>
        <v>324093.26</v>
      </c>
      <c r="AW35" s="289">
        <f>IFERROR(_xlfn.XLOOKUP($A35,CFR20242025_BenchMarkDataReport!$B:$B,CFR20242025_BenchMarkDataReport!BV:BV),0)</f>
        <v>35747.5</v>
      </c>
      <c r="AX35" s="289">
        <f>IFERROR(_xlfn.XLOOKUP($A35,CFR20242025_BenchMarkDataReport!$B:$B,CFR20242025_BenchMarkDataReport!BW:BW),0)</f>
        <v>0</v>
      </c>
      <c r="AY35" s="289">
        <f>IFERROR(_xlfn.XLOOKUP($A35,CFR20242025_BenchMarkDataReport!$B:$B,CFR20242025_BenchMarkDataReport!BX:BX),0)</f>
        <v>0</v>
      </c>
      <c r="AZ35" s="289">
        <f>IFERROR(_xlfn.XLOOKUP($A35,CFR20242025_BenchMarkDataReport!$B:$B,CFR20242025_BenchMarkDataReport!BY:BY),0)</f>
        <v>0</v>
      </c>
      <c r="BA35" s="289">
        <f>IFERROR(_xlfn.XLOOKUP($A35,CFR20242025_BenchMarkDataReport!$B:$B,CFR20242025_BenchMarkDataReport!BZ:BZ),0)</f>
        <v>0</v>
      </c>
      <c r="BB35" s="289">
        <f>IFERROR(_xlfn.XLOOKUP($A35,CFR20242025_BenchMarkDataReport!$B:$B,CFR20242025_BenchMarkDataReport!CA:CA),0)</f>
        <v>0</v>
      </c>
      <c r="BC35" s="290">
        <f t="shared" si="33"/>
        <v>2458009.0200000005</v>
      </c>
      <c r="BD35" s="291">
        <f t="shared" si="101"/>
        <v>2611548.7000000002</v>
      </c>
      <c r="BE35" s="327">
        <f t="shared" si="102"/>
        <v>-153539.6799999997</v>
      </c>
      <c r="BF35" s="289">
        <f>IFERROR(_xlfn.XLOOKUP(A35,CFR20242025_BenchMarkDataReport!B:B,CFR20242025_BenchMarkDataReport!Q:Q),0)</f>
        <v>-94203.32</v>
      </c>
      <c r="BG35" s="290">
        <f t="shared" si="0"/>
        <v>-247742.99999999971</v>
      </c>
      <c r="BH35" s="292">
        <f>_xlfn.XLOOKUP(A35,'Pupil on roll 24-25'!E:E,'Pupil on roll 24-25'!I:I)</f>
        <v>329</v>
      </c>
      <c r="BI35" s="291">
        <f t="shared" si="1"/>
        <v>2051898.0899999999</v>
      </c>
      <c r="BJ35" t="s">
        <v>190</v>
      </c>
      <c r="BK35" s="293">
        <f t="shared" si="34"/>
        <v>0.76400712719923203</v>
      </c>
      <c r="BL35" s="294">
        <f t="shared" si="35"/>
        <v>5708.0134042553191</v>
      </c>
      <c r="BM35" s="295">
        <f t="shared" si="36"/>
        <v>0</v>
      </c>
      <c r="BN35" s="296">
        <f t="shared" si="37"/>
        <v>0</v>
      </c>
      <c r="BO35" s="293">
        <f t="shared" si="38"/>
        <v>7.077340993646962E-2</v>
      </c>
      <c r="BP35" s="294">
        <f t="shared" si="39"/>
        <v>528.75890577507596</v>
      </c>
      <c r="BQ35" s="295">
        <f t="shared" si="40"/>
        <v>0</v>
      </c>
      <c r="BR35" s="296">
        <f t="shared" si="41"/>
        <v>0</v>
      </c>
      <c r="BS35" s="293">
        <f t="shared" si="42"/>
        <v>5.3270756508452512E-2</v>
      </c>
      <c r="BT35" s="294">
        <f t="shared" si="43"/>
        <v>397.99392097264439</v>
      </c>
      <c r="BU35" s="295">
        <f t="shared" si="44"/>
        <v>5.6956666497505351E-4</v>
      </c>
      <c r="BV35" s="296">
        <f t="shared" si="45"/>
        <v>4.2553191489361701</v>
      </c>
      <c r="BW35" s="293">
        <f t="shared" si="46"/>
        <v>6.2395169729686339E-2</v>
      </c>
      <c r="BX35" s="294">
        <f t="shared" si="47"/>
        <v>466.1637993920973</v>
      </c>
      <c r="BY35" s="295">
        <f t="shared" si="48"/>
        <v>1.5058781191942082E-2</v>
      </c>
      <c r="BZ35" s="297">
        <f t="shared" si="49"/>
        <v>112.50644376899695</v>
      </c>
      <c r="CA35" s="298">
        <f t="shared" si="50"/>
        <v>1.3372794701949462E-2</v>
      </c>
      <c r="CB35" s="299">
        <f t="shared" si="51"/>
        <v>99.910182370820664</v>
      </c>
      <c r="CC35" s="295">
        <f t="shared" si="52"/>
        <v>3.5089863095783104E-3</v>
      </c>
      <c r="CD35" s="296">
        <f t="shared" si="53"/>
        <v>26.216170212765959</v>
      </c>
      <c r="CE35" s="300">
        <f t="shared" si="54"/>
        <v>0.664944636699769</v>
      </c>
      <c r="CF35" s="298">
        <f t="shared" si="55"/>
        <v>0.55508284098973715</v>
      </c>
      <c r="CG35" s="298">
        <f t="shared" si="56"/>
        <v>0.52244808990159741</v>
      </c>
      <c r="CH35" s="299">
        <f t="shared" si="57"/>
        <v>4147.1082978723398</v>
      </c>
      <c r="CI35" s="295">
        <f t="shared" si="58"/>
        <v>0.14752671269361142</v>
      </c>
      <c r="CJ35" s="301">
        <f t="shared" si="59"/>
        <v>0.12315242846423727</v>
      </c>
      <c r="CK35" s="301">
        <f t="shared" si="60"/>
        <v>0.11591197973830625</v>
      </c>
      <c r="CL35" s="302">
        <f t="shared" si="61"/>
        <v>920.09051671732527</v>
      </c>
      <c r="CM35" s="300">
        <f t="shared" si="62"/>
        <v>2.152920274905076E-2</v>
      </c>
      <c r="CN35" s="298">
        <f t="shared" si="63"/>
        <v>1.7972159434956017E-2</v>
      </c>
      <c r="CO35" s="298">
        <f t="shared" si="64"/>
        <v>1.6915529853990471E-2</v>
      </c>
      <c r="CP35" s="299">
        <f t="shared" si="65"/>
        <v>134.27273556231003</v>
      </c>
      <c r="CQ35" s="295">
        <f t="shared" si="66"/>
        <v>4.9556374410388002E-2</v>
      </c>
      <c r="CR35" s="301">
        <f t="shared" si="67"/>
        <v>4.136869684880163E-2</v>
      </c>
      <c r="CS35" s="301">
        <f t="shared" si="68"/>
        <v>3.8936524522786037E-2</v>
      </c>
      <c r="CT35" s="296">
        <f t="shared" si="69"/>
        <v>309.07182370820669</v>
      </c>
      <c r="CU35" s="300">
        <f t="shared" si="70"/>
        <v>0.81762874003162611</v>
      </c>
      <c r="CV35" s="298">
        <f t="shared" si="71"/>
        <v>0.6825405587811878</v>
      </c>
      <c r="CW35" s="298">
        <f t="shared" si="72"/>
        <v>0.6424122399095985</v>
      </c>
      <c r="CX35" s="299">
        <f t="shared" si="73"/>
        <v>5099.3642857142859</v>
      </c>
      <c r="CY35" s="295">
        <f t="shared" si="74"/>
        <v>8.3912110859267874E-3</v>
      </c>
      <c r="CZ35" s="301">
        <f t="shared" si="75"/>
        <v>6.5929882908176279E-3</v>
      </c>
      <c r="DA35" s="296">
        <f t="shared" si="76"/>
        <v>52.33407294832827</v>
      </c>
      <c r="DB35" s="300">
        <f t="shared" si="77"/>
        <v>2.0233932455481296E-3</v>
      </c>
      <c r="DC35" s="299">
        <f t="shared" si="78"/>
        <v>16.061367781155013</v>
      </c>
      <c r="DD35" s="295">
        <f t="shared" si="79"/>
        <v>2.333531096566302E-2</v>
      </c>
      <c r="DE35" s="301">
        <f t="shared" si="80"/>
        <v>1.8334592037284235E-2</v>
      </c>
      <c r="DF35" s="296">
        <f t="shared" si="81"/>
        <v>145.53702127659574</v>
      </c>
      <c r="DG35" s="300">
        <f t="shared" si="82"/>
        <v>5.9475370923514044E-3</v>
      </c>
      <c r="DH35" s="298">
        <f t="shared" si="83"/>
        <v>4.6729896325502177E-3</v>
      </c>
      <c r="DI35" s="303">
        <f t="shared" si="84"/>
        <v>37.093434650455926</v>
      </c>
      <c r="DJ35" s="295">
        <f t="shared" si="85"/>
        <v>2.935298312013147E-2</v>
      </c>
      <c r="DK35" s="301">
        <f t="shared" si="86"/>
        <v>2.4503299015558533E-2</v>
      </c>
      <c r="DL35" s="301">
        <f t="shared" si="87"/>
        <v>2.3062686902985956E-2</v>
      </c>
      <c r="DM35" s="296">
        <f t="shared" si="88"/>
        <v>183.06787234042554</v>
      </c>
      <c r="DN35" s="300">
        <f t="shared" si="89"/>
        <v>2.7819266599151617E-3</v>
      </c>
      <c r="DO35" s="298">
        <f t="shared" si="90"/>
        <v>2.1857643320991865E-3</v>
      </c>
      <c r="DP35" s="299">
        <f t="shared" si="91"/>
        <v>17.350243161094223</v>
      </c>
      <c r="DQ35" s="295">
        <f t="shared" si="92"/>
        <v>0.15794802947547948</v>
      </c>
      <c r="DR35" s="301">
        <f t="shared" si="93"/>
        <v>0.12410002539872221</v>
      </c>
      <c r="DS35" s="296">
        <f t="shared" si="94"/>
        <v>985.08589665653494</v>
      </c>
      <c r="DT35" s="300">
        <f t="shared" si="95"/>
        <v>4.6234929488391315E-2</v>
      </c>
      <c r="DU35" s="299">
        <f t="shared" si="96"/>
        <v>367.00537993920972</v>
      </c>
      <c r="DV35" s="295">
        <f t="shared" si="25"/>
        <v>1.1890959567401518E-2</v>
      </c>
      <c r="DW35" s="296">
        <f t="shared" si="97"/>
        <v>94.388510638297873</v>
      </c>
      <c r="DX35" s="295">
        <f t="shared" si="103"/>
        <v>4.1425059272802389E-5</v>
      </c>
      <c r="DY35" s="301">
        <f t="shared" si="98"/>
        <v>3.458083323062825E-5</v>
      </c>
      <c r="DZ35" s="301">
        <f t="shared" si="99"/>
        <v>3.2547736904159585E-5</v>
      </c>
      <c r="EA35" s="296">
        <f t="shared" si="100"/>
        <v>0.25835866261398177</v>
      </c>
      <c r="EB35" s="304">
        <f>IFERROR(_xlfn.XLOOKUP(A35,'Pupil on roll 24-25'!E:E,'Pupil on roll 24-25'!R:R),0)</f>
        <v>85</v>
      </c>
      <c r="EC35" s="289">
        <f>IFERROR(_xlfn.XLOOKUP(A35,CFR20242025_BenchMarkDataReport!B:B,CFR20242025_BenchMarkDataReport!AK:AK),0)</f>
        <v>9196.8799999999992</v>
      </c>
      <c r="ED35" s="289">
        <f>IFERROR(_xlfn.XLOOKUP(A35,CFR20242025_BenchMarkDataReport!B:B,CFR20242025_BenchMarkDataReport!AL:AL),0)</f>
        <v>19303</v>
      </c>
    </row>
    <row r="36" spans="1:134">
      <c r="A36" s="208">
        <v>2029</v>
      </c>
      <c r="B36" s="326">
        <v>10069</v>
      </c>
      <c r="C36" s="208" t="s">
        <v>66</v>
      </c>
      <c r="D36" s="289">
        <f>IFERROR(_xlfn.XLOOKUP($A36,CFR20242025_BenchMarkDataReport!$B:$B,CFR20242025_BenchMarkDataReport!T:T),0)</f>
        <v>2836196.43</v>
      </c>
      <c r="E36" s="289">
        <f>IFERROR(_xlfn.XLOOKUP($A36,CFR20242025_BenchMarkDataReport!$B:$B,CFR20242025_BenchMarkDataReport!U:U),0)</f>
        <v>0</v>
      </c>
      <c r="F36" s="289">
        <f>IFERROR(_xlfn.XLOOKUP($A36,CFR20242025_BenchMarkDataReport!$B:$B,CFR20242025_BenchMarkDataReport!V:V),0)</f>
        <v>211799.54</v>
      </c>
      <c r="G36" s="289">
        <f>IFERROR(_xlfn.XLOOKUP($A36,CFR20242025_BenchMarkDataReport!$B:$B,CFR20242025_BenchMarkDataReport!W:W),0)</f>
        <v>0</v>
      </c>
      <c r="H36" s="289">
        <f>IFERROR(_xlfn.XLOOKUP($A36,CFR20242025_BenchMarkDataReport!$B:$B,CFR20242025_BenchMarkDataReport!X:X),0)</f>
        <v>258920</v>
      </c>
      <c r="I36" s="289">
        <f>IFERROR(_xlfn.XLOOKUP($A36,CFR20242025_BenchMarkDataReport!$B:$B,CFR20242025_BenchMarkDataReport!Y:Y),0)</f>
        <v>4769.2299999999996</v>
      </c>
      <c r="J36" s="289">
        <f>IFERROR(_xlfn.XLOOKUP($A36,CFR20242025_BenchMarkDataReport!$B:$B,CFR20242025_BenchMarkDataReport!Z:Z),0)</f>
        <v>67351.320000000007</v>
      </c>
      <c r="K36" s="289">
        <f>IFERROR(_xlfn.XLOOKUP($A36,CFR20242025_BenchMarkDataReport!$B:$B,CFR20242025_BenchMarkDataReport!AA:AA),0)</f>
        <v>0</v>
      </c>
      <c r="L36" s="289">
        <f>IFERROR(_xlfn.XLOOKUP($A36,CFR20242025_BenchMarkDataReport!$B:$B,CFR20242025_BenchMarkDataReport!AB:AB),0)</f>
        <v>42256.800000000003</v>
      </c>
      <c r="M36" s="289">
        <f>IFERROR(_xlfn.XLOOKUP($A36,CFR20242025_BenchMarkDataReport!$B:$B,CFR20242025_BenchMarkDataReport!AC:AC),0)</f>
        <v>7795.54</v>
      </c>
      <c r="N36" s="289">
        <f>IFERROR(_xlfn.XLOOKUP($A36,CFR20242025_BenchMarkDataReport!$B:$B,CFR20242025_BenchMarkDataReport!AD:AD),0)</f>
        <v>0</v>
      </c>
      <c r="O36" s="289">
        <f>IFERROR(_xlfn.XLOOKUP($A36,CFR20242025_BenchMarkDataReport!$B:$B,CFR20242025_BenchMarkDataReport!AE:AE),0)</f>
        <v>0</v>
      </c>
      <c r="P36" s="289">
        <f>IFERROR(_xlfn.XLOOKUP($A36,CFR20242025_BenchMarkDataReport!$B:$B,CFR20242025_BenchMarkDataReport!AF:AF),0)</f>
        <v>36672.93</v>
      </c>
      <c r="Q36" s="289">
        <f>IFERROR(_xlfn.XLOOKUP($A36,CFR20242025_BenchMarkDataReport!$B:$B,CFR20242025_BenchMarkDataReport!AG:AG),0)</f>
        <v>2126.7600000000002</v>
      </c>
      <c r="R36" s="289">
        <f>IFERROR(_xlfn.XLOOKUP($A36,CFR20242025_BenchMarkDataReport!$B:$B,CFR20242025_BenchMarkDataReport!AH:AH),0)</f>
        <v>0</v>
      </c>
      <c r="S36" s="289">
        <f>IFERROR(_xlfn.XLOOKUP($A36,CFR20242025_BenchMarkDataReport!$B:$B,CFR20242025_BenchMarkDataReport!AI:AI),0)</f>
        <v>0</v>
      </c>
      <c r="T36" s="289">
        <f>IFERROR(_xlfn.XLOOKUP($A36,CFR20242025_BenchMarkDataReport!$B:$B,CFR20242025_BenchMarkDataReport!AJ:AJ),0)</f>
        <v>0</v>
      </c>
      <c r="U36" s="289">
        <f>INDEX(CFR20242025_BenchMarkDataReport!$B$3:$AM$87,MATCH(A36,CFR20242025_BenchMarkDataReport!$B$3:$B$87),MATCH($U$2,CFR20242025_BenchMarkDataReport!$B$3:$AM$3,0))</f>
        <v>94821.75</v>
      </c>
      <c r="V36" s="289">
        <f>IFERROR(_xlfn.XLOOKUP($A36,CFR20242025_BenchMarkDataReport!$B:$B,CFR20242025_BenchMarkDataReport!AN:AN),0)</f>
        <v>1440332.83</v>
      </c>
      <c r="W36" s="289">
        <f>IFERROR(_xlfn.XLOOKUP($A36,CFR20242025_BenchMarkDataReport!$B:$B,CFR20242025_BenchMarkDataReport!AO:AO),0)</f>
        <v>0</v>
      </c>
      <c r="X36" s="289">
        <f>IFERROR(_xlfn.XLOOKUP($A36,CFR20242025_BenchMarkDataReport!$B:$B,CFR20242025_BenchMarkDataReport!AP:AP),0)</f>
        <v>880538.49</v>
      </c>
      <c r="Y36" s="289">
        <f>IFERROR(_xlfn.XLOOKUP($A36,CFR20242025_BenchMarkDataReport!$B:$B,CFR20242025_BenchMarkDataReport!AQ:AQ),0)</f>
        <v>134766.98000000001</v>
      </c>
      <c r="Z36" s="289">
        <f>IFERROR(_xlfn.XLOOKUP($A36,CFR20242025_BenchMarkDataReport!$B:$B,CFR20242025_BenchMarkDataReport!AR:AR),0)</f>
        <v>76435.7</v>
      </c>
      <c r="AA36" s="289">
        <f>IFERROR(_xlfn.XLOOKUP($A36,CFR20242025_BenchMarkDataReport!$B:$B,CFR20242025_BenchMarkDataReport!AS:AS),0)</f>
        <v>85821.83</v>
      </c>
      <c r="AB36" s="289">
        <f>IFERROR(_xlfn.XLOOKUP($A36,CFR20242025_BenchMarkDataReport!$B:$B,CFR20242025_BenchMarkDataReport!AT:AT),0)</f>
        <v>225766.52</v>
      </c>
      <c r="AC36" s="289">
        <f>IFERROR(_xlfn.XLOOKUP($A36,CFR20242025_BenchMarkDataReport!$B:$B,CFR20242025_BenchMarkDataReport!AU:AU),0)</f>
        <v>12127.14</v>
      </c>
      <c r="AD36" s="289">
        <f>IFERROR(_xlfn.XLOOKUP($A36,CFR20242025_BenchMarkDataReport!$B:$B,CFR20242025_BenchMarkDataReport!AV:AV),0)</f>
        <v>2688</v>
      </c>
      <c r="AE36" s="289">
        <f>IFERROR(_xlfn.XLOOKUP($A36,CFR20242025_BenchMarkDataReport!$B:$B,CFR20242025_BenchMarkDataReport!AW:AW),0)</f>
        <v>0</v>
      </c>
      <c r="AF36" s="289">
        <f>IFERROR(_xlfn.XLOOKUP($A36,CFR20242025_BenchMarkDataReport!$B:$B,CFR20242025_BenchMarkDataReport!AX:AX),0)</f>
        <v>0</v>
      </c>
      <c r="AG36" s="289">
        <f>IFERROR(_xlfn.XLOOKUP($A36,CFR20242025_BenchMarkDataReport!$B:$B,CFR20242025_BenchMarkDataReport!AY:AY),0)</f>
        <v>37143.919999999998</v>
      </c>
      <c r="AH36" s="289">
        <f>IFERROR(_xlfn.XLOOKUP($A36,CFR20242025_BenchMarkDataReport!$B:$B,CFR20242025_BenchMarkDataReport!AZ:AZ),0)</f>
        <v>4961.8500000000004</v>
      </c>
      <c r="AI36" s="289">
        <f>IFERROR(_xlfn.XLOOKUP($A36,CFR20242025_BenchMarkDataReport!$B:$B,CFR20242025_BenchMarkDataReport!BA:BA),0)</f>
        <v>4454.62</v>
      </c>
      <c r="AJ36" s="289">
        <f>IFERROR(_xlfn.XLOOKUP($A36,CFR20242025_BenchMarkDataReport!$B:$B,CFR20242025_BenchMarkDataReport!BB:BB),0)</f>
        <v>7446.96</v>
      </c>
      <c r="AK36" s="289">
        <f>IFERROR(_xlfn.XLOOKUP($A36,CFR20242025_BenchMarkDataReport!$B:$B,CFR20242025_BenchMarkDataReport!BC:BC),0)</f>
        <v>60728.56</v>
      </c>
      <c r="AL36" s="289">
        <f>IFERROR(_xlfn.XLOOKUP($A36,CFR20242025_BenchMarkDataReport!$B:$B,CFR20242025_BenchMarkDataReport!BD:BD),0)</f>
        <v>30600</v>
      </c>
      <c r="AM36" s="289">
        <f>IFERROR(_xlfn.XLOOKUP($A36,CFR20242025_BenchMarkDataReport!$B:$B,CFR20242025_BenchMarkDataReport!BE:BE),0)</f>
        <v>32737.17</v>
      </c>
      <c r="AN36" s="289">
        <f>IFERROR(_xlfn.XLOOKUP($A36,CFR20242025_BenchMarkDataReport!$B:$B,CFR20242025_BenchMarkDataReport!BF:BF),0)</f>
        <v>89102.91</v>
      </c>
      <c r="AO36" s="289">
        <f>IFERROR(_xlfn.XLOOKUP($A36,CFR20242025_BenchMarkDataReport!$B:$B,CFR20242025_BenchMarkDataReport!BN:BN),0)</f>
        <v>26083.46</v>
      </c>
      <c r="AP36" s="289">
        <f>IFERROR(_xlfn.XLOOKUP($A36,CFR20242025_BenchMarkDataReport!$B:$B,CFR20242025_BenchMarkDataReport!BO:BO),0)</f>
        <v>0</v>
      </c>
      <c r="AQ36" s="289">
        <f>IFERROR(_xlfn.XLOOKUP($A36,CFR20242025_BenchMarkDataReport!$B:$B,CFR20242025_BenchMarkDataReport!BP:BP),0)</f>
        <v>19497</v>
      </c>
      <c r="AR36" s="289">
        <f>IFERROR(_xlfn.XLOOKUP($A36,CFR20242025_BenchMarkDataReport!$B:$B,CFR20242025_BenchMarkDataReport!BQ:BQ),0)</f>
        <v>10525</v>
      </c>
      <c r="AS36" s="289">
        <f>IFERROR(_xlfn.XLOOKUP($A36,CFR20242025_BenchMarkDataReport!$B:$B,CFR20242025_BenchMarkDataReport!BR:BR),0)</f>
        <v>17562.98</v>
      </c>
      <c r="AT36" s="289">
        <f>IFERROR(_xlfn.XLOOKUP($A36,CFR20242025_BenchMarkDataReport!$B:$B,CFR20242025_BenchMarkDataReport!BS:BS),0)</f>
        <v>107347.43</v>
      </c>
      <c r="AU36" s="289">
        <f>IFERROR(_xlfn.XLOOKUP($A36,CFR20242025_BenchMarkDataReport!$B:$B,CFR20242025_BenchMarkDataReport!BT:BT),0)</f>
        <v>66104.600000000006</v>
      </c>
      <c r="AV36" s="289">
        <f>IFERROR(_xlfn.XLOOKUP($A36,CFR20242025_BenchMarkDataReport!$B:$B,CFR20242025_BenchMarkDataReport!BU:BU),0)</f>
        <v>181202.69</v>
      </c>
      <c r="AW36" s="289">
        <f>IFERROR(_xlfn.XLOOKUP($A36,CFR20242025_BenchMarkDataReport!$B:$B,CFR20242025_BenchMarkDataReport!BV:BV),0)</f>
        <v>47364.75</v>
      </c>
      <c r="AX36" s="289">
        <f>IFERROR(_xlfn.XLOOKUP($A36,CFR20242025_BenchMarkDataReport!$B:$B,CFR20242025_BenchMarkDataReport!BW:BW),0)</f>
        <v>0</v>
      </c>
      <c r="AY36" s="289">
        <f>IFERROR(_xlfn.XLOOKUP($A36,CFR20242025_BenchMarkDataReport!$B:$B,CFR20242025_BenchMarkDataReport!BX:BX),0)</f>
        <v>0</v>
      </c>
      <c r="AZ36" s="289">
        <f>IFERROR(_xlfn.XLOOKUP($A36,CFR20242025_BenchMarkDataReport!$B:$B,CFR20242025_BenchMarkDataReport!BY:BY),0)</f>
        <v>0</v>
      </c>
      <c r="BA36" s="289">
        <f>IFERROR(_xlfn.XLOOKUP($A36,CFR20242025_BenchMarkDataReport!$B:$B,CFR20242025_BenchMarkDataReport!BZ:BZ),0)</f>
        <v>0</v>
      </c>
      <c r="BB36" s="289">
        <f>IFERROR(_xlfn.XLOOKUP($A36,CFR20242025_BenchMarkDataReport!$B:$B,CFR20242025_BenchMarkDataReport!CA:CA),0)</f>
        <v>0</v>
      </c>
      <c r="BC36" s="290">
        <f t="shared" si="33"/>
        <v>3562710.3</v>
      </c>
      <c r="BD36" s="291">
        <f t="shared" si="101"/>
        <v>3601341.3900000011</v>
      </c>
      <c r="BE36" s="327">
        <f t="shared" si="102"/>
        <v>-38631.090000001248</v>
      </c>
      <c r="BF36" s="289">
        <f>IFERROR(_xlfn.XLOOKUP(A36,CFR20242025_BenchMarkDataReport!B:B,CFR20242025_BenchMarkDataReport!Q:Q),0)</f>
        <v>-212619.91</v>
      </c>
      <c r="BG36" s="290">
        <f t="shared" si="0"/>
        <v>-251251.00000000125</v>
      </c>
      <c r="BH36" s="292">
        <f>_xlfn.XLOOKUP(A36,'Pupil on roll 24-25'!E:E,'Pupil on roll 24-25'!I:I)</f>
        <v>421</v>
      </c>
      <c r="BI36" s="291">
        <f t="shared" si="1"/>
        <v>3047995.97</v>
      </c>
      <c r="BJ36" t="s">
        <v>190</v>
      </c>
      <c r="BK36" s="293">
        <f t="shared" si="34"/>
        <v>0.79607831992401978</v>
      </c>
      <c r="BL36" s="294">
        <f t="shared" si="35"/>
        <v>6736.8086223277915</v>
      </c>
      <c r="BM36" s="295">
        <f t="shared" si="36"/>
        <v>0</v>
      </c>
      <c r="BN36" s="296">
        <f t="shared" si="37"/>
        <v>0</v>
      </c>
      <c r="BO36" s="293">
        <f t="shared" si="38"/>
        <v>5.9448993088211527E-2</v>
      </c>
      <c r="BP36" s="294">
        <f t="shared" si="39"/>
        <v>503.08679334916866</v>
      </c>
      <c r="BQ36" s="295">
        <f t="shared" si="40"/>
        <v>0</v>
      </c>
      <c r="BR36" s="296">
        <f t="shared" si="41"/>
        <v>0</v>
      </c>
      <c r="BS36" s="293">
        <f t="shared" si="42"/>
        <v>7.2675008125134402E-2</v>
      </c>
      <c r="BT36" s="294">
        <f t="shared" si="43"/>
        <v>615.01187648456062</v>
      </c>
      <c r="BU36" s="295">
        <f t="shared" si="44"/>
        <v>1.3386522053168341E-3</v>
      </c>
      <c r="BV36" s="296">
        <f t="shared" si="45"/>
        <v>11.328337292161519</v>
      </c>
      <c r="BW36" s="293">
        <f t="shared" si="46"/>
        <v>1.890451772068024E-2</v>
      </c>
      <c r="BX36" s="294">
        <f t="shared" si="47"/>
        <v>159.97938242280287</v>
      </c>
      <c r="BY36" s="295">
        <f t="shared" si="48"/>
        <v>1.1860857729577396E-2</v>
      </c>
      <c r="BZ36" s="297">
        <f t="shared" si="49"/>
        <v>100.37244655581948</v>
      </c>
      <c r="CA36" s="298">
        <f t="shared" si="50"/>
        <v>1.029354814507371E-2</v>
      </c>
      <c r="CB36" s="299">
        <f t="shared" si="51"/>
        <v>87.109097387173392</v>
      </c>
      <c r="CC36" s="295">
        <f t="shared" si="52"/>
        <v>5.9695002425541035E-4</v>
      </c>
      <c r="CD36" s="296">
        <f t="shared" si="53"/>
        <v>5.0516864608076011</v>
      </c>
      <c r="CE36" s="300">
        <f t="shared" si="54"/>
        <v>0.494238655440217</v>
      </c>
      <c r="CF36" s="298">
        <f t="shared" si="55"/>
        <v>0.42283466887554688</v>
      </c>
      <c r="CG36" s="298">
        <f t="shared" si="56"/>
        <v>0.41829897998090088</v>
      </c>
      <c r="CH36" s="299">
        <f t="shared" si="57"/>
        <v>3578.2361757719718</v>
      </c>
      <c r="CI36" s="295">
        <f t="shared" si="58"/>
        <v>0.28889096267407466</v>
      </c>
      <c r="CJ36" s="301">
        <f t="shared" si="59"/>
        <v>0.24715410905006788</v>
      </c>
      <c r="CK36" s="301">
        <f t="shared" si="60"/>
        <v>0.24450292117404612</v>
      </c>
      <c r="CL36" s="302">
        <f t="shared" si="61"/>
        <v>2091.5403562945367</v>
      </c>
      <c r="CM36" s="300">
        <f t="shared" si="62"/>
        <v>4.4214946911494767E-2</v>
      </c>
      <c r="CN36" s="298">
        <f t="shared" si="63"/>
        <v>3.7827094726169574E-2</v>
      </c>
      <c r="CO36" s="298">
        <f t="shared" si="64"/>
        <v>3.7421328723295511E-2</v>
      </c>
      <c r="CP36" s="299">
        <f t="shared" si="65"/>
        <v>320.11159144893116</v>
      </c>
      <c r="CQ36" s="295">
        <f t="shared" si="66"/>
        <v>2.5077362553074502E-2</v>
      </c>
      <c r="CR36" s="301">
        <f t="shared" si="67"/>
        <v>2.1454368602465378E-2</v>
      </c>
      <c r="CS36" s="301">
        <f t="shared" si="68"/>
        <v>2.1224230563712254E-2</v>
      </c>
      <c r="CT36" s="296">
        <f t="shared" si="69"/>
        <v>181.55748218527316</v>
      </c>
      <c r="CU36" s="300">
        <f t="shared" si="70"/>
        <v>0.93296132212405791</v>
      </c>
      <c r="CV36" s="298">
        <f t="shared" si="71"/>
        <v>0.79817389306113407</v>
      </c>
      <c r="CW36" s="298">
        <f t="shared" si="72"/>
        <v>0.7896119923248931</v>
      </c>
      <c r="CX36" s="299">
        <f t="shared" si="73"/>
        <v>6754.542399049883</v>
      </c>
      <c r="CY36" s="295">
        <f t="shared" si="74"/>
        <v>1.2186341571836132E-2</v>
      </c>
      <c r="CZ36" s="301">
        <f t="shared" si="75"/>
        <v>1.0313912505806617E-2</v>
      </c>
      <c r="DA36" s="296">
        <f t="shared" si="76"/>
        <v>88.227838479809975</v>
      </c>
      <c r="DB36" s="300">
        <f t="shared" si="77"/>
        <v>2.0678295094928496E-3</v>
      </c>
      <c r="DC36" s="299">
        <f t="shared" si="78"/>
        <v>17.68874109263658</v>
      </c>
      <c r="DD36" s="295">
        <f t="shared" si="79"/>
        <v>1.9924094584678861E-2</v>
      </c>
      <c r="DE36" s="301">
        <f t="shared" si="80"/>
        <v>1.6862761239083746E-2</v>
      </c>
      <c r="DF36" s="296">
        <f t="shared" si="81"/>
        <v>144.24836104513062</v>
      </c>
      <c r="DG36" s="300">
        <f t="shared" si="82"/>
        <v>1.0740555539514049E-2</v>
      </c>
      <c r="DH36" s="298">
        <f t="shared" si="83"/>
        <v>9.0902712225235573E-3</v>
      </c>
      <c r="DI36" s="303">
        <f t="shared" si="84"/>
        <v>77.760498812351543</v>
      </c>
      <c r="DJ36" s="295">
        <f t="shared" si="85"/>
        <v>2.9233276840585846E-2</v>
      </c>
      <c r="DK36" s="301">
        <f t="shared" si="86"/>
        <v>2.5009866785969101E-2</v>
      </c>
      <c r="DL36" s="301">
        <f t="shared" si="87"/>
        <v>2.4741589410938899E-2</v>
      </c>
      <c r="DM36" s="296">
        <f t="shared" si="88"/>
        <v>211.64586698337294</v>
      </c>
      <c r="DN36" s="300">
        <f t="shared" si="89"/>
        <v>6.3966620008359129E-3</v>
      </c>
      <c r="DO36" s="298">
        <f t="shared" si="90"/>
        <v>5.413816100339211E-3</v>
      </c>
      <c r="DP36" s="299">
        <f t="shared" si="91"/>
        <v>46.311163895486935</v>
      </c>
      <c r="DQ36" s="295">
        <f t="shared" si="92"/>
        <v>5.9449780046789233E-2</v>
      </c>
      <c r="DR36" s="301">
        <f t="shared" si="93"/>
        <v>5.0315332643318202E-2</v>
      </c>
      <c r="DS36" s="296">
        <f t="shared" si="94"/>
        <v>430.41019002375299</v>
      </c>
      <c r="DT36" s="300">
        <f t="shared" si="95"/>
        <v>2.9807623986461324E-2</v>
      </c>
      <c r="DU36" s="299">
        <f t="shared" si="96"/>
        <v>254.98201900237527</v>
      </c>
      <c r="DV36" s="295">
        <f t="shared" si="25"/>
        <v>1.2369335526949304E-3</v>
      </c>
      <c r="DW36" s="296">
        <f t="shared" si="97"/>
        <v>10.58104513064133</v>
      </c>
      <c r="DX36" s="295">
        <f t="shared" si="103"/>
        <v>5.5118183112295912E-5</v>
      </c>
      <c r="DY36" s="301">
        <f t="shared" si="98"/>
        <v>4.7155111096178662E-5</v>
      </c>
      <c r="DZ36" s="301">
        <f t="shared" si="99"/>
        <v>4.6649284754423112E-5</v>
      </c>
      <c r="EA36" s="296">
        <f t="shared" si="100"/>
        <v>0.39904988123515439</v>
      </c>
      <c r="EB36" s="304">
        <f>IFERROR(_xlfn.XLOOKUP(A36,'Pupil on roll 24-25'!E:E,'Pupil on roll 24-25'!R:R),0)</f>
        <v>168</v>
      </c>
      <c r="EC36" s="289">
        <f>IFERROR(_xlfn.XLOOKUP(A36,CFR20242025_BenchMarkDataReport!B:B,CFR20242025_BenchMarkDataReport!AK:AK),0)</f>
        <v>16088.75</v>
      </c>
      <c r="ED36" s="289">
        <f>IFERROR(_xlfn.XLOOKUP(A36,CFR20242025_BenchMarkDataReport!B:B,CFR20242025_BenchMarkDataReport!AL:AL),0)</f>
        <v>78733</v>
      </c>
    </row>
    <row r="37" spans="1:134">
      <c r="A37" s="208">
        <v>3516</v>
      </c>
      <c r="B37" s="326">
        <v>10121</v>
      </c>
      <c r="C37" s="208" t="s">
        <v>68</v>
      </c>
      <c r="D37" s="289">
        <f>IFERROR(_xlfn.XLOOKUP($A37,CFR20242025_BenchMarkDataReport!$B:$B,CFR20242025_BenchMarkDataReport!T:T),0)</f>
        <v>1217594.83</v>
      </c>
      <c r="E37" s="289">
        <f>IFERROR(_xlfn.XLOOKUP($A37,CFR20242025_BenchMarkDataReport!$B:$B,CFR20242025_BenchMarkDataReport!U:U),0)</f>
        <v>0</v>
      </c>
      <c r="F37" s="289">
        <f>IFERROR(_xlfn.XLOOKUP($A37,CFR20242025_BenchMarkDataReport!$B:$B,CFR20242025_BenchMarkDataReport!V:V),0)</f>
        <v>213469.6</v>
      </c>
      <c r="G37" s="289">
        <f>IFERROR(_xlfn.XLOOKUP($A37,CFR20242025_BenchMarkDataReport!$B:$B,CFR20242025_BenchMarkDataReport!W:W),0)</f>
        <v>0</v>
      </c>
      <c r="H37" s="289">
        <f>IFERROR(_xlfn.XLOOKUP($A37,CFR20242025_BenchMarkDataReport!$B:$B,CFR20242025_BenchMarkDataReport!X:X),0)</f>
        <v>53187</v>
      </c>
      <c r="I37" s="289">
        <f>IFERROR(_xlfn.XLOOKUP($A37,CFR20242025_BenchMarkDataReport!$B:$B,CFR20242025_BenchMarkDataReport!Y:Y),0)</f>
        <v>58820.31</v>
      </c>
      <c r="J37" s="289">
        <f>IFERROR(_xlfn.XLOOKUP($A37,CFR20242025_BenchMarkDataReport!$B:$B,CFR20242025_BenchMarkDataReport!Z:Z),0)</f>
        <v>80007.72</v>
      </c>
      <c r="K37" s="289">
        <f>IFERROR(_xlfn.XLOOKUP($A37,CFR20242025_BenchMarkDataReport!$B:$B,CFR20242025_BenchMarkDataReport!AA:AA),0)</f>
        <v>0</v>
      </c>
      <c r="L37" s="289">
        <f>IFERROR(_xlfn.XLOOKUP($A37,CFR20242025_BenchMarkDataReport!$B:$B,CFR20242025_BenchMarkDataReport!AB:AB),0)</f>
        <v>8861.91</v>
      </c>
      <c r="M37" s="289">
        <f>IFERROR(_xlfn.XLOOKUP($A37,CFR20242025_BenchMarkDataReport!$B:$B,CFR20242025_BenchMarkDataReport!AC:AC),0)</f>
        <v>13948.28</v>
      </c>
      <c r="N37" s="289">
        <f>IFERROR(_xlfn.XLOOKUP($A37,CFR20242025_BenchMarkDataReport!$B:$B,CFR20242025_BenchMarkDataReport!AD:AD),0)</f>
        <v>0</v>
      </c>
      <c r="O37" s="289">
        <f>IFERROR(_xlfn.XLOOKUP($A37,CFR20242025_BenchMarkDataReport!$B:$B,CFR20242025_BenchMarkDataReport!AE:AE),0)</f>
        <v>0</v>
      </c>
      <c r="P37" s="289">
        <f>IFERROR(_xlfn.XLOOKUP($A37,CFR20242025_BenchMarkDataReport!$B:$B,CFR20242025_BenchMarkDataReport!AF:AF),0)</f>
        <v>12772.15</v>
      </c>
      <c r="Q37" s="289">
        <f>IFERROR(_xlfn.XLOOKUP($A37,CFR20242025_BenchMarkDataReport!$B:$B,CFR20242025_BenchMarkDataReport!AG:AG),0)</f>
        <v>139769</v>
      </c>
      <c r="R37" s="289">
        <f>IFERROR(_xlfn.XLOOKUP($A37,CFR20242025_BenchMarkDataReport!$B:$B,CFR20242025_BenchMarkDataReport!AH:AH),0)</f>
        <v>0</v>
      </c>
      <c r="S37" s="289">
        <f>IFERROR(_xlfn.XLOOKUP($A37,CFR20242025_BenchMarkDataReport!$B:$B,CFR20242025_BenchMarkDataReport!AI:AI),0)</f>
        <v>0</v>
      </c>
      <c r="T37" s="289">
        <f>IFERROR(_xlfn.XLOOKUP($A37,CFR20242025_BenchMarkDataReport!$B:$B,CFR20242025_BenchMarkDataReport!AJ:AJ),0)</f>
        <v>0</v>
      </c>
      <c r="U37" s="289">
        <f>INDEX(CFR20242025_BenchMarkDataReport!$B$3:$AM$87,MATCH(A37,CFR20242025_BenchMarkDataReport!$B$3:$B$87),MATCH($U$2,CFR20242025_BenchMarkDataReport!$B$3:$AM$3,0))</f>
        <v>42376.63</v>
      </c>
      <c r="V37" s="289">
        <f>IFERROR(_xlfn.XLOOKUP($A37,CFR20242025_BenchMarkDataReport!$B:$B,CFR20242025_BenchMarkDataReport!AN:AN),0)</f>
        <v>981782.87</v>
      </c>
      <c r="W37" s="289">
        <f>IFERROR(_xlfn.XLOOKUP($A37,CFR20242025_BenchMarkDataReport!$B:$B,CFR20242025_BenchMarkDataReport!AO:AO),0)</f>
        <v>0</v>
      </c>
      <c r="X37" s="289">
        <f>IFERROR(_xlfn.XLOOKUP($A37,CFR20242025_BenchMarkDataReport!$B:$B,CFR20242025_BenchMarkDataReport!AP:AP),0)</f>
        <v>335793.63</v>
      </c>
      <c r="Y37" s="289">
        <f>IFERROR(_xlfn.XLOOKUP($A37,CFR20242025_BenchMarkDataReport!$B:$B,CFR20242025_BenchMarkDataReport!AQ:AQ),0)</f>
        <v>71335.73</v>
      </c>
      <c r="Z37" s="289">
        <f>IFERROR(_xlfn.XLOOKUP($A37,CFR20242025_BenchMarkDataReport!$B:$B,CFR20242025_BenchMarkDataReport!AR:AR),0)</f>
        <v>153673.15</v>
      </c>
      <c r="AA37" s="289">
        <f>IFERROR(_xlfn.XLOOKUP($A37,CFR20242025_BenchMarkDataReport!$B:$B,CFR20242025_BenchMarkDataReport!AS:AS),0)</f>
        <v>0</v>
      </c>
      <c r="AB37" s="289">
        <f>IFERROR(_xlfn.XLOOKUP($A37,CFR20242025_BenchMarkDataReport!$B:$B,CFR20242025_BenchMarkDataReport!AT:AT),0)</f>
        <v>27964.23</v>
      </c>
      <c r="AC37" s="289">
        <f>IFERROR(_xlfn.XLOOKUP($A37,CFR20242025_BenchMarkDataReport!$B:$B,CFR20242025_BenchMarkDataReport!AU:AU),0)</f>
        <v>303.2</v>
      </c>
      <c r="AD37" s="289">
        <f>IFERROR(_xlfn.XLOOKUP($A37,CFR20242025_BenchMarkDataReport!$B:$B,CFR20242025_BenchMarkDataReport!AV:AV),0)</f>
        <v>2958.5</v>
      </c>
      <c r="AE37" s="289">
        <f>IFERROR(_xlfn.XLOOKUP($A37,CFR20242025_BenchMarkDataReport!$B:$B,CFR20242025_BenchMarkDataReport!AW:AW),0)</f>
        <v>8189</v>
      </c>
      <c r="AF37" s="289">
        <f>IFERROR(_xlfn.XLOOKUP($A37,CFR20242025_BenchMarkDataReport!$B:$B,CFR20242025_BenchMarkDataReport!AX:AX),0)</f>
        <v>768.75</v>
      </c>
      <c r="AG37" s="289">
        <f>IFERROR(_xlfn.XLOOKUP($A37,CFR20242025_BenchMarkDataReport!$B:$B,CFR20242025_BenchMarkDataReport!AY:AY),0)</f>
        <v>16478.68</v>
      </c>
      <c r="AH37" s="289">
        <f>IFERROR(_xlfn.XLOOKUP($A37,CFR20242025_BenchMarkDataReport!$B:$B,CFR20242025_BenchMarkDataReport!AZ:AZ),0)</f>
        <v>675.58</v>
      </c>
      <c r="AI37" s="289">
        <f>IFERROR(_xlfn.XLOOKUP($A37,CFR20242025_BenchMarkDataReport!$B:$B,CFR20242025_BenchMarkDataReport!BA:BA),0)</f>
        <v>1300.5899999999999</v>
      </c>
      <c r="AJ37" s="289">
        <f>IFERROR(_xlfn.XLOOKUP($A37,CFR20242025_BenchMarkDataReport!$B:$B,CFR20242025_BenchMarkDataReport!BB:BB),0)</f>
        <v>5041.8599999999997</v>
      </c>
      <c r="AK37" s="289">
        <f>IFERROR(_xlfn.XLOOKUP($A37,CFR20242025_BenchMarkDataReport!$B:$B,CFR20242025_BenchMarkDataReport!BC:BC),0)</f>
        <v>25478.53</v>
      </c>
      <c r="AL37" s="289">
        <f>IFERROR(_xlfn.XLOOKUP($A37,CFR20242025_BenchMarkDataReport!$B:$B,CFR20242025_BenchMarkDataReport!BD:BD),0)</f>
        <v>19998</v>
      </c>
      <c r="AM37" s="289">
        <f>IFERROR(_xlfn.XLOOKUP($A37,CFR20242025_BenchMarkDataReport!$B:$B,CFR20242025_BenchMarkDataReport!BE:BE),0)</f>
        <v>63936.34</v>
      </c>
      <c r="AN37" s="289">
        <f>IFERROR(_xlfn.XLOOKUP($A37,CFR20242025_BenchMarkDataReport!$B:$B,CFR20242025_BenchMarkDataReport!BF:BF),0)</f>
        <v>51733.88</v>
      </c>
      <c r="AO37" s="289">
        <f>IFERROR(_xlfn.XLOOKUP($A37,CFR20242025_BenchMarkDataReport!$B:$B,CFR20242025_BenchMarkDataReport!BN:BN),0)</f>
        <v>19379.52</v>
      </c>
      <c r="AP37" s="289">
        <f>IFERROR(_xlfn.XLOOKUP($A37,CFR20242025_BenchMarkDataReport!$B:$B,CFR20242025_BenchMarkDataReport!BO:BO),0)</f>
        <v>0</v>
      </c>
      <c r="AQ37" s="289">
        <f>IFERROR(_xlfn.XLOOKUP($A37,CFR20242025_BenchMarkDataReport!$B:$B,CFR20242025_BenchMarkDataReport!BP:BP),0)</f>
        <v>5751.6</v>
      </c>
      <c r="AR37" s="289">
        <f>IFERROR(_xlfn.XLOOKUP($A37,CFR20242025_BenchMarkDataReport!$B:$B,CFR20242025_BenchMarkDataReport!BQ:BQ),0)</f>
        <v>7958.25</v>
      </c>
      <c r="AS37" s="289">
        <f>IFERROR(_xlfn.XLOOKUP($A37,CFR20242025_BenchMarkDataReport!$B:$B,CFR20242025_BenchMarkDataReport!BR:BR),0)</f>
        <v>480.23</v>
      </c>
      <c r="AT37" s="289">
        <f>IFERROR(_xlfn.XLOOKUP($A37,CFR20242025_BenchMarkDataReport!$B:$B,CFR20242025_BenchMarkDataReport!BS:BS),0)</f>
        <v>60111.45</v>
      </c>
      <c r="AU37" s="289">
        <f>IFERROR(_xlfn.XLOOKUP($A37,CFR20242025_BenchMarkDataReport!$B:$B,CFR20242025_BenchMarkDataReport!BT:BT),0)</f>
        <v>3915.32</v>
      </c>
      <c r="AV37" s="289">
        <f>IFERROR(_xlfn.XLOOKUP($A37,CFR20242025_BenchMarkDataReport!$B:$B,CFR20242025_BenchMarkDataReport!BU:BU),0)</f>
        <v>23532.46</v>
      </c>
      <c r="AW37" s="289">
        <f>IFERROR(_xlfn.XLOOKUP($A37,CFR20242025_BenchMarkDataReport!$B:$B,CFR20242025_BenchMarkDataReport!BV:BV),0)</f>
        <v>12037.47</v>
      </c>
      <c r="AX37" s="289">
        <f>IFERROR(_xlfn.XLOOKUP($A37,CFR20242025_BenchMarkDataReport!$B:$B,CFR20242025_BenchMarkDataReport!BW:BW),0)</f>
        <v>0</v>
      </c>
      <c r="AY37" s="289">
        <f>IFERROR(_xlfn.XLOOKUP($A37,CFR20242025_BenchMarkDataReport!$B:$B,CFR20242025_BenchMarkDataReport!BX:BX),0)</f>
        <v>0</v>
      </c>
      <c r="AZ37" s="289">
        <f>IFERROR(_xlfn.XLOOKUP($A37,CFR20242025_BenchMarkDataReport!$B:$B,CFR20242025_BenchMarkDataReport!BY:BY),0)</f>
        <v>0</v>
      </c>
      <c r="BA37" s="289">
        <f>IFERROR(_xlfn.XLOOKUP($A37,CFR20242025_BenchMarkDataReport!$B:$B,CFR20242025_BenchMarkDataReport!BZ:BZ),0)</f>
        <v>0</v>
      </c>
      <c r="BB37" s="289">
        <f>IFERROR(_xlfn.XLOOKUP($A37,CFR20242025_BenchMarkDataReport!$B:$B,CFR20242025_BenchMarkDataReport!CA:CA),0)</f>
        <v>0</v>
      </c>
      <c r="BC37" s="290">
        <f t="shared" si="33"/>
        <v>1840807.43</v>
      </c>
      <c r="BD37" s="291">
        <f t="shared" ref="BD37:BD65" si="104">SUM(V37:AZ37)</f>
        <v>1900578.82</v>
      </c>
      <c r="BE37" s="327">
        <f t="shared" ref="BE37:BE65" si="105">BC37-BD37</f>
        <v>-59771.39000000013</v>
      </c>
      <c r="BF37" s="289">
        <f>IFERROR(_xlfn.XLOOKUP(A37,CFR20242025_BenchMarkDataReport!B:B,CFR20242025_BenchMarkDataReport!Q:Q),0)</f>
        <v>-19448.61</v>
      </c>
      <c r="BG37" s="290">
        <f t="shared" si="0"/>
        <v>-79220.000000000131</v>
      </c>
      <c r="BH37" s="292">
        <f>_xlfn.XLOOKUP(A37,'Pupil on roll 24-25'!E:E,'Pupil on roll 24-25'!I:I)</f>
        <v>194</v>
      </c>
      <c r="BI37" s="291">
        <f t="shared" si="1"/>
        <v>1431064.4300000002</v>
      </c>
      <c r="BJ37" t="s">
        <v>190</v>
      </c>
      <c r="BK37" s="293">
        <f t="shared" si="34"/>
        <v>0.66144606445879028</v>
      </c>
      <c r="BL37" s="294">
        <f t="shared" si="35"/>
        <v>6276.2620103092786</v>
      </c>
      <c r="BM37" s="295">
        <f t="shared" si="36"/>
        <v>0</v>
      </c>
      <c r="BN37" s="296">
        <f t="shared" si="37"/>
        <v>0</v>
      </c>
      <c r="BO37" s="293">
        <f t="shared" si="38"/>
        <v>0.11596519903225294</v>
      </c>
      <c r="BP37" s="294">
        <f t="shared" si="39"/>
        <v>1100.358762886598</v>
      </c>
      <c r="BQ37" s="295">
        <f t="shared" si="40"/>
        <v>0</v>
      </c>
      <c r="BR37" s="296">
        <f t="shared" si="41"/>
        <v>0</v>
      </c>
      <c r="BS37" s="293">
        <f t="shared" si="42"/>
        <v>2.8893299284434116E-2</v>
      </c>
      <c r="BT37" s="294">
        <f t="shared" si="43"/>
        <v>274.15979381443299</v>
      </c>
      <c r="BU37" s="295">
        <f t="shared" si="44"/>
        <v>3.1953537910263646E-2</v>
      </c>
      <c r="BV37" s="296">
        <f t="shared" si="45"/>
        <v>303.1974742268041</v>
      </c>
      <c r="BW37" s="293">
        <f t="shared" si="46"/>
        <v>4.3463383891274278E-2</v>
      </c>
      <c r="BX37" s="294">
        <f t="shared" si="47"/>
        <v>412.41092783505155</v>
      </c>
      <c r="BY37" s="295">
        <f t="shared" si="48"/>
        <v>4.8141428894601978E-3</v>
      </c>
      <c r="BZ37" s="297">
        <f t="shared" si="49"/>
        <v>45.679948453608247</v>
      </c>
      <c r="CA37" s="298">
        <f t="shared" si="50"/>
        <v>6.9383411821626554E-3</v>
      </c>
      <c r="CB37" s="299">
        <f t="shared" si="51"/>
        <v>65.835824742268045</v>
      </c>
      <c r="CC37" s="295">
        <f t="shared" si="52"/>
        <v>7.5928094227650969E-2</v>
      </c>
      <c r="CD37" s="296">
        <f t="shared" si="53"/>
        <v>720.45876288659792</v>
      </c>
      <c r="CE37" s="300">
        <f t="shared" si="54"/>
        <v>0.6887867305876646</v>
      </c>
      <c r="CF37" s="298">
        <f t="shared" si="55"/>
        <v>0.53547056250202119</v>
      </c>
      <c r="CG37" s="298">
        <f t="shared" si="56"/>
        <v>0.51863052435783741</v>
      </c>
      <c r="CH37" s="299">
        <f t="shared" si="57"/>
        <v>5080.9185051546392</v>
      </c>
      <c r="CI37" s="295">
        <f t="shared" si="58"/>
        <v>0.23464605992617674</v>
      </c>
      <c r="CJ37" s="301">
        <f t="shared" si="59"/>
        <v>0.18241648992040413</v>
      </c>
      <c r="CK37" s="301">
        <f t="shared" si="60"/>
        <v>0.17667966540845698</v>
      </c>
      <c r="CL37" s="302">
        <f t="shared" si="61"/>
        <v>1730.895</v>
      </c>
      <c r="CM37" s="300">
        <f t="shared" si="62"/>
        <v>4.9848021168410979E-2</v>
      </c>
      <c r="CN37" s="298">
        <f t="shared" si="63"/>
        <v>3.8752413119062648E-2</v>
      </c>
      <c r="CO37" s="298">
        <f t="shared" si="64"/>
        <v>3.7533686711293562E-2</v>
      </c>
      <c r="CP37" s="299">
        <f t="shared" si="65"/>
        <v>367.70994845360821</v>
      </c>
      <c r="CQ37" s="295">
        <f t="shared" si="66"/>
        <v>0.10738380940682034</v>
      </c>
      <c r="CR37" s="301">
        <f t="shared" si="67"/>
        <v>8.3481382949437577E-2</v>
      </c>
      <c r="CS37" s="301">
        <f t="shared" si="68"/>
        <v>8.0855973129280681E-2</v>
      </c>
      <c r="CT37" s="296">
        <f t="shared" si="69"/>
        <v>792.12963917525769</v>
      </c>
      <c r="CU37" s="300">
        <f t="shared" si="70"/>
        <v>1.0974695318225467</v>
      </c>
      <c r="CV37" s="298">
        <f t="shared" si="71"/>
        <v>0.85318517537708982</v>
      </c>
      <c r="CW37" s="298">
        <f t="shared" si="72"/>
        <v>0.82635331588089556</v>
      </c>
      <c r="CX37" s="299">
        <f t="shared" si="73"/>
        <v>8095.6165463917523</v>
      </c>
      <c r="CY37" s="295">
        <f t="shared" si="74"/>
        <v>1.1514981194801968E-2</v>
      </c>
      <c r="CZ37" s="301">
        <f t="shared" si="75"/>
        <v>8.6703481205793933E-3</v>
      </c>
      <c r="DA37" s="296">
        <f t="shared" si="76"/>
        <v>84.941649484536086</v>
      </c>
      <c r="DB37" s="300">
        <f t="shared" si="77"/>
        <v>2.6528023710166355E-3</v>
      </c>
      <c r="DC37" s="299">
        <f t="shared" si="78"/>
        <v>25.988969072164945</v>
      </c>
      <c r="DD37" s="295">
        <f t="shared" si="79"/>
        <v>1.7803901393873646E-2</v>
      </c>
      <c r="DE37" s="301">
        <f t="shared" si="80"/>
        <v>1.3405668700443582E-2</v>
      </c>
      <c r="DF37" s="296">
        <f t="shared" si="81"/>
        <v>131.33262886597939</v>
      </c>
      <c r="DG37" s="300">
        <f t="shared" si="82"/>
        <v>4.4677471300156618E-2</v>
      </c>
      <c r="DH37" s="298">
        <f t="shared" si="83"/>
        <v>3.3640456963526508E-2</v>
      </c>
      <c r="DI37" s="303">
        <f t="shared" si="84"/>
        <v>329.56876288659794</v>
      </c>
      <c r="DJ37" s="295">
        <f t="shared" si="85"/>
        <v>3.6150629500308375E-2</v>
      </c>
      <c r="DK37" s="301">
        <f t="shared" si="86"/>
        <v>2.8103906555831316E-2</v>
      </c>
      <c r="DL37" s="301">
        <f t="shared" si="87"/>
        <v>2.7220065516672439E-2</v>
      </c>
      <c r="DM37" s="296">
        <f t="shared" si="88"/>
        <v>266.66948453608245</v>
      </c>
      <c r="DN37" s="300">
        <f t="shared" si="89"/>
        <v>4.0191062536576354E-3</v>
      </c>
      <c r="DO37" s="298">
        <f t="shared" si="90"/>
        <v>3.0262359758381398E-3</v>
      </c>
      <c r="DP37" s="299">
        <f t="shared" si="91"/>
        <v>29.647422680412372</v>
      </c>
      <c r="DQ37" s="295">
        <f t="shared" si="92"/>
        <v>1.6444025514630391E-2</v>
      </c>
      <c r="DR37" s="301">
        <f t="shared" si="93"/>
        <v>1.2381733265868973E-2</v>
      </c>
      <c r="DS37" s="296">
        <f t="shared" si="94"/>
        <v>121.30134020618556</v>
      </c>
      <c r="DT37" s="300">
        <f t="shared" si="95"/>
        <v>3.1627970051776116E-2</v>
      </c>
      <c r="DU37" s="299">
        <f t="shared" si="96"/>
        <v>309.85283505154638</v>
      </c>
      <c r="DV37" s="295">
        <f t="shared" si="25"/>
        <v>6.8431258220587766E-4</v>
      </c>
      <c r="DW37" s="296">
        <f t="shared" si="97"/>
        <v>6.7040721649484531</v>
      </c>
      <c r="DX37" s="295">
        <f t="shared" si="103"/>
        <v>2.4457319507270538E-5</v>
      </c>
      <c r="DY37" s="301">
        <f t="shared" si="98"/>
        <v>1.901339565975133E-5</v>
      </c>
      <c r="DZ37" s="301">
        <f t="shared" si="99"/>
        <v>1.8415442512402615E-5</v>
      </c>
      <c r="EA37" s="296">
        <f t="shared" si="100"/>
        <v>0.18041237113402062</v>
      </c>
      <c r="EB37" s="304">
        <f>IFERROR(_xlfn.XLOOKUP(A37,'Pupil on roll 24-25'!E:E,'Pupil on roll 24-25'!R:R),0)</f>
        <v>35</v>
      </c>
      <c r="EC37" s="289">
        <f>IFERROR(_xlfn.XLOOKUP(A37,CFR20242025_BenchMarkDataReport!B:B,CFR20242025_BenchMarkDataReport!AK:AK),0)</f>
        <v>3445.63</v>
      </c>
      <c r="ED37" s="289">
        <f>IFERROR(_xlfn.XLOOKUP(A37,CFR20242025_BenchMarkDataReport!B:B,CFR20242025_BenchMarkDataReport!AL:AL),0)</f>
        <v>38931</v>
      </c>
    </row>
    <row r="38" spans="1:134">
      <c r="A38" s="208">
        <v>2031</v>
      </c>
      <c r="B38" s="326">
        <v>10071</v>
      </c>
      <c r="C38" s="208" t="s">
        <v>69</v>
      </c>
      <c r="D38" s="289">
        <f>IFERROR(_xlfn.XLOOKUP($A38,CFR20242025_BenchMarkDataReport!$B:$B,CFR20242025_BenchMarkDataReport!T:T),0)</f>
        <v>1361901.71</v>
      </c>
      <c r="E38" s="289">
        <f>IFERROR(_xlfn.XLOOKUP($A38,CFR20242025_BenchMarkDataReport!$B:$B,CFR20242025_BenchMarkDataReport!U:U),0)</f>
        <v>0</v>
      </c>
      <c r="F38" s="289">
        <f>IFERROR(_xlfn.XLOOKUP($A38,CFR20242025_BenchMarkDataReport!$B:$B,CFR20242025_BenchMarkDataReport!V:V),0)</f>
        <v>110746.79</v>
      </c>
      <c r="G38" s="289">
        <f>IFERROR(_xlfn.XLOOKUP($A38,CFR20242025_BenchMarkDataReport!$B:$B,CFR20242025_BenchMarkDataReport!W:W),0)</f>
        <v>0</v>
      </c>
      <c r="H38" s="289">
        <f>IFERROR(_xlfn.XLOOKUP($A38,CFR20242025_BenchMarkDataReport!$B:$B,CFR20242025_BenchMarkDataReport!X:X),0)</f>
        <v>120080</v>
      </c>
      <c r="I38" s="289">
        <f>IFERROR(_xlfn.XLOOKUP($A38,CFR20242025_BenchMarkDataReport!$B:$B,CFR20242025_BenchMarkDataReport!Y:Y),0)</f>
        <v>20436.97</v>
      </c>
      <c r="J38" s="289">
        <f>IFERROR(_xlfn.XLOOKUP($A38,CFR20242025_BenchMarkDataReport!$B:$B,CFR20242025_BenchMarkDataReport!Z:Z),0)</f>
        <v>33712.47</v>
      </c>
      <c r="K38" s="289">
        <f>IFERROR(_xlfn.XLOOKUP($A38,CFR20242025_BenchMarkDataReport!$B:$B,CFR20242025_BenchMarkDataReport!AA:AA),0)</f>
        <v>14707.93</v>
      </c>
      <c r="L38" s="289">
        <f>IFERROR(_xlfn.XLOOKUP($A38,CFR20242025_BenchMarkDataReport!$B:$B,CFR20242025_BenchMarkDataReport!AB:AB),0)</f>
        <v>12780.72</v>
      </c>
      <c r="M38" s="289">
        <f>IFERROR(_xlfn.XLOOKUP($A38,CFR20242025_BenchMarkDataReport!$B:$B,CFR20242025_BenchMarkDataReport!AC:AC),0)</f>
        <v>1060.94</v>
      </c>
      <c r="N38" s="289">
        <f>IFERROR(_xlfn.XLOOKUP($A38,CFR20242025_BenchMarkDataReport!$B:$B,CFR20242025_BenchMarkDataReport!AD:AD),0)</f>
        <v>0</v>
      </c>
      <c r="O38" s="289">
        <f>IFERROR(_xlfn.XLOOKUP($A38,CFR20242025_BenchMarkDataReport!$B:$B,CFR20242025_BenchMarkDataReport!AE:AE),0)</f>
        <v>0</v>
      </c>
      <c r="P38" s="289">
        <f>IFERROR(_xlfn.XLOOKUP($A38,CFR20242025_BenchMarkDataReport!$B:$B,CFR20242025_BenchMarkDataReport!AF:AF),0)</f>
        <v>22718.06</v>
      </c>
      <c r="Q38" s="289">
        <f>IFERROR(_xlfn.XLOOKUP($A38,CFR20242025_BenchMarkDataReport!$B:$B,CFR20242025_BenchMarkDataReport!AG:AG),0)</f>
        <v>3170.5</v>
      </c>
      <c r="R38" s="289">
        <f>IFERROR(_xlfn.XLOOKUP($A38,CFR20242025_BenchMarkDataReport!$B:$B,CFR20242025_BenchMarkDataReport!AH:AH),0)</f>
        <v>0</v>
      </c>
      <c r="S38" s="289">
        <f>IFERROR(_xlfn.XLOOKUP($A38,CFR20242025_BenchMarkDataReport!$B:$B,CFR20242025_BenchMarkDataReport!AI:AI),0)</f>
        <v>0</v>
      </c>
      <c r="T38" s="289">
        <f>IFERROR(_xlfn.XLOOKUP($A38,CFR20242025_BenchMarkDataReport!$B:$B,CFR20242025_BenchMarkDataReport!AJ:AJ),0)</f>
        <v>0</v>
      </c>
      <c r="U38" s="289">
        <f>INDEX(CFR20242025_BenchMarkDataReport!$B$3:$AM$87,MATCH(A38,CFR20242025_BenchMarkDataReport!$B$3:$B$87),MATCH($U$2,CFR20242025_BenchMarkDataReport!$B$3:$AM$3,0))</f>
        <v>40931.25</v>
      </c>
      <c r="V38" s="289">
        <f>IFERROR(_xlfn.XLOOKUP($A38,CFR20242025_BenchMarkDataReport!$B:$B,CFR20242025_BenchMarkDataReport!AN:AN),0)</f>
        <v>803739.73</v>
      </c>
      <c r="W38" s="289">
        <f>IFERROR(_xlfn.XLOOKUP($A38,CFR20242025_BenchMarkDataReport!$B:$B,CFR20242025_BenchMarkDataReport!AO:AO),0)</f>
        <v>0</v>
      </c>
      <c r="X38" s="289">
        <f>IFERROR(_xlfn.XLOOKUP($A38,CFR20242025_BenchMarkDataReport!$B:$B,CFR20242025_BenchMarkDataReport!AP:AP),0)</f>
        <v>509890.68</v>
      </c>
      <c r="Y38" s="289">
        <f>IFERROR(_xlfn.XLOOKUP($A38,CFR20242025_BenchMarkDataReport!$B:$B,CFR20242025_BenchMarkDataReport!AQ:AQ),0)</f>
        <v>41895.49</v>
      </c>
      <c r="Z38" s="289">
        <f>IFERROR(_xlfn.XLOOKUP($A38,CFR20242025_BenchMarkDataReport!$B:$B,CFR20242025_BenchMarkDataReport!AR:AR),0)</f>
        <v>87199.73</v>
      </c>
      <c r="AA38" s="289">
        <f>IFERROR(_xlfn.XLOOKUP($A38,CFR20242025_BenchMarkDataReport!$B:$B,CFR20242025_BenchMarkDataReport!AS:AS),0)</f>
        <v>0</v>
      </c>
      <c r="AB38" s="289">
        <f>IFERROR(_xlfn.XLOOKUP($A38,CFR20242025_BenchMarkDataReport!$B:$B,CFR20242025_BenchMarkDataReport!AT:AT),0)</f>
        <v>43655.040000000001</v>
      </c>
      <c r="AC38" s="289">
        <f>IFERROR(_xlfn.XLOOKUP($A38,CFR20242025_BenchMarkDataReport!$B:$B,CFR20242025_BenchMarkDataReport!AU:AU),0)</f>
        <v>2381.98</v>
      </c>
      <c r="AD38" s="289">
        <f>IFERROR(_xlfn.XLOOKUP($A38,CFR20242025_BenchMarkDataReport!$B:$B,CFR20242025_BenchMarkDataReport!AV:AV),0)</f>
        <v>5311.51</v>
      </c>
      <c r="AE38" s="289">
        <f>IFERROR(_xlfn.XLOOKUP($A38,CFR20242025_BenchMarkDataReport!$B:$B,CFR20242025_BenchMarkDataReport!AW:AW),0)</f>
        <v>315.39999999999998</v>
      </c>
      <c r="AF38" s="289">
        <f>IFERROR(_xlfn.XLOOKUP($A38,CFR20242025_BenchMarkDataReport!$B:$B,CFR20242025_BenchMarkDataReport!AX:AX),0)</f>
        <v>0</v>
      </c>
      <c r="AG38" s="289">
        <f>IFERROR(_xlfn.XLOOKUP($A38,CFR20242025_BenchMarkDataReport!$B:$B,CFR20242025_BenchMarkDataReport!AY:AY),0)</f>
        <v>12162.16</v>
      </c>
      <c r="AH38" s="289">
        <f>IFERROR(_xlfn.XLOOKUP($A38,CFR20242025_BenchMarkDataReport!$B:$B,CFR20242025_BenchMarkDataReport!AZ:AZ),0)</f>
        <v>4935.42</v>
      </c>
      <c r="AI38" s="289">
        <f>IFERROR(_xlfn.XLOOKUP($A38,CFR20242025_BenchMarkDataReport!$B:$B,CFR20242025_BenchMarkDataReport!BA:BA),0)</f>
        <v>24554.32</v>
      </c>
      <c r="AJ38" s="289">
        <f>IFERROR(_xlfn.XLOOKUP($A38,CFR20242025_BenchMarkDataReport!$B:$B,CFR20242025_BenchMarkDataReport!BB:BB),0)</f>
        <v>4100.1099999999997</v>
      </c>
      <c r="AK38" s="289">
        <f>IFERROR(_xlfn.XLOOKUP($A38,CFR20242025_BenchMarkDataReport!$B:$B,CFR20242025_BenchMarkDataReport!BC:BC),0)</f>
        <v>22329.26</v>
      </c>
      <c r="AL38" s="289">
        <f>IFERROR(_xlfn.XLOOKUP($A38,CFR20242025_BenchMarkDataReport!$B:$B,CFR20242025_BenchMarkDataReport!BD:BD),0)</f>
        <v>23550</v>
      </c>
      <c r="AM38" s="289">
        <f>IFERROR(_xlfn.XLOOKUP($A38,CFR20242025_BenchMarkDataReport!$B:$B,CFR20242025_BenchMarkDataReport!BE:BE),0)</f>
        <v>15607.28</v>
      </c>
      <c r="AN38" s="289">
        <f>IFERROR(_xlfn.XLOOKUP($A38,CFR20242025_BenchMarkDataReport!$B:$B,CFR20242025_BenchMarkDataReport!BF:BF),0)</f>
        <v>33014.269999999997</v>
      </c>
      <c r="AO38" s="289">
        <f>IFERROR(_xlfn.XLOOKUP($A38,CFR20242025_BenchMarkDataReport!$B:$B,CFR20242025_BenchMarkDataReport!BN:BN),0)</f>
        <v>12310.07</v>
      </c>
      <c r="AP38" s="289">
        <f>IFERROR(_xlfn.XLOOKUP($A38,CFR20242025_BenchMarkDataReport!$B:$B,CFR20242025_BenchMarkDataReport!BO:BO),0)</f>
        <v>0</v>
      </c>
      <c r="AQ38" s="289">
        <f>IFERROR(_xlfn.XLOOKUP($A38,CFR20242025_BenchMarkDataReport!$B:$B,CFR20242025_BenchMarkDataReport!BP:BP),0)</f>
        <v>2360.6799999999998</v>
      </c>
      <c r="AR38" s="289">
        <f>IFERROR(_xlfn.XLOOKUP($A38,CFR20242025_BenchMarkDataReport!$B:$B,CFR20242025_BenchMarkDataReport!BQ:BQ),0)</f>
        <v>3019.1</v>
      </c>
      <c r="AS38" s="289">
        <f>IFERROR(_xlfn.XLOOKUP($A38,CFR20242025_BenchMarkDataReport!$B:$B,CFR20242025_BenchMarkDataReport!BR:BR),0)</f>
        <v>2944.36</v>
      </c>
      <c r="AT38" s="289">
        <f>IFERROR(_xlfn.XLOOKUP($A38,CFR20242025_BenchMarkDataReport!$B:$B,CFR20242025_BenchMarkDataReport!BS:BS),0)</f>
        <v>78631.759999999995</v>
      </c>
      <c r="AU38" s="289">
        <f>IFERROR(_xlfn.XLOOKUP($A38,CFR20242025_BenchMarkDataReport!$B:$B,CFR20242025_BenchMarkDataReport!BT:BT),0)</f>
        <v>46986.9</v>
      </c>
      <c r="AV38" s="289">
        <f>IFERROR(_xlfn.XLOOKUP($A38,CFR20242025_BenchMarkDataReport!$B:$B,CFR20242025_BenchMarkDataReport!BU:BU),0)</f>
        <v>109184.46</v>
      </c>
      <c r="AW38" s="289">
        <f>IFERROR(_xlfn.XLOOKUP($A38,CFR20242025_BenchMarkDataReport!$B:$B,CFR20242025_BenchMarkDataReport!BV:BV),0)</f>
        <v>39191.75</v>
      </c>
      <c r="AX38" s="289">
        <f>IFERROR(_xlfn.XLOOKUP($A38,CFR20242025_BenchMarkDataReport!$B:$B,CFR20242025_BenchMarkDataReport!BW:BW),0)</f>
        <v>0</v>
      </c>
      <c r="AY38" s="289">
        <f>IFERROR(_xlfn.XLOOKUP($A38,CFR20242025_BenchMarkDataReport!$B:$B,CFR20242025_BenchMarkDataReport!BX:BX),0)</f>
        <v>0</v>
      </c>
      <c r="AZ38" s="289">
        <f>IFERROR(_xlfn.XLOOKUP($A38,CFR20242025_BenchMarkDataReport!$B:$B,CFR20242025_BenchMarkDataReport!BY:BY),0)</f>
        <v>0</v>
      </c>
      <c r="BA38" s="289">
        <f>IFERROR(_xlfn.XLOOKUP($A38,CFR20242025_BenchMarkDataReport!$B:$B,CFR20242025_BenchMarkDataReport!BZ:BZ),0)</f>
        <v>0</v>
      </c>
      <c r="BB38" s="289">
        <f>IFERROR(_xlfn.XLOOKUP($A38,CFR20242025_BenchMarkDataReport!$B:$B,CFR20242025_BenchMarkDataReport!CA:CA),0)</f>
        <v>0</v>
      </c>
      <c r="BC38" s="290">
        <f t="shared" si="33"/>
        <v>1742247.3399999999</v>
      </c>
      <c r="BD38" s="291">
        <f t="shared" si="104"/>
        <v>1929271.46</v>
      </c>
      <c r="BE38" s="327">
        <f t="shared" si="105"/>
        <v>-187024.12000000011</v>
      </c>
      <c r="BF38" s="289">
        <f>IFERROR(_xlfn.XLOOKUP(A38,CFR20242025_BenchMarkDataReport!B:B,CFR20242025_BenchMarkDataReport!Q:Q),0)</f>
        <v>-86400.88</v>
      </c>
      <c r="BG38" s="290">
        <f t="shared" si="0"/>
        <v>-273425.00000000012</v>
      </c>
      <c r="BH38" s="292">
        <f>_xlfn.XLOOKUP(A38,'Pupil on roll 24-25'!E:E,'Pupil on roll 24-25'!I:I)</f>
        <v>190</v>
      </c>
      <c r="BI38" s="291">
        <f t="shared" si="1"/>
        <v>1472648.5</v>
      </c>
      <c r="BJ38" t="s">
        <v>190</v>
      </c>
      <c r="BK38" s="293">
        <f t="shared" si="34"/>
        <v>0.78169251789473249</v>
      </c>
      <c r="BL38" s="294">
        <f t="shared" si="35"/>
        <v>7167.903736842105</v>
      </c>
      <c r="BM38" s="295">
        <f t="shared" si="36"/>
        <v>0</v>
      </c>
      <c r="BN38" s="296">
        <f t="shared" si="37"/>
        <v>0</v>
      </c>
      <c r="BO38" s="293">
        <f t="shared" si="38"/>
        <v>6.3565480892052911E-2</v>
      </c>
      <c r="BP38" s="294">
        <f t="shared" si="39"/>
        <v>582.87784210526308</v>
      </c>
      <c r="BQ38" s="295">
        <f t="shared" si="40"/>
        <v>0</v>
      </c>
      <c r="BR38" s="296">
        <f t="shared" si="41"/>
        <v>0</v>
      </c>
      <c r="BS38" s="293">
        <f t="shared" si="42"/>
        <v>6.8922475726092947E-2</v>
      </c>
      <c r="BT38" s="294">
        <f t="shared" si="43"/>
        <v>632</v>
      </c>
      <c r="BU38" s="295">
        <f t="shared" si="44"/>
        <v>1.1730234583110342E-2</v>
      </c>
      <c r="BV38" s="296">
        <f t="shared" si="45"/>
        <v>107.563</v>
      </c>
      <c r="BW38" s="293">
        <f t="shared" si="46"/>
        <v>1.9349990799813765E-2</v>
      </c>
      <c r="BX38" s="294">
        <f t="shared" si="47"/>
        <v>177.43405263157896</v>
      </c>
      <c r="BY38" s="295">
        <f t="shared" si="48"/>
        <v>1.577769663864145E-2</v>
      </c>
      <c r="BZ38" s="297">
        <f t="shared" si="49"/>
        <v>144.6771052631579</v>
      </c>
      <c r="CA38" s="298">
        <f t="shared" si="50"/>
        <v>1.3039514814239867E-2</v>
      </c>
      <c r="CB38" s="299">
        <f t="shared" si="51"/>
        <v>119.56873684210527</v>
      </c>
      <c r="CC38" s="295">
        <f t="shared" si="52"/>
        <v>1.8197760600397875E-3</v>
      </c>
      <c r="CD38" s="296">
        <f t="shared" si="53"/>
        <v>16.686842105263157</v>
      </c>
      <c r="CE38" s="300">
        <f t="shared" si="54"/>
        <v>0.57768478357191144</v>
      </c>
      <c r="CF38" s="298">
        <f t="shared" si="55"/>
        <v>0.48829268409157112</v>
      </c>
      <c r="CG38" s="298">
        <f t="shared" si="56"/>
        <v>0.44095745344203663</v>
      </c>
      <c r="CH38" s="299">
        <f t="shared" si="57"/>
        <v>4477.5085789473687</v>
      </c>
      <c r="CI38" s="295">
        <f t="shared" si="58"/>
        <v>0.34624058626345661</v>
      </c>
      <c r="CJ38" s="301">
        <f t="shared" si="59"/>
        <v>0.29266262504381269</v>
      </c>
      <c r="CK38" s="301">
        <f t="shared" si="60"/>
        <v>0.26429182754820829</v>
      </c>
      <c r="CL38" s="302">
        <f t="shared" si="61"/>
        <v>2683.6351578947369</v>
      </c>
      <c r="CM38" s="300">
        <f t="shared" si="62"/>
        <v>2.8449076612647211E-2</v>
      </c>
      <c r="CN38" s="298">
        <f t="shared" si="63"/>
        <v>2.4046809564938123E-2</v>
      </c>
      <c r="CO38" s="298">
        <f t="shared" si="64"/>
        <v>2.1715705056871572E-2</v>
      </c>
      <c r="CP38" s="299">
        <f t="shared" si="65"/>
        <v>220.50257894736842</v>
      </c>
      <c r="CQ38" s="295">
        <f t="shared" si="66"/>
        <v>5.9212860366883203E-2</v>
      </c>
      <c r="CR38" s="301">
        <f t="shared" si="67"/>
        <v>5.0050143856153056E-2</v>
      </c>
      <c r="CS38" s="301">
        <f t="shared" si="68"/>
        <v>4.5198268780692996E-2</v>
      </c>
      <c r="CT38" s="296">
        <f t="shared" si="69"/>
        <v>458.94594736842106</v>
      </c>
      <c r="CU38" s="300">
        <f t="shared" si="70"/>
        <v>1.0093248117252691</v>
      </c>
      <c r="CV38" s="298">
        <f t="shared" si="71"/>
        <v>0.85313987048474993</v>
      </c>
      <c r="CW38" s="298">
        <f t="shared" si="72"/>
        <v>0.77043625058341969</v>
      </c>
      <c r="CX38" s="299">
        <f t="shared" si="73"/>
        <v>7823.0561578947363</v>
      </c>
      <c r="CY38" s="295">
        <f t="shared" si="74"/>
        <v>8.2586985285354915E-3</v>
      </c>
      <c r="CZ38" s="301">
        <f t="shared" si="75"/>
        <v>6.3040169577794928E-3</v>
      </c>
      <c r="DA38" s="296">
        <f t="shared" si="76"/>
        <v>64.011368421052637</v>
      </c>
      <c r="DB38" s="300">
        <f t="shared" si="77"/>
        <v>2.1252115552468703E-3</v>
      </c>
      <c r="DC38" s="299">
        <f t="shared" si="78"/>
        <v>21.579526315789472</v>
      </c>
      <c r="DD38" s="295">
        <f t="shared" si="79"/>
        <v>1.51626542246843E-2</v>
      </c>
      <c r="DE38" s="301">
        <f t="shared" si="80"/>
        <v>1.1573933716927528E-2</v>
      </c>
      <c r="DF38" s="296">
        <f t="shared" si="81"/>
        <v>117.52242105263157</v>
      </c>
      <c r="DG38" s="300">
        <f t="shared" si="82"/>
        <v>1.0598102670121214E-2</v>
      </c>
      <c r="DH38" s="298">
        <f t="shared" si="83"/>
        <v>8.0897273004805672E-3</v>
      </c>
      <c r="DI38" s="303">
        <f t="shared" si="84"/>
        <v>82.143578947368425</v>
      </c>
      <c r="DJ38" s="295">
        <f t="shared" si="85"/>
        <v>2.2418296015647994E-2</v>
      </c>
      <c r="DK38" s="301">
        <f t="shared" si="86"/>
        <v>1.8949244026396389E-2</v>
      </c>
      <c r="DL38" s="301">
        <f t="shared" si="87"/>
        <v>1.7112298960769365E-2</v>
      </c>
      <c r="DM38" s="296">
        <f t="shared" si="88"/>
        <v>173.75931578947367</v>
      </c>
      <c r="DN38" s="300">
        <f t="shared" si="89"/>
        <v>1.6030166057956123E-3</v>
      </c>
      <c r="DO38" s="298">
        <f t="shared" si="90"/>
        <v>1.2236121504643001E-3</v>
      </c>
      <c r="DP38" s="299">
        <f t="shared" si="91"/>
        <v>12.424631578947368</v>
      </c>
      <c r="DQ38" s="295">
        <f t="shared" si="92"/>
        <v>7.4141561954532947E-2</v>
      </c>
      <c r="DR38" s="301">
        <f t="shared" si="93"/>
        <v>5.6593622133403666E-2</v>
      </c>
      <c r="DS38" s="296">
        <f t="shared" si="94"/>
        <v>574.655052631579</v>
      </c>
      <c r="DT38" s="300">
        <f t="shared" si="95"/>
        <v>4.0757229674666932E-2</v>
      </c>
      <c r="DU38" s="299">
        <f t="shared" si="96"/>
        <v>413.8513684210526</v>
      </c>
      <c r="DV38" s="295">
        <f t="shared" si="25"/>
        <v>1.2727249901887835E-2</v>
      </c>
      <c r="DW38" s="296">
        <f t="shared" si="97"/>
        <v>129.23326315789473</v>
      </c>
      <c r="DX38" s="295">
        <f t="shared" si="103"/>
        <v>5.5002941978347178E-5</v>
      </c>
      <c r="DY38" s="301">
        <f t="shared" si="98"/>
        <v>4.6491676664003407E-5</v>
      </c>
      <c r="DZ38" s="301">
        <f t="shared" si="99"/>
        <v>4.1984760402768824E-5</v>
      </c>
      <c r="EA38" s="296">
        <f t="shared" si="100"/>
        <v>0.4263157894736842</v>
      </c>
      <c r="EB38" s="304">
        <f>IFERROR(_xlfn.XLOOKUP(A38,'Pupil on roll 24-25'!E:E,'Pupil on roll 24-25'!R:R),0)</f>
        <v>81</v>
      </c>
      <c r="EC38" s="289">
        <f>IFERROR(_xlfn.XLOOKUP(A38,CFR20242025_BenchMarkDataReport!B:B,CFR20242025_BenchMarkDataReport!AK:AK),0)</f>
        <v>2946.25</v>
      </c>
      <c r="ED38" s="289">
        <f>IFERROR(_xlfn.XLOOKUP(A38,CFR20242025_BenchMarkDataReport!B:B,CFR20242025_BenchMarkDataReport!AL:AL),0)</f>
        <v>37985</v>
      </c>
    </row>
    <row r="39" spans="1:134">
      <c r="A39" s="208">
        <v>2032</v>
      </c>
      <c r="B39" s="326">
        <v>10072</v>
      </c>
      <c r="C39" s="208" t="s">
        <v>70</v>
      </c>
      <c r="D39" s="289">
        <f>IFERROR(_xlfn.XLOOKUP($A39,CFR20242025_BenchMarkDataReport!$B:$B,CFR20242025_BenchMarkDataReport!T:T),0)</f>
        <v>2593905.94</v>
      </c>
      <c r="E39" s="289">
        <f>IFERROR(_xlfn.XLOOKUP($A39,CFR20242025_BenchMarkDataReport!$B:$B,CFR20242025_BenchMarkDataReport!U:U),0)</f>
        <v>0</v>
      </c>
      <c r="F39" s="289">
        <f>IFERROR(_xlfn.XLOOKUP($A39,CFR20242025_BenchMarkDataReport!$B:$B,CFR20242025_BenchMarkDataReport!V:V),0)</f>
        <v>210141.86</v>
      </c>
      <c r="G39" s="289">
        <f>IFERROR(_xlfn.XLOOKUP($A39,CFR20242025_BenchMarkDataReport!$B:$B,CFR20242025_BenchMarkDataReport!W:W),0)</f>
        <v>0</v>
      </c>
      <c r="H39" s="289">
        <f>IFERROR(_xlfn.XLOOKUP($A39,CFR20242025_BenchMarkDataReport!$B:$B,CFR20242025_BenchMarkDataReport!X:X),0)</f>
        <v>140537.18</v>
      </c>
      <c r="I39" s="289">
        <f>IFERROR(_xlfn.XLOOKUP($A39,CFR20242025_BenchMarkDataReport!$B:$B,CFR20242025_BenchMarkDataReport!Y:Y),0)</f>
        <v>0</v>
      </c>
      <c r="J39" s="289">
        <f>IFERROR(_xlfn.XLOOKUP($A39,CFR20242025_BenchMarkDataReport!$B:$B,CFR20242025_BenchMarkDataReport!Z:Z),0)</f>
        <v>106302.24</v>
      </c>
      <c r="K39" s="289">
        <f>IFERROR(_xlfn.XLOOKUP($A39,CFR20242025_BenchMarkDataReport!$B:$B,CFR20242025_BenchMarkDataReport!AA:AA),0)</f>
        <v>0</v>
      </c>
      <c r="L39" s="289">
        <f>IFERROR(_xlfn.XLOOKUP($A39,CFR20242025_BenchMarkDataReport!$B:$B,CFR20242025_BenchMarkDataReport!AB:AB),0)</f>
        <v>113349.01</v>
      </c>
      <c r="M39" s="289">
        <f>IFERROR(_xlfn.XLOOKUP($A39,CFR20242025_BenchMarkDataReport!$B:$B,CFR20242025_BenchMarkDataReport!AC:AC),0)</f>
        <v>5076.74</v>
      </c>
      <c r="N39" s="289">
        <f>IFERROR(_xlfn.XLOOKUP($A39,CFR20242025_BenchMarkDataReport!$B:$B,CFR20242025_BenchMarkDataReport!AD:AD),0)</f>
        <v>0</v>
      </c>
      <c r="O39" s="289">
        <f>IFERROR(_xlfn.XLOOKUP($A39,CFR20242025_BenchMarkDataReport!$B:$B,CFR20242025_BenchMarkDataReport!AE:AE),0)</f>
        <v>0</v>
      </c>
      <c r="P39" s="289">
        <f>IFERROR(_xlfn.XLOOKUP($A39,CFR20242025_BenchMarkDataReport!$B:$B,CFR20242025_BenchMarkDataReport!AF:AF),0)</f>
        <v>101149.05</v>
      </c>
      <c r="Q39" s="289">
        <f>IFERROR(_xlfn.XLOOKUP($A39,CFR20242025_BenchMarkDataReport!$B:$B,CFR20242025_BenchMarkDataReport!AG:AG),0)</f>
        <v>17740.599999999999</v>
      </c>
      <c r="R39" s="289">
        <f>IFERROR(_xlfn.XLOOKUP($A39,CFR20242025_BenchMarkDataReport!$B:$B,CFR20242025_BenchMarkDataReport!AH:AH),0)</f>
        <v>0</v>
      </c>
      <c r="S39" s="289">
        <f>IFERROR(_xlfn.XLOOKUP($A39,CFR20242025_BenchMarkDataReport!$B:$B,CFR20242025_BenchMarkDataReport!AI:AI),0)</f>
        <v>0</v>
      </c>
      <c r="T39" s="289">
        <f>IFERROR(_xlfn.XLOOKUP($A39,CFR20242025_BenchMarkDataReport!$B:$B,CFR20242025_BenchMarkDataReport!AJ:AJ),0)</f>
        <v>0</v>
      </c>
      <c r="U39" s="289">
        <f>INDEX(CFR20242025_BenchMarkDataReport!$B$3:$AM$87,MATCH(A39,CFR20242025_BenchMarkDataReport!$B$3:$B$87),MATCH($U$2,CFR20242025_BenchMarkDataReport!$B$3:$AM$3,0))</f>
        <v>93952</v>
      </c>
      <c r="V39" s="289">
        <f>IFERROR(_xlfn.XLOOKUP($A39,CFR20242025_BenchMarkDataReport!$B:$B,CFR20242025_BenchMarkDataReport!AN:AN),0)</f>
        <v>1577617.56</v>
      </c>
      <c r="W39" s="289">
        <f>IFERROR(_xlfn.XLOOKUP($A39,CFR20242025_BenchMarkDataReport!$B:$B,CFR20242025_BenchMarkDataReport!AO:AO),0)</f>
        <v>54551.65</v>
      </c>
      <c r="X39" s="289">
        <f>IFERROR(_xlfn.XLOOKUP($A39,CFR20242025_BenchMarkDataReport!$B:$B,CFR20242025_BenchMarkDataReport!AP:AP),0)</f>
        <v>691504.56</v>
      </c>
      <c r="Y39" s="289">
        <f>IFERROR(_xlfn.XLOOKUP($A39,CFR20242025_BenchMarkDataReport!$B:$B,CFR20242025_BenchMarkDataReport!AQ:AQ),0)</f>
        <v>47507.98</v>
      </c>
      <c r="Z39" s="289">
        <f>IFERROR(_xlfn.XLOOKUP($A39,CFR20242025_BenchMarkDataReport!$B:$B,CFR20242025_BenchMarkDataReport!AR:AR),0)</f>
        <v>54823.839999999997</v>
      </c>
      <c r="AA39" s="289">
        <f>IFERROR(_xlfn.XLOOKUP($A39,CFR20242025_BenchMarkDataReport!$B:$B,CFR20242025_BenchMarkDataReport!AS:AS),0)</f>
        <v>0</v>
      </c>
      <c r="AB39" s="289">
        <f>IFERROR(_xlfn.XLOOKUP($A39,CFR20242025_BenchMarkDataReport!$B:$B,CFR20242025_BenchMarkDataReport!AT:AT),0)</f>
        <v>39956.639999999999</v>
      </c>
      <c r="AC39" s="289">
        <f>IFERROR(_xlfn.XLOOKUP($A39,CFR20242025_BenchMarkDataReport!$B:$B,CFR20242025_BenchMarkDataReport!AU:AU),0)</f>
        <v>12468.76</v>
      </c>
      <c r="AD39" s="289">
        <f>IFERROR(_xlfn.XLOOKUP($A39,CFR20242025_BenchMarkDataReport!$B:$B,CFR20242025_BenchMarkDataReport!AV:AV),0)</f>
        <v>3554.34</v>
      </c>
      <c r="AE39" s="289">
        <f>IFERROR(_xlfn.XLOOKUP($A39,CFR20242025_BenchMarkDataReport!$B:$B,CFR20242025_BenchMarkDataReport!AW:AW),0)</f>
        <v>717.12</v>
      </c>
      <c r="AF39" s="289">
        <f>IFERROR(_xlfn.XLOOKUP($A39,CFR20242025_BenchMarkDataReport!$B:$B,CFR20242025_BenchMarkDataReport!AX:AX),0)</f>
        <v>0</v>
      </c>
      <c r="AG39" s="289">
        <f>IFERROR(_xlfn.XLOOKUP($A39,CFR20242025_BenchMarkDataReport!$B:$B,CFR20242025_BenchMarkDataReport!AY:AY),0)</f>
        <v>15961.67</v>
      </c>
      <c r="AH39" s="289">
        <f>IFERROR(_xlfn.XLOOKUP($A39,CFR20242025_BenchMarkDataReport!$B:$B,CFR20242025_BenchMarkDataReport!AZ:AZ),0)</f>
        <v>2655.51</v>
      </c>
      <c r="AI39" s="289">
        <f>IFERROR(_xlfn.XLOOKUP($A39,CFR20242025_BenchMarkDataReport!$B:$B,CFR20242025_BenchMarkDataReport!BA:BA),0)</f>
        <v>67011.360000000001</v>
      </c>
      <c r="AJ39" s="289">
        <f>IFERROR(_xlfn.XLOOKUP($A39,CFR20242025_BenchMarkDataReport!$B:$B,CFR20242025_BenchMarkDataReport!BB:BB),0)</f>
        <v>7832.99</v>
      </c>
      <c r="AK39" s="289">
        <f>IFERROR(_xlfn.XLOOKUP($A39,CFR20242025_BenchMarkDataReport!$B:$B,CFR20242025_BenchMarkDataReport!BC:BC),0)</f>
        <v>82197.13</v>
      </c>
      <c r="AL39" s="289">
        <f>IFERROR(_xlfn.XLOOKUP($A39,CFR20242025_BenchMarkDataReport!$B:$B,CFR20242025_BenchMarkDataReport!BD:BD),0)</f>
        <v>31500.01</v>
      </c>
      <c r="AM39" s="289">
        <f>IFERROR(_xlfn.XLOOKUP($A39,CFR20242025_BenchMarkDataReport!$B:$B,CFR20242025_BenchMarkDataReport!BE:BE),0)</f>
        <v>7378.2</v>
      </c>
      <c r="AN39" s="289">
        <f>IFERROR(_xlfn.XLOOKUP($A39,CFR20242025_BenchMarkDataReport!$B:$B,CFR20242025_BenchMarkDataReport!BF:BF),0)</f>
        <v>152835.09</v>
      </c>
      <c r="AO39" s="289">
        <f>IFERROR(_xlfn.XLOOKUP($A39,CFR20242025_BenchMarkDataReport!$B:$B,CFR20242025_BenchMarkDataReport!BN:BN),0)</f>
        <v>18749.169999999998</v>
      </c>
      <c r="AP39" s="289">
        <f>IFERROR(_xlfn.XLOOKUP($A39,CFR20242025_BenchMarkDataReport!$B:$B,CFR20242025_BenchMarkDataReport!BO:BO),0)</f>
        <v>0</v>
      </c>
      <c r="AQ39" s="289">
        <f>IFERROR(_xlfn.XLOOKUP($A39,CFR20242025_BenchMarkDataReport!$B:$B,CFR20242025_BenchMarkDataReport!BP:BP),0)</f>
        <v>20854.63</v>
      </c>
      <c r="AR39" s="289">
        <f>IFERROR(_xlfn.XLOOKUP($A39,CFR20242025_BenchMarkDataReport!$B:$B,CFR20242025_BenchMarkDataReport!BQ:BQ),0)</f>
        <v>17664.48</v>
      </c>
      <c r="AS39" s="289">
        <f>IFERROR(_xlfn.XLOOKUP($A39,CFR20242025_BenchMarkDataReport!$B:$B,CFR20242025_BenchMarkDataReport!BR:BR),0)</f>
        <v>2250</v>
      </c>
      <c r="AT39" s="289">
        <f>IFERROR(_xlfn.XLOOKUP($A39,CFR20242025_BenchMarkDataReport!$B:$B,CFR20242025_BenchMarkDataReport!BS:BS),0)</f>
        <v>172852.64</v>
      </c>
      <c r="AU39" s="289">
        <f>IFERROR(_xlfn.XLOOKUP($A39,CFR20242025_BenchMarkDataReport!$B:$B,CFR20242025_BenchMarkDataReport!BT:BT),0)</f>
        <v>162459.34</v>
      </c>
      <c r="AV39" s="289">
        <f>IFERROR(_xlfn.XLOOKUP($A39,CFR20242025_BenchMarkDataReport!$B:$B,CFR20242025_BenchMarkDataReport!BU:BU),0)</f>
        <v>75712.789999999994</v>
      </c>
      <c r="AW39" s="289">
        <f>IFERROR(_xlfn.XLOOKUP($A39,CFR20242025_BenchMarkDataReport!$B:$B,CFR20242025_BenchMarkDataReport!BV:BV),0)</f>
        <v>56372.07</v>
      </c>
      <c r="AX39" s="289">
        <f>IFERROR(_xlfn.XLOOKUP($A39,CFR20242025_BenchMarkDataReport!$B:$B,CFR20242025_BenchMarkDataReport!BW:BW),0)</f>
        <v>0</v>
      </c>
      <c r="AY39" s="289">
        <f>IFERROR(_xlfn.XLOOKUP($A39,CFR20242025_BenchMarkDataReport!$B:$B,CFR20242025_BenchMarkDataReport!BX:BX),0)</f>
        <v>0</v>
      </c>
      <c r="AZ39" s="289">
        <f>IFERROR(_xlfn.XLOOKUP($A39,CFR20242025_BenchMarkDataReport!$B:$B,CFR20242025_BenchMarkDataReport!BY:BY),0)</f>
        <v>0</v>
      </c>
      <c r="BA39" s="289">
        <f>IFERROR(_xlfn.XLOOKUP($A39,CFR20242025_BenchMarkDataReport!$B:$B,CFR20242025_BenchMarkDataReport!BZ:BZ),0)</f>
        <v>0</v>
      </c>
      <c r="BB39" s="289">
        <f>IFERROR(_xlfn.XLOOKUP($A39,CFR20242025_BenchMarkDataReport!$B:$B,CFR20242025_BenchMarkDataReport!CA:CA),0)</f>
        <v>0</v>
      </c>
      <c r="BC39" s="290">
        <f t="shared" ref="BC39:BC68" si="106">SUM(D39:R39)+U39</f>
        <v>3382154.62</v>
      </c>
      <c r="BD39" s="291">
        <f t="shared" si="104"/>
        <v>3376989.5299999989</v>
      </c>
      <c r="BE39" s="327">
        <f t="shared" si="105"/>
        <v>5165.090000001248</v>
      </c>
      <c r="BF39" s="289">
        <f>IFERROR(_xlfn.XLOOKUP(A39,CFR20242025_BenchMarkDataReport!B:B,CFR20242025_BenchMarkDataReport!Q:Q),0)</f>
        <v>-26000</v>
      </c>
      <c r="BG39" s="290">
        <f>SUM(BE39:BF39)</f>
        <v>-20834.909999998752</v>
      </c>
      <c r="BH39" s="292">
        <f>_xlfn.XLOOKUP(A39,'Pupil on roll 24-25'!E:E,'Pupil on roll 24-25'!I:I)</f>
        <v>432</v>
      </c>
      <c r="BI39" s="291">
        <f t="shared" si="1"/>
        <v>2804047.8</v>
      </c>
      <c r="BJ39" t="s">
        <v>190</v>
      </c>
      <c r="BK39" s="293">
        <f t="shared" ref="BK39:BK68" si="107">IFERROR(D39/BC39,0)</f>
        <v>0.76693889884904198</v>
      </c>
      <c r="BL39" s="294">
        <f t="shared" ref="BL39:BL68" si="108">D39/BH39</f>
        <v>6004.4118981481479</v>
      </c>
      <c r="BM39" s="295">
        <f t="shared" ref="BM39:BM68" si="109">E39/BC39</f>
        <v>0</v>
      </c>
      <c r="BN39" s="296">
        <f t="shared" ref="BN39:BN68" si="110">E39/BH39</f>
        <v>0</v>
      </c>
      <c r="BO39" s="293">
        <f t="shared" ref="BO39:BO68" si="111">F39/BC39</f>
        <v>6.213254082393193E-2</v>
      </c>
      <c r="BP39" s="294">
        <f t="shared" ref="BP39:BP68" si="112">F39/BH39</f>
        <v>486.43949074074072</v>
      </c>
      <c r="BQ39" s="295">
        <f t="shared" ref="BQ39:BQ68" si="113">G39/BC39</f>
        <v>0</v>
      </c>
      <c r="BR39" s="296">
        <f t="shared" ref="BR39:BR68" si="114">G39/BH39</f>
        <v>0</v>
      </c>
      <c r="BS39" s="293">
        <f t="shared" ref="BS39:BS68" si="115">H39/BC39</f>
        <v>4.1552559178976857E-2</v>
      </c>
      <c r="BT39" s="294">
        <f t="shared" ref="BT39:BT68" si="116">H39/BH39</f>
        <v>325.31754629629626</v>
      </c>
      <c r="BU39" s="295">
        <f t="shared" ref="BU39:BU68" si="117">I39/BC39</f>
        <v>0</v>
      </c>
      <c r="BV39" s="296">
        <f t="shared" ref="BV39:BV68" si="118">I39/BH39</f>
        <v>0</v>
      </c>
      <c r="BW39" s="293">
        <f t="shared" ref="BW39:BW68" si="119">J39/BC39</f>
        <v>3.1430331236600884E-2</v>
      </c>
      <c r="BX39" s="294">
        <f t="shared" ref="BX39:BX68" si="120">J39/BH39</f>
        <v>246.07000000000002</v>
      </c>
      <c r="BY39" s="295">
        <f t="shared" ref="BY39:BY68" si="121">IFERROR((K39+L39)/BC39,0)</f>
        <v>3.351384627116781E-2</v>
      </c>
      <c r="BZ39" s="297">
        <f t="shared" ref="BZ39:BZ68" si="122">IFERROR((K39+L39)/BH39,0)</f>
        <v>262.38196759259256</v>
      </c>
      <c r="CA39" s="298">
        <f t="shared" ref="CA39:CA68" si="123">P39/BC39</f>
        <v>2.9906690073205466E-2</v>
      </c>
      <c r="CB39" s="299">
        <f t="shared" ref="CB39:CB68" si="124">P39/BH39</f>
        <v>234.14131944444446</v>
      </c>
      <c r="CC39" s="295">
        <f t="shared" ref="CC39:CC68" si="125">Q39/BC39</f>
        <v>5.2453545130943767E-3</v>
      </c>
      <c r="CD39" s="296">
        <f t="shared" ref="CD39:CD68" si="126">Q39/BH39</f>
        <v>41.0662037037037</v>
      </c>
      <c r="CE39" s="300">
        <f t="shared" ref="CE39:CE68" si="127">(V39+W39+AU39)/BI39</f>
        <v>0.64001353685910778</v>
      </c>
      <c r="CF39" s="298">
        <f t="shared" ref="CF39:CF68" si="128">(V39+W39+AU39)/BC39</f>
        <v>0.53061694441397245</v>
      </c>
      <c r="CG39" s="298">
        <f t="shared" ref="CG39:CG68" si="129">(V39+W39+AU39)/BD39</f>
        <v>0.53142852059716061</v>
      </c>
      <c r="CH39" s="299">
        <f t="shared" ref="CH39:CH68" si="130">(V39+W39+AU39)/BH39</f>
        <v>4154.2327546296301</v>
      </c>
      <c r="CI39" s="295">
        <f t="shared" ref="CI39:CI68" si="131">X39/BI39</f>
        <v>0.24660940516063959</v>
      </c>
      <c r="CJ39" s="301">
        <f t="shared" ref="CJ39:CJ68" si="132">X39/BC39</f>
        <v>0.20445681457342718</v>
      </c>
      <c r="CK39" s="301">
        <f t="shared" ref="CK39:CK68" si="133">X39/BD39</f>
        <v>0.20476953033372308</v>
      </c>
      <c r="CL39" s="302">
        <f t="shared" ref="CL39:CL68" si="134">X39/BH39</f>
        <v>1600.7050000000002</v>
      </c>
      <c r="CM39" s="300">
        <f t="shared" ref="CM39:CM68" si="135">Y39/BI39</f>
        <v>1.694264270387973E-2</v>
      </c>
      <c r="CN39" s="298">
        <f t="shared" ref="CN39:CN68" si="136">Y39/BC39</f>
        <v>1.4046661178370373E-2</v>
      </c>
      <c r="CO39" s="298">
        <f t="shared" ref="CO39:CO68" si="137">Y39/BD39</f>
        <v>1.4068145482227781E-2</v>
      </c>
      <c r="CP39" s="299">
        <f t="shared" ref="CP39:CP68" si="138">Y39/BH39</f>
        <v>109.97217592592594</v>
      </c>
      <c r="CQ39" s="295">
        <f t="shared" ref="CQ39:CQ68" si="139">Z39/BI39</f>
        <v>1.9551678113333162E-2</v>
      </c>
      <c r="CR39" s="301">
        <f t="shared" ref="CR39:CR68" si="140">Z39/BC39</f>
        <v>1.6209737921443697E-2</v>
      </c>
      <c r="CS39" s="301">
        <f t="shared" ref="CS39:CS68" si="141">Z39/BD39</f>
        <v>1.623453064126024E-2</v>
      </c>
      <c r="CT39" s="296">
        <f t="shared" ref="CT39:CT68" si="142">Z39/BH39</f>
        <v>126.90703703703703</v>
      </c>
      <c r="CU39" s="300">
        <f t="shared" ref="CU39:CU68" si="143">(V39+W39+X39+Y39+Z39+AA39+AB39)/BI39</f>
        <v>0.87942945551784113</v>
      </c>
      <c r="CV39" s="298">
        <f t="shared" ref="CV39:CV68" si="144">(V39+W39+X39+Y39+Z39+AA39+AB39)/BC39</f>
        <v>0.72910984477699603</v>
      </c>
      <c r="CW39" s="298">
        <f t="shared" ref="CW39:CW68" si="145">(V39+W39+X39+Y39+Z39+AA39+AB39)/BD39</f>
        <v>0.73022501494104453</v>
      </c>
      <c r="CX39" s="299">
        <f t="shared" ref="CX39:CX68" si="146">(V39+W39+X39+Y39+Z39+AA39+AB39)/BH39</f>
        <v>5708.2459027777777</v>
      </c>
      <c r="CY39" s="295">
        <f t="shared" ref="CY39:CY68" si="147">AG39/BI39</f>
        <v>5.6923672984461968E-3</v>
      </c>
      <c r="CZ39" s="301">
        <f t="shared" ref="CZ39:CZ68" si="148">AG39/BD39</f>
        <v>4.7265974200399741E-3</v>
      </c>
      <c r="DA39" s="296">
        <f t="shared" ref="DA39:DA68" si="149">AG39/BH39</f>
        <v>36.948310185185186</v>
      </c>
      <c r="DB39" s="300">
        <f t="shared" ref="DB39:DB68" si="150">AJ39/BD39</f>
        <v>2.3195185920520168E-3</v>
      </c>
      <c r="DC39" s="299">
        <f t="shared" ref="DC39:DC68" si="151">AJ39/BH39</f>
        <v>18.131921296296294</v>
      </c>
      <c r="DD39" s="295">
        <f t="shared" ref="DD39:DD68" si="152">AK39/BI39</f>
        <v>2.9313740657345433E-2</v>
      </c>
      <c r="DE39" s="301">
        <f t="shared" ref="DE39:DE68" si="153">AK39/BD39</f>
        <v>2.4340356779252448E-2</v>
      </c>
      <c r="DF39" s="296">
        <f t="shared" ref="DF39:DF68" si="154">AK39/BH39</f>
        <v>190.27113425925927</v>
      </c>
      <c r="DG39" s="300">
        <f t="shared" ref="DG39:DG68" si="155">AM39/BI39</f>
        <v>2.6312675554246972E-3</v>
      </c>
      <c r="DH39" s="298">
        <f t="shared" ref="DH39:DH68" si="156">AM39/BD39</f>
        <v>2.1848453880163503E-3</v>
      </c>
      <c r="DI39" s="303">
        <f t="shared" ref="DI39:DI68" si="157">AM39/BH39</f>
        <v>17.079166666666666</v>
      </c>
      <c r="DJ39" s="295">
        <f t="shared" ref="DJ39:DJ68" si="158">AN39/BI39</f>
        <v>5.4505165710798512E-2</v>
      </c>
      <c r="DK39" s="301">
        <f t="shared" ref="DK39:DK68" si="159">AN39/BC39</f>
        <v>4.5188676205465732E-2</v>
      </c>
      <c r="DL39" s="301">
        <f t="shared" ref="DL39:DL68" si="160">AN39/BD39</f>
        <v>4.5257792078496624E-2</v>
      </c>
      <c r="DM39" s="296">
        <f t="shared" ref="DM39:DM68" si="161">AN39/BH39</f>
        <v>353.78493055555555</v>
      </c>
      <c r="DN39" s="300">
        <f t="shared" ref="DN39:DN68" si="162">AQ39/BI39</f>
        <v>7.4373304192603285E-3</v>
      </c>
      <c r="DO39" s="298">
        <f t="shared" ref="DO39:DO68" si="163">IFERROR(AQ39/BD39,0)</f>
        <v>6.1755092264085308E-3</v>
      </c>
      <c r="DP39" s="299">
        <f t="shared" ref="DP39:DP68" si="164">AQ39/BH39</f>
        <v>48.274606481481484</v>
      </c>
      <c r="DQ39" s="295">
        <f t="shared" ref="DQ39:DQ68" si="165">IFERROR(AV39/BI39,0)</f>
        <v>2.700124798157863E-2</v>
      </c>
      <c r="DR39" s="301">
        <f t="shared" ref="DR39:DR68" si="166">IFERROR(AV39/BD39,0)</f>
        <v>2.2420202765627176E-2</v>
      </c>
      <c r="DS39" s="296">
        <f t="shared" ref="DS39:DS68" si="167">AV39/BH39</f>
        <v>175.26108796296296</v>
      </c>
      <c r="DT39" s="300">
        <f t="shared" ref="DT39:DT68" si="168">AT39/BD39</f>
        <v>5.1185423722649233E-2</v>
      </c>
      <c r="DU39" s="299">
        <f t="shared" ref="DU39:DU68" si="169">AT39/BH39</f>
        <v>400.12185185185189</v>
      </c>
      <c r="DV39" s="295">
        <f t="shared" si="25"/>
        <v>1.984352021369756E-2</v>
      </c>
      <c r="DW39" s="296">
        <f t="shared" si="97"/>
        <v>155.1188888888889</v>
      </c>
      <c r="DX39" s="295">
        <f t="shared" ref="DX39:DX68" si="170">EB39/BI39</f>
        <v>3.2096457128869201E-5</v>
      </c>
      <c r="DY39" s="301">
        <f t="shared" ref="DY39:DY68" si="171">EB39/BC39</f>
        <v>2.6610255920233475E-5</v>
      </c>
      <c r="DZ39" s="301">
        <f t="shared" ref="DZ39:DZ68" si="172">EB39/BD39</f>
        <v>2.6650956184634672E-5</v>
      </c>
      <c r="EA39" s="296">
        <f t="shared" ref="EA39:EA68" si="173">EB39/BH39</f>
        <v>0.20833333333333334</v>
      </c>
      <c r="EB39" s="304">
        <f>IFERROR(_xlfn.XLOOKUP(A39,'Pupil on roll 24-25'!E:E,'Pupil on roll 24-25'!R:R),0)</f>
        <v>90</v>
      </c>
      <c r="EC39" s="289">
        <f>IFERROR(_xlfn.XLOOKUP(A39,CFR20242025_BenchMarkDataReport!B:B,CFR20242025_BenchMarkDataReport!AK:AK),0)</f>
        <v>0</v>
      </c>
      <c r="ED39" s="289">
        <f>IFERROR(_xlfn.XLOOKUP(A39,CFR20242025_BenchMarkDataReport!B:B,CFR20242025_BenchMarkDataReport!AL:AL),0)</f>
        <v>93952</v>
      </c>
    </row>
    <row r="40" spans="1:134">
      <c r="A40" s="208">
        <v>3304</v>
      </c>
      <c r="B40" s="326">
        <v>10073</v>
      </c>
      <c r="C40" s="208" t="s">
        <v>71</v>
      </c>
      <c r="D40" s="289">
        <f>IFERROR(_xlfn.XLOOKUP($A40,CFR20242025_BenchMarkDataReport!$B:$B,CFR20242025_BenchMarkDataReport!T:T),0)</f>
        <v>1306198.1399999999</v>
      </c>
      <c r="E40" s="289">
        <f>IFERROR(_xlfn.XLOOKUP($A40,CFR20242025_BenchMarkDataReport!$B:$B,CFR20242025_BenchMarkDataReport!U:U),0)</f>
        <v>0</v>
      </c>
      <c r="F40" s="289">
        <f>IFERROR(_xlfn.XLOOKUP($A40,CFR20242025_BenchMarkDataReport!$B:$B,CFR20242025_BenchMarkDataReport!V:V),0)</f>
        <v>134138.07</v>
      </c>
      <c r="G40" s="289">
        <f>IFERROR(_xlfn.XLOOKUP($A40,CFR20242025_BenchMarkDataReport!$B:$B,CFR20242025_BenchMarkDataReport!W:W),0)</f>
        <v>0</v>
      </c>
      <c r="H40" s="289">
        <f>IFERROR(_xlfn.XLOOKUP($A40,CFR20242025_BenchMarkDataReport!$B:$B,CFR20242025_BenchMarkDataReport!X:X),0)</f>
        <v>70650</v>
      </c>
      <c r="I40" s="289">
        <f>IFERROR(_xlfn.XLOOKUP($A40,CFR20242025_BenchMarkDataReport!$B:$B,CFR20242025_BenchMarkDataReport!Y:Y),0)</f>
        <v>30911.42</v>
      </c>
      <c r="J40" s="289">
        <f>IFERROR(_xlfn.XLOOKUP($A40,CFR20242025_BenchMarkDataReport!$B:$B,CFR20242025_BenchMarkDataReport!Z:Z),0)</f>
        <v>43716.78</v>
      </c>
      <c r="K40" s="289">
        <f>IFERROR(_xlfn.XLOOKUP($A40,CFR20242025_BenchMarkDataReport!$B:$B,CFR20242025_BenchMarkDataReport!AA:AA),0)</f>
        <v>2909</v>
      </c>
      <c r="L40" s="289">
        <f>IFERROR(_xlfn.XLOOKUP($A40,CFR20242025_BenchMarkDataReport!$B:$B,CFR20242025_BenchMarkDataReport!AB:AB),0)</f>
        <v>61231.7</v>
      </c>
      <c r="M40" s="289">
        <f>IFERROR(_xlfn.XLOOKUP($A40,CFR20242025_BenchMarkDataReport!$B:$B,CFR20242025_BenchMarkDataReport!AC:AC),0)</f>
        <v>936.25</v>
      </c>
      <c r="N40" s="289">
        <f>IFERROR(_xlfn.XLOOKUP($A40,CFR20242025_BenchMarkDataReport!$B:$B,CFR20242025_BenchMarkDataReport!AD:AD),0)</f>
        <v>0</v>
      </c>
      <c r="O40" s="289">
        <f>IFERROR(_xlfn.XLOOKUP($A40,CFR20242025_BenchMarkDataReport!$B:$B,CFR20242025_BenchMarkDataReport!AE:AE),0)</f>
        <v>0</v>
      </c>
      <c r="P40" s="289">
        <f>IFERROR(_xlfn.XLOOKUP($A40,CFR20242025_BenchMarkDataReport!$B:$B,CFR20242025_BenchMarkDataReport!AF:AF),0)</f>
        <v>22340.73</v>
      </c>
      <c r="Q40" s="289">
        <f>IFERROR(_xlfn.XLOOKUP($A40,CFR20242025_BenchMarkDataReport!$B:$B,CFR20242025_BenchMarkDataReport!AG:AG),0)</f>
        <v>10548.24</v>
      </c>
      <c r="R40" s="289">
        <f>IFERROR(_xlfn.XLOOKUP($A40,CFR20242025_BenchMarkDataReport!$B:$B,CFR20242025_BenchMarkDataReport!AH:AH),0)</f>
        <v>0</v>
      </c>
      <c r="S40" s="289">
        <f>IFERROR(_xlfn.XLOOKUP($A40,CFR20242025_BenchMarkDataReport!$B:$B,CFR20242025_BenchMarkDataReport!AI:AI),0)</f>
        <v>0</v>
      </c>
      <c r="T40" s="289">
        <f>IFERROR(_xlfn.XLOOKUP($A40,CFR20242025_BenchMarkDataReport!$B:$B,CFR20242025_BenchMarkDataReport!AJ:AJ),0)</f>
        <v>0</v>
      </c>
      <c r="U40" s="289">
        <f>INDEX(CFR20242025_BenchMarkDataReport!$B$3:$AM$87,MATCH(A40,CFR20242025_BenchMarkDataReport!$B$3:$B$87),MATCH($U$2,CFR20242025_BenchMarkDataReport!$B$3:$AM$3,0))</f>
        <v>47771.75</v>
      </c>
      <c r="V40" s="289">
        <f>IFERROR(_xlfn.XLOOKUP($A40,CFR20242025_BenchMarkDataReport!$B:$B,CFR20242025_BenchMarkDataReport!AN:AN),0)</f>
        <v>717890.91</v>
      </c>
      <c r="W40" s="289">
        <f>IFERROR(_xlfn.XLOOKUP($A40,CFR20242025_BenchMarkDataReport!$B:$B,CFR20242025_BenchMarkDataReport!AO:AO),0)</f>
        <v>15522.29</v>
      </c>
      <c r="X40" s="289">
        <f>IFERROR(_xlfn.XLOOKUP($A40,CFR20242025_BenchMarkDataReport!$B:$B,CFR20242025_BenchMarkDataReport!AP:AP),0)</f>
        <v>332818.87</v>
      </c>
      <c r="Y40" s="289">
        <f>IFERROR(_xlfn.XLOOKUP($A40,CFR20242025_BenchMarkDataReport!$B:$B,CFR20242025_BenchMarkDataReport!AQ:AQ),0)</f>
        <v>39532.53</v>
      </c>
      <c r="Z40" s="289">
        <f>IFERROR(_xlfn.XLOOKUP($A40,CFR20242025_BenchMarkDataReport!$B:$B,CFR20242025_BenchMarkDataReport!AR:AR),0)</f>
        <v>65592.899999999994</v>
      </c>
      <c r="AA40" s="289">
        <f>IFERROR(_xlfn.XLOOKUP($A40,CFR20242025_BenchMarkDataReport!$B:$B,CFR20242025_BenchMarkDataReport!AS:AS),0)</f>
        <v>0</v>
      </c>
      <c r="AB40" s="289">
        <f>IFERROR(_xlfn.XLOOKUP($A40,CFR20242025_BenchMarkDataReport!$B:$B,CFR20242025_BenchMarkDataReport!AT:AT),0)</f>
        <v>39268.33</v>
      </c>
      <c r="AC40" s="289">
        <f>IFERROR(_xlfn.XLOOKUP($A40,CFR20242025_BenchMarkDataReport!$B:$B,CFR20242025_BenchMarkDataReport!AU:AU),0)</f>
        <v>6525.49</v>
      </c>
      <c r="AD40" s="289">
        <f>IFERROR(_xlfn.XLOOKUP($A40,CFR20242025_BenchMarkDataReport!$B:$B,CFR20242025_BenchMarkDataReport!AV:AV),0)</f>
        <v>8029.29</v>
      </c>
      <c r="AE40" s="289">
        <f>IFERROR(_xlfn.XLOOKUP($A40,CFR20242025_BenchMarkDataReport!$B:$B,CFR20242025_BenchMarkDataReport!AW:AW),0)</f>
        <v>335.32</v>
      </c>
      <c r="AF40" s="289">
        <f>IFERROR(_xlfn.XLOOKUP($A40,CFR20242025_BenchMarkDataReport!$B:$B,CFR20242025_BenchMarkDataReport!AX:AX),0)</f>
        <v>0</v>
      </c>
      <c r="AG40" s="289">
        <f>IFERROR(_xlfn.XLOOKUP($A40,CFR20242025_BenchMarkDataReport!$B:$B,CFR20242025_BenchMarkDataReport!AY:AY),0)</f>
        <v>19283.3</v>
      </c>
      <c r="AH40" s="289">
        <f>IFERROR(_xlfn.XLOOKUP($A40,CFR20242025_BenchMarkDataReport!$B:$B,CFR20242025_BenchMarkDataReport!AZ:AZ),0)</f>
        <v>875</v>
      </c>
      <c r="AI40" s="289">
        <f>IFERROR(_xlfn.XLOOKUP($A40,CFR20242025_BenchMarkDataReport!$B:$B,CFR20242025_BenchMarkDataReport!BA:BA),0)</f>
        <v>24367.87</v>
      </c>
      <c r="AJ40" s="289">
        <f>IFERROR(_xlfn.XLOOKUP($A40,CFR20242025_BenchMarkDataReport!$B:$B,CFR20242025_BenchMarkDataReport!BB:BB),0)</f>
        <v>2611.91</v>
      </c>
      <c r="AK40" s="289">
        <f>IFERROR(_xlfn.XLOOKUP($A40,CFR20242025_BenchMarkDataReport!$B:$B,CFR20242025_BenchMarkDataReport!BC:BC),0)</f>
        <v>29918.42</v>
      </c>
      <c r="AL40" s="289">
        <f>IFERROR(_xlfn.XLOOKUP($A40,CFR20242025_BenchMarkDataReport!$B:$B,CFR20242025_BenchMarkDataReport!BD:BD),0)</f>
        <v>4336.8</v>
      </c>
      <c r="AM40" s="289">
        <f>IFERROR(_xlfn.XLOOKUP($A40,CFR20242025_BenchMarkDataReport!$B:$B,CFR20242025_BenchMarkDataReport!BE:BE),0)</f>
        <v>14036.52</v>
      </c>
      <c r="AN40" s="289">
        <f>IFERROR(_xlfn.XLOOKUP($A40,CFR20242025_BenchMarkDataReport!$B:$B,CFR20242025_BenchMarkDataReport!BF:BF),0)</f>
        <v>50637.02</v>
      </c>
      <c r="AO40" s="289">
        <f>IFERROR(_xlfn.XLOOKUP($A40,CFR20242025_BenchMarkDataReport!$B:$B,CFR20242025_BenchMarkDataReport!BN:BN),0)</f>
        <v>19811.620000000003</v>
      </c>
      <c r="AP40" s="289">
        <f>IFERROR(_xlfn.XLOOKUP($A40,CFR20242025_BenchMarkDataReport!$B:$B,CFR20242025_BenchMarkDataReport!BO:BO),0)</f>
        <v>0</v>
      </c>
      <c r="AQ40" s="289">
        <f>IFERROR(_xlfn.XLOOKUP($A40,CFR20242025_BenchMarkDataReport!$B:$B,CFR20242025_BenchMarkDataReport!BP:BP),0)</f>
        <v>14632.65</v>
      </c>
      <c r="AR40" s="289">
        <f>IFERROR(_xlfn.XLOOKUP($A40,CFR20242025_BenchMarkDataReport!$B:$B,CFR20242025_BenchMarkDataReport!BQ:BQ),0)</f>
        <v>8497.2800000000007</v>
      </c>
      <c r="AS40" s="289">
        <f>IFERROR(_xlfn.XLOOKUP($A40,CFR20242025_BenchMarkDataReport!$B:$B,CFR20242025_BenchMarkDataReport!BR:BR),0)</f>
        <v>5898.17</v>
      </c>
      <c r="AT40" s="289">
        <f>IFERROR(_xlfn.XLOOKUP($A40,CFR20242025_BenchMarkDataReport!$B:$B,CFR20242025_BenchMarkDataReport!BS:BS),0)</f>
        <v>79341.67</v>
      </c>
      <c r="AU40" s="289">
        <f>IFERROR(_xlfn.XLOOKUP($A40,CFR20242025_BenchMarkDataReport!$B:$B,CFR20242025_BenchMarkDataReport!BT:BT),0)</f>
        <v>66844.490000000005</v>
      </c>
      <c r="AV40" s="289">
        <f>IFERROR(_xlfn.XLOOKUP($A40,CFR20242025_BenchMarkDataReport!$B:$B,CFR20242025_BenchMarkDataReport!BU:BU),0)</f>
        <v>62139.45</v>
      </c>
      <c r="AW40" s="289">
        <f>IFERROR(_xlfn.XLOOKUP($A40,CFR20242025_BenchMarkDataReport!$B:$B,CFR20242025_BenchMarkDataReport!BV:BV),0)</f>
        <v>71186.64</v>
      </c>
      <c r="AX40" s="289">
        <f>IFERROR(_xlfn.XLOOKUP($A40,CFR20242025_BenchMarkDataReport!$B:$B,CFR20242025_BenchMarkDataReport!BW:BW),0)</f>
        <v>0</v>
      </c>
      <c r="AY40" s="289">
        <f>IFERROR(_xlfn.XLOOKUP($A40,CFR20242025_BenchMarkDataReport!$B:$B,CFR20242025_BenchMarkDataReport!BX:BX),0)</f>
        <v>0</v>
      </c>
      <c r="AZ40" s="289">
        <f>IFERROR(_xlfn.XLOOKUP($A40,CFR20242025_BenchMarkDataReport!$B:$B,CFR20242025_BenchMarkDataReport!BY:BY),0)</f>
        <v>7559</v>
      </c>
      <c r="BA40" s="289">
        <f>IFERROR(_xlfn.XLOOKUP($A40,CFR20242025_BenchMarkDataReport!$B:$B,CFR20242025_BenchMarkDataReport!BZ:BZ),0)</f>
        <v>0</v>
      </c>
      <c r="BB40" s="289">
        <f>IFERROR(_xlfn.XLOOKUP($A40,CFR20242025_BenchMarkDataReport!$B:$B,CFR20242025_BenchMarkDataReport!CA:CA),0)</f>
        <v>0</v>
      </c>
      <c r="BC40" s="290">
        <f t="shared" si="106"/>
        <v>1731352.0799999998</v>
      </c>
      <c r="BD40" s="291">
        <f t="shared" si="104"/>
        <v>1707493.74</v>
      </c>
      <c r="BE40" s="327">
        <f t="shared" si="105"/>
        <v>23858.339999999851</v>
      </c>
      <c r="BF40" s="289">
        <f>IFERROR(_xlfn.XLOOKUP(A40,CFR20242025_BenchMarkDataReport!B:B,CFR20242025_BenchMarkDataReport!Q:Q),0)</f>
        <v>41237.660000000003</v>
      </c>
      <c r="BG40" s="290">
        <f t="shared" si="0"/>
        <v>65095.999999999854</v>
      </c>
      <c r="BH40" s="292">
        <f>_xlfn.XLOOKUP(A40,'Pupil on roll 24-25'!E:E,'Pupil on roll 24-25'!I:I)</f>
        <v>202</v>
      </c>
      <c r="BI40" s="291">
        <f t="shared" si="1"/>
        <v>1440336.21</v>
      </c>
      <c r="BJ40" t="s">
        <v>190</v>
      </c>
      <c r="BK40" s="293">
        <f t="shared" si="107"/>
        <v>0.75443819607159279</v>
      </c>
      <c r="BL40" s="294">
        <f t="shared" si="108"/>
        <v>6466.3274257425737</v>
      </c>
      <c r="BM40" s="295">
        <f t="shared" si="109"/>
        <v>0</v>
      </c>
      <c r="BN40" s="296">
        <f t="shared" si="110"/>
        <v>0</v>
      </c>
      <c r="BO40" s="293">
        <f t="shared" si="111"/>
        <v>7.747590542069295E-2</v>
      </c>
      <c r="BP40" s="294">
        <f t="shared" si="112"/>
        <v>664.04985148514857</v>
      </c>
      <c r="BQ40" s="295">
        <f t="shared" si="113"/>
        <v>0</v>
      </c>
      <c r="BR40" s="296">
        <f t="shared" si="114"/>
        <v>0</v>
      </c>
      <c r="BS40" s="293">
        <f t="shared" si="115"/>
        <v>4.0806258193307514E-2</v>
      </c>
      <c r="BT40" s="294">
        <f t="shared" si="116"/>
        <v>349.75247524752473</v>
      </c>
      <c r="BU40" s="295">
        <f t="shared" si="117"/>
        <v>1.7853919117364045E-2</v>
      </c>
      <c r="BV40" s="296">
        <f t="shared" si="118"/>
        <v>153.0268316831683</v>
      </c>
      <c r="BW40" s="293">
        <f t="shared" si="119"/>
        <v>2.5250080850106469E-2</v>
      </c>
      <c r="BX40" s="294">
        <f t="shared" si="120"/>
        <v>216.41970297029701</v>
      </c>
      <c r="BY40" s="295">
        <f t="shared" si="121"/>
        <v>3.7046595398435654E-2</v>
      </c>
      <c r="BZ40" s="297">
        <f t="shared" si="122"/>
        <v>317.52821782178216</v>
      </c>
      <c r="CA40" s="298">
        <f t="shared" si="123"/>
        <v>1.2903631940650686E-2</v>
      </c>
      <c r="CB40" s="299">
        <f t="shared" si="124"/>
        <v>110.59767326732673</v>
      </c>
      <c r="CC40" s="295">
        <f t="shared" si="125"/>
        <v>6.0924869769989247E-3</v>
      </c>
      <c r="CD40" s="296">
        <f t="shared" si="126"/>
        <v>52.219009900990095</v>
      </c>
      <c r="CE40" s="300">
        <f t="shared" si="127"/>
        <v>0.55560478480229281</v>
      </c>
      <c r="CF40" s="298">
        <f t="shared" si="128"/>
        <v>0.46221545533361424</v>
      </c>
      <c r="CG40" s="298">
        <f t="shared" si="129"/>
        <v>0.46867386465498845</v>
      </c>
      <c r="CH40" s="299">
        <f t="shared" si="130"/>
        <v>3961.6717326732678</v>
      </c>
      <c r="CI40" s="295">
        <f t="shared" si="131"/>
        <v>0.23107026518482099</v>
      </c>
      <c r="CJ40" s="301">
        <f t="shared" si="132"/>
        <v>0.19223061204281455</v>
      </c>
      <c r="CK40" s="301">
        <f t="shared" si="133"/>
        <v>0.19491659746875559</v>
      </c>
      <c r="CL40" s="302">
        <f t="shared" si="134"/>
        <v>1647.6181683168318</v>
      </c>
      <c r="CM40" s="300">
        <f t="shared" si="135"/>
        <v>2.7446737591912653E-2</v>
      </c>
      <c r="CN40" s="298">
        <f t="shared" si="136"/>
        <v>2.2833328042670561E-2</v>
      </c>
      <c r="CO40" s="298">
        <f t="shared" si="137"/>
        <v>2.3152371849984057E-2</v>
      </c>
      <c r="CP40" s="299">
        <f t="shared" si="138"/>
        <v>195.70559405940594</v>
      </c>
      <c r="CQ40" s="295">
        <f t="shared" si="139"/>
        <v>4.5539992360533653E-2</v>
      </c>
      <c r="CR40" s="301">
        <f t="shared" si="140"/>
        <v>3.7885361826578916E-2</v>
      </c>
      <c r="CS40" s="301">
        <f t="shared" si="141"/>
        <v>3.8414723558517994E-2</v>
      </c>
      <c r="CT40" s="296">
        <f t="shared" si="142"/>
        <v>324.71732673267326</v>
      </c>
      <c r="CU40" s="300">
        <f t="shared" si="143"/>
        <v>0.8405161389367557</v>
      </c>
      <c r="CV40" s="298">
        <f t="shared" si="144"/>
        <v>0.69923722851333636</v>
      </c>
      <c r="CW40" s="298">
        <f t="shared" si="145"/>
        <v>0.70900747782536533</v>
      </c>
      <c r="CX40" s="299">
        <f t="shared" si="146"/>
        <v>5993.1971782178225</v>
      </c>
      <c r="CY40" s="295">
        <f t="shared" si="147"/>
        <v>1.338805472369538E-2</v>
      </c>
      <c r="CZ40" s="301">
        <f t="shared" si="148"/>
        <v>1.129333569328342E-2</v>
      </c>
      <c r="DA40" s="296">
        <f t="shared" si="149"/>
        <v>95.461881188118809</v>
      </c>
      <c r="DB40" s="300">
        <f t="shared" si="150"/>
        <v>1.5296747149421467E-3</v>
      </c>
      <c r="DC40" s="299">
        <f t="shared" si="151"/>
        <v>12.930247524752474</v>
      </c>
      <c r="DD40" s="295">
        <f t="shared" si="152"/>
        <v>2.0771830765818209E-2</v>
      </c>
      <c r="DE40" s="301">
        <f t="shared" si="153"/>
        <v>1.7521832905811999E-2</v>
      </c>
      <c r="DF40" s="296">
        <f t="shared" si="154"/>
        <v>148.11099009900988</v>
      </c>
      <c r="DG40" s="300">
        <f t="shared" si="155"/>
        <v>9.7453080069409628E-3</v>
      </c>
      <c r="DH40" s="298">
        <f t="shared" si="156"/>
        <v>8.2205396548042393E-3</v>
      </c>
      <c r="DI40" s="303">
        <f t="shared" si="157"/>
        <v>69.487722772277223</v>
      </c>
      <c r="DJ40" s="295">
        <f t="shared" si="158"/>
        <v>3.5156388937830005E-2</v>
      </c>
      <c r="DK40" s="301">
        <f t="shared" si="159"/>
        <v>2.9247095714928187E-2</v>
      </c>
      <c r="DL40" s="301">
        <f t="shared" si="160"/>
        <v>2.96557573323812E-2</v>
      </c>
      <c r="DM40" s="296">
        <f t="shared" si="161"/>
        <v>250.67831683168316</v>
      </c>
      <c r="DN40" s="300">
        <f t="shared" si="162"/>
        <v>1.015919054065856E-2</v>
      </c>
      <c r="DO40" s="298">
        <f t="shared" si="163"/>
        <v>8.5696653857132155E-3</v>
      </c>
      <c r="DP40" s="299">
        <f t="shared" si="164"/>
        <v>72.438861386138612</v>
      </c>
      <c r="DQ40" s="295">
        <f t="shared" si="165"/>
        <v>4.3142322999711297E-2</v>
      </c>
      <c r="DR40" s="301">
        <f t="shared" si="166"/>
        <v>3.6392197841966907E-2</v>
      </c>
      <c r="DS40" s="296">
        <f t="shared" si="167"/>
        <v>307.62103960396036</v>
      </c>
      <c r="DT40" s="300">
        <f t="shared" si="168"/>
        <v>4.6466741365622809E-2</v>
      </c>
      <c r="DU40" s="299">
        <f t="shared" si="169"/>
        <v>392.78054455445545</v>
      </c>
      <c r="DV40" s="295">
        <f t="shared" si="25"/>
        <v>1.4271132847608566E-2</v>
      </c>
      <c r="DW40" s="296">
        <f t="shared" si="97"/>
        <v>120.6330198019802</v>
      </c>
      <c r="DX40" s="295">
        <f t="shared" si="170"/>
        <v>3.1936987823141652E-5</v>
      </c>
      <c r="DY40" s="301">
        <f t="shared" si="171"/>
        <v>2.6568830529258963E-5</v>
      </c>
      <c r="DZ40" s="301">
        <f t="shared" si="172"/>
        <v>2.694006948453E-5</v>
      </c>
      <c r="EA40" s="296">
        <f t="shared" si="173"/>
        <v>0.22772277227722773</v>
      </c>
      <c r="EB40" s="304">
        <f>IFERROR(_xlfn.XLOOKUP(A40,'Pupil on roll 24-25'!E:E,'Pupil on roll 24-25'!R:R),0)</f>
        <v>46</v>
      </c>
      <c r="EC40" s="289">
        <f>IFERROR(_xlfn.XLOOKUP(A40,CFR20242025_BenchMarkDataReport!B:B,CFR20242025_BenchMarkDataReport!AK:AK),0)</f>
        <v>1523.75</v>
      </c>
      <c r="ED40" s="289">
        <f>IFERROR(_xlfn.XLOOKUP(A40,CFR20242025_BenchMarkDataReport!B:B,CFR20242025_BenchMarkDataReport!AL:AL),0)</f>
        <v>46248</v>
      </c>
    </row>
    <row r="41" spans="1:134">
      <c r="A41" s="208">
        <v>2036</v>
      </c>
      <c r="B41" s="326">
        <v>10074</v>
      </c>
      <c r="C41" s="208" t="s">
        <v>72</v>
      </c>
      <c r="D41" s="289">
        <f>IFERROR(_xlfn.XLOOKUP($A41,CFR20242025_BenchMarkDataReport!$B:$B,CFR20242025_BenchMarkDataReport!T:T),0)</f>
        <v>1833559.85</v>
      </c>
      <c r="E41" s="289">
        <f>IFERROR(_xlfn.XLOOKUP($A41,CFR20242025_BenchMarkDataReport!$B:$B,CFR20242025_BenchMarkDataReport!U:U),0)</f>
        <v>0</v>
      </c>
      <c r="F41" s="289">
        <f>IFERROR(_xlfn.XLOOKUP($A41,CFR20242025_BenchMarkDataReport!$B:$B,CFR20242025_BenchMarkDataReport!V:V),0)</f>
        <v>460201.86</v>
      </c>
      <c r="G41" s="289">
        <f>IFERROR(_xlfn.XLOOKUP($A41,CFR20242025_BenchMarkDataReport!$B:$B,CFR20242025_BenchMarkDataReport!W:W),0)</f>
        <v>0</v>
      </c>
      <c r="H41" s="289">
        <f>IFERROR(_xlfn.XLOOKUP($A41,CFR20242025_BenchMarkDataReport!$B:$B,CFR20242025_BenchMarkDataReport!X:X),0)</f>
        <v>99258</v>
      </c>
      <c r="I41" s="289">
        <f>IFERROR(_xlfn.XLOOKUP($A41,CFR20242025_BenchMarkDataReport!$B:$B,CFR20242025_BenchMarkDataReport!Y:Y),0)</f>
        <v>0</v>
      </c>
      <c r="J41" s="289">
        <f>IFERROR(_xlfn.XLOOKUP($A41,CFR20242025_BenchMarkDataReport!$B:$B,CFR20242025_BenchMarkDataReport!Z:Z),0)</f>
        <v>50321.89</v>
      </c>
      <c r="K41" s="289">
        <f>IFERROR(_xlfn.XLOOKUP($A41,CFR20242025_BenchMarkDataReport!$B:$B,CFR20242025_BenchMarkDataReport!AA:AA),0)</f>
        <v>6757</v>
      </c>
      <c r="L41" s="289">
        <f>IFERROR(_xlfn.XLOOKUP($A41,CFR20242025_BenchMarkDataReport!$B:$B,CFR20242025_BenchMarkDataReport!AB:AB),0)</f>
        <v>81218.58</v>
      </c>
      <c r="M41" s="289">
        <f>IFERROR(_xlfn.XLOOKUP($A41,CFR20242025_BenchMarkDataReport!$B:$B,CFR20242025_BenchMarkDataReport!AC:AC),0)</f>
        <v>523.5</v>
      </c>
      <c r="N41" s="289">
        <f>IFERROR(_xlfn.XLOOKUP($A41,CFR20242025_BenchMarkDataReport!$B:$B,CFR20242025_BenchMarkDataReport!AD:AD),0)</f>
        <v>0</v>
      </c>
      <c r="O41" s="289">
        <f>IFERROR(_xlfn.XLOOKUP($A41,CFR20242025_BenchMarkDataReport!$B:$B,CFR20242025_BenchMarkDataReport!AE:AE),0)</f>
        <v>0</v>
      </c>
      <c r="P41" s="289">
        <f>IFERROR(_xlfn.XLOOKUP($A41,CFR20242025_BenchMarkDataReport!$B:$B,CFR20242025_BenchMarkDataReport!AF:AF),0)</f>
        <v>44051.73</v>
      </c>
      <c r="Q41" s="289">
        <f>IFERROR(_xlfn.XLOOKUP($A41,CFR20242025_BenchMarkDataReport!$B:$B,CFR20242025_BenchMarkDataReport!AG:AG),0)</f>
        <v>1570.8</v>
      </c>
      <c r="R41" s="289">
        <f>IFERROR(_xlfn.XLOOKUP($A41,CFR20242025_BenchMarkDataReport!$B:$B,CFR20242025_BenchMarkDataReport!AH:AH),0)</f>
        <v>0</v>
      </c>
      <c r="S41" s="289">
        <f>IFERROR(_xlfn.XLOOKUP($A41,CFR20242025_BenchMarkDataReport!$B:$B,CFR20242025_BenchMarkDataReport!AI:AI),0)</f>
        <v>0</v>
      </c>
      <c r="T41" s="289">
        <f>IFERROR(_xlfn.XLOOKUP($A41,CFR20242025_BenchMarkDataReport!$B:$B,CFR20242025_BenchMarkDataReport!AJ:AJ),0)</f>
        <v>0</v>
      </c>
      <c r="U41" s="289">
        <f>INDEX(CFR20242025_BenchMarkDataReport!$B$3:$AM$87,MATCH(A41,CFR20242025_BenchMarkDataReport!$B$3:$B$87),MATCH($U$2,CFR20242025_BenchMarkDataReport!$B$3:$AM$3,0))</f>
        <v>58716.75</v>
      </c>
      <c r="V41" s="289">
        <f>IFERROR(_xlfn.XLOOKUP($A41,CFR20242025_BenchMarkDataReport!$B:$B,CFR20242025_BenchMarkDataReport!AN:AN),0)</f>
        <v>1154777.81</v>
      </c>
      <c r="W41" s="289">
        <f>IFERROR(_xlfn.XLOOKUP($A41,CFR20242025_BenchMarkDataReport!$B:$B,CFR20242025_BenchMarkDataReport!AO:AO),0)</f>
        <v>0</v>
      </c>
      <c r="X41" s="289">
        <f>IFERROR(_xlfn.XLOOKUP($A41,CFR20242025_BenchMarkDataReport!$B:$B,CFR20242025_BenchMarkDataReport!AP:AP),0)</f>
        <v>641457.97</v>
      </c>
      <c r="Y41" s="289">
        <f>IFERROR(_xlfn.XLOOKUP($A41,CFR20242025_BenchMarkDataReport!$B:$B,CFR20242025_BenchMarkDataReport!AQ:AQ),0)</f>
        <v>91974.5</v>
      </c>
      <c r="Z41" s="289">
        <f>IFERROR(_xlfn.XLOOKUP($A41,CFR20242025_BenchMarkDataReport!$B:$B,CFR20242025_BenchMarkDataReport!AR:AR),0)</f>
        <v>71494.31</v>
      </c>
      <c r="AA41" s="289">
        <f>IFERROR(_xlfn.XLOOKUP($A41,CFR20242025_BenchMarkDataReport!$B:$B,CFR20242025_BenchMarkDataReport!AS:AS),0)</f>
        <v>0</v>
      </c>
      <c r="AB41" s="289">
        <f>IFERROR(_xlfn.XLOOKUP($A41,CFR20242025_BenchMarkDataReport!$B:$B,CFR20242025_BenchMarkDataReport!AT:AT),0)</f>
        <v>53587.89</v>
      </c>
      <c r="AC41" s="289">
        <f>IFERROR(_xlfn.XLOOKUP($A41,CFR20242025_BenchMarkDataReport!$B:$B,CFR20242025_BenchMarkDataReport!AU:AU),0)</f>
        <v>14132.89</v>
      </c>
      <c r="AD41" s="289">
        <f>IFERROR(_xlfn.XLOOKUP($A41,CFR20242025_BenchMarkDataReport!$B:$B,CFR20242025_BenchMarkDataReport!AV:AV),0)</f>
        <v>2187.71</v>
      </c>
      <c r="AE41" s="289">
        <f>IFERROR(_xlfn.XLOOKUP($A41,CFR20242025_BenchMarkDataReport!$B:$B,CFR20242025_BenchMarkDataReport!AW:AW),0)</f>
        <v>345.29</v>
      </c>
      <c r="AF41" s="289">
        <f>IFERROR(_xlfn.XLOOKUP($A41,CFR20242025_BenchMarkDataReport!$B:$B,CFR20242025_BenchMarkDataReport!AX:AX),0)</f>
        <v>0</v>
      </c>
      <c r="AG41" s="289">
        <f>IFERROR(_xlfn.XLOOKUP($A41,CFR20242025_BenchMarkDataReport!$B:$B,CFR20242025_BenchMarkDataReport!AY:AY),0)</f>
        <v>33673.24</v>
      </c>
      <c r="AH41" s="289">
        <f>IFERROR(_xlfn.XLOOKUP($A41,CFR20242025_BenchMarkDataReport!$B:$B,CFR20242025_BenchMarkDataReport!AZ:AZ),0)</f>
        <v>13689.43</v>
      </c>
      <c r="AI41" s="289">
        <f>IFERROR(_xlfn.XLOOKUP($A41,CFR20242025_BenchMarkDataReport!$B:$B,CFR20242025_BenchMarkDataReport!BA:BA),0)</f>
        <v>7189.07</v>
      </c>
      <c r="AJ41" s="289">
        <f>IFERROR(_xlfn.XLOOKUP($A41,CFR20242025_BenchMarkDataReport!$B:$B,CFR20242025_BenchMarkDataReport!BB:BB),0)</f>
        <v>2513.42</v>
      </c>
      <c r="AK41" s="289">
        <f>IFERROR(_xlfn.XLOOKUP($A41,CFR20242025_BenchMarkDataReport!$B:$B,CFR20242025_BenchMarkDataReport!BC:BC),0)</f>
        <v>36517.93</v>
      </c>
      <c r="AL41" s="289">
        <f>IFERROR(_xlfn.XLOOKUP($A41,CFR20242025_BenchMarkDataReport!$B:$B,CFR20242025_BenchMarkDataReport!BD:BD),0)</f>
        <v>28199.99</v>
      </c>
      <c r="AM41" s="289">
        <f>IFERROR(_xlfn.XLOOKUP($A41,CFR20242025_BenchMarkDataReport!$B:$B,CFR20242025_BenchMarkDataReport!BE:BE),0)</f>
        <v>19726.54</v>
      </c>
      <c r="AN41" s="289">
        <f>IFERROR(_xlfn.XLOOKUP($A41,CFR20242025_BenchMarkDataReport!$B:$B,CFR20242025_BenchMarkDataReport!BF:BF),0)</f>
        <v>74266.63</v>
      </c>
      <c r="AO41" s="289">
        <f>IFERROR(_xlfn.XLOOKUP($A41,CFR20242025_BenchMarkDataReport!$B:$B,CFR20242025_BenchMarkDataReport!BN:BN),0)</f>
        <v>47045.68</v>
      </c>
      <c r="AP41" s="289">
        <f>IFERROR(_xlfn.XLOOKUP($A41,CFR20242025_BenchMarkDataReport!$B:$B,CFR20242025_BenchMarkDataReport!BO:BO),0)</f>
        <v>0</v>
      </c>
      <c r="AQ41" s="289">
        <f>IFERROR(_xlfn.XLOOKUP($A41,CFR20242025_BenchMarkDataReport!$B:$B,CFR20242025_BenchMarkDataReport!BP:BP),0)</f>
        <v>28765.27</v>
      </c>
      <c r="AR41" s="289">
        <f>IFERROR(_xlfn.XLOOKUP($A41,CFR20242025_BenchMarkDataReport!$B:$B,CFR20242025_BenchMarkDataReport!BQ:BQ),0)</f>
        <v>11319.74</v>
      </c>
      <c r="AS41" s="289">
        <f>IFERROR(_xlfn.XLOOKUP($A41,CFR20242025_BenchMarkDataReport!$B:$B,CFR20242025_BenchMarkDataReport!BR:BR),0)</f>
        <v>8033.65</v>
      </c>
      <c r="AT41" s="289">
        <f>IFERROR(_xlfn.XLOOKUP($A41,CFR20242025_BenchMarkDataReport!$B:$B,CFR20242025_BenchMarkDataReport!BS:BS),0)</f>
        <v>92688.960000000006</v>
      </c>
      <c r="AU41" s="289">
        <f>IFERROR(_xlfn.XLOOKUP($A41,CFR20242025_BenchMarkDataReport!$B:$B,CFR20242025_BenchMarkDataReport!BT:BT),0)</f>
        <v>201</v>
      </c>
      <c r="AV41" s="289">
        <f>IFERROR(_xlfn.XLOOKUP($A41,CFR20242025_BenchMarkDataReport!$B:$B,CFR20242025_BenchMarkDataReport!BU:BU),0)</f>
        <v>158800.26999999999</v>
      </c>
      <c r="AW41" s="289">
        <f>IFERROR(_xlfn.XLOOKUP($A41,CFR20242025_BenchMarkDataReport!$B:$B,CFR20242025_BenchMarkDataReport!BV:BV),0)</f>
        <v>42974.01</v>
      </c>
      <c r="AX41" s="289">
        <f>IFERROR(_xlfn.XLOOKUP($A41,CFR20242025_BenchMarkDataReport!$B:$B,CFR20242025_BenchMarkDataReport!BW:BW),0)</f>
        <v>0</v>
      </c>
      <c r="AY41" s="289">
        <f>IFERROR(_xlfn.XLOOKUP($A41,CFR20242025_BenchMarkDataReport!$B:$B,CFR20242025_BenchMarkDataReport!BX:BX),0)</f>
        <v>0</v>
      </c>
      <c r="AZ41" s="289">
        <f>IFERROR(_xlfn.XLOOKUP($A41,CFR20242025_BenchMarkDataReport!$B:$B,CFR20242025_BenchMarkDataReport!BY:BY),0)</f>
        <v>28635.37</v>
      </c>
      <c r="BA41" s="289">
        <f>IFERROR(_xlfn.XLOOKUP($A41,CFR20242025_BenchMarkDataReport!$B:$B,CFR20242025_BenchMarkDataReport!BZ:BZ),0)</f>
        <v>0</v>
      </c>
      <c r="BB41" s="289">
        <f>IFERROR(_xlfn.XLOOKUP($A41,CFR20242025_BenchMarkDataReport!$B:$B,CFR20242025_BenchMarkDataReport!CA:CA),0)</f>
        <v>0</v>
      </c>
      <c r="BC41" s="290">
        <f t="shared" si="106"/>
        <v>2636179.96</v>
      </c>
      <c r="BD41" s="291">
        <f t="shared" si="104"/>
        <v>2664198.5700000003</v>
      </c>
      <c r="BE41" s="327">
        <f t="shared" si="105"/>
        <v>-28018.610000000335</v>
      </c>
      <c r="BF41" s="289">
        <f>IFERROR(_xlfn.XLOOKUP(A41,CFR20242025_BenchMarkDataReport!B:B,CFR20242025_BenchMarkDataReport!Q:Q),0)</f>
        <v>841905.61</v>
      </c>
      <c r="BG41" s="290">
        <f t="shared" si="0"/>
        <v>813886.99999999965</v>
      </c>
      <c r="BH41" s="292">
        <f>_xlfn.XLOOKUP(A41,'Pupil on roll 24-25'!E:E,'Pupil on roll 24-25'!I:I)</f>
        <v>208</v>
      </c>
      <c r="BI41" s="291">
        <f t="shared" si="1"/>
        <v>2293761.71</v>
      </c>
      <c r="BJ41" t="s">
        <v>190</v>
      </c>
      <c r="BK41" s="293">
        <f t="shared" si="107"/>
        <v>0.69553667724566126</v>
      </c>
      <c r="BL41" s="294">
        <f t="shared" si="108"/>
        <v>8815.1915865384617</v>
      </c>
      <c r="BM41" s="295">
        <f t="shared" si="109"/>
        <v>0</v>
      </c>
      <c r="BN41" s="296">
        <f t="shared" si="110"/>
        <v>0</v>
      </c>
      <c r="BO41" s="293">
        <f t="shared" si="111"/>
        <v>0.17457148866270875</v>
      </c>
      <c r="BP41" s="294">
        <f t="shared" si="112"/>
        <v>2212.5089423076925</v>
      </c>
      <c r="BQ41" s="295">
        <f t="shared" si="113"/>
        <v>0</v>
      </c>
      <c r="BR41" s="296">
        <f t="shared" si="114"/>
        <v>0</v>
      </c>
      <c r="BS41" s="293">
        <f t="shared" si="115"/>
        <v>3.7652209449312406E-2</v>
      </c>
      <c r="BT41" s="294">
        <f t="shared" si="116"/>
        <v>477.20192307692309</v>
      </c>
      <c r="BU41" s="295">
        <f t="shared" si="117"/>
        <v>0</v>
      </c>
      <c r="BV41" s="296">
        <f t="shared" si="118"/>
        <v>0</v>
      </c>
      <c r="BW41" s="293">
        <f t="shared" si="119"/>
        <v>1.9088943381543648E-2</v>
      </c>
      <c r="BX41" s="294">
        <f t="shared" si="120"/>
        <v>241.93216346153847</v>
      </c>
      <c r="BY41" s="295">
        <f t="shared" si="121"/>
        <v>3.3372372650917199E-2</v>
      </c>
      <c r="BZ41" s="297">
        <f t="shared" si="122"/>
        <v>422.95951923076922</v>
      </c>
      <c r="CA41" s="298">
        <f t="shared" si="123"/>
        <v>1.6710441118746689E-2</v>
      </c>
      <c r="CB41" s="299">
        <f t="shared" si="124"/>
        <v>211.78716346153848</v>
      </c>
      <c r="CC41" s="295">
        <f t="shared" si="125"/>
        <v>5.9586220358036563E-4</v>
      </c>
      <c r="CD41" s="296">
        <f t="shared" si="126"/>
        <v>7.5519230769230763</v>
      </c>
      <c r="CE41" s="300">
        <f t="shared" si="127"/>
        <v>0.50353042557328243</v>
      </c>
      <c r="CF41" s="298">
        <f t="shared" si="128"/>
        <v>0.43812593507462977</v>
      </c>
      <c r="CG41" s="298">
        <f t="shared" si="129"/>
        <v>0.4335182906430281</v>
      </c>
      <c r="CH41" s="299">
        <f t="shared" si="130"/>
        <v>5552.7827403846159</v>
      </c>
      <c r="CI41" s="295">
        <f t="shared" si="131"/>
        <v>0.27965327313794947</v>
      </c>
      <c r="CJ41" s="301">
        <f t="shared" si="132"/>
        <v>0.24332859658033359</v>
      </c>
      <c r="CK41" s="301">
        <f t="shared" si="133"/>
        <v>0.24076957972393173</v>
      </c>
      <c r="CL41" s="302">
        <f t="shared" si="134"/>
        <v>3083.932548076923</v>
      </c>
      <c r="CM41" s="300">
        <f t="shared" si="135"/>
        <v>4.0097669953693668E-2</v>
      </c>
      <c r="CN41" s="298">
        <f t="shared" si="136"/>
        <v>3.4889310060607547E-2</v>
      </c>
      <c r="CO41" s="298">
        <f t="shared" si="137"/>
        <v>3.4522389222662181E-2</v>
      </c>
      <c r="CP41" s="299">
        <f t="shared" si="138"/>
        <v>442.18509615384613</v>
      </c>
      <c r="CQ41" s="295">
        <f t="shared" si="139"/>
        <v>3.116902234801016E-2</v>
      </c>
      <c r="CR41" s="301">
        <f t="shared" si="140"/>
        <v>2.7120420868384114E-2</v>
      </c>
      <c r="CS41" s="301">
        <f t="shared" si="141"/>
        <v>2.6835203203340804E-2</v>
      </c>
      <c r="CT41" s="296">
        <f t="shared" si="142"/>
        <v>343.72264423076922</v>
      </c>
      <c r="CU41" s="300">
        <f t="shared" si="143"/>
        <v>0.87772521061047792</v>
      </c>
      <c r="CV41" s="298">
        <f t="shared" si="144"/>
        <v>0.76371587317582068</v>
      </c>
      <c r="CW41" s="298">
        <f t="shared" si="145"/>
        <v>0.75568409302163986</v>
      </c>
      <c r="CX41" s="299">
        <f t="shared" si="146"/>
        <v>9679.290769230769</v>
      </c>
      <c r="CY41" s="295">
        <f t="shared" si="147"/>
        <v>1.4680356661808605E-2</v>
      </c>
      <c r="CZ41" s="301">
        <f t="shared" si="148"/>
        <v>1.2639163003529423E-2</v>
      </c>
      <c r="DA41" s="296">
        <f t="shared" si="149"/>
        <v>161.89057692307691</v>
      </c>
      <c r="DB41" s="300">
        <f t="shared" si="150"/>
        <v>9.4340565613320628E-4</v>
      </c>
      <c r="DC41" s="299">
        <f t="shared" si="151"/>
        <v>12.08375</v>
      </c>
      <c r="DD41" s="295">
        <f t="shared" si="152"/>
        <v>1.5920542156055085E-2</v>
      </c>
      <c r="DE41" s="301">
        <f t="shared" si="153"/>
        <v>1.3706909992073149E-2</v>
      </c>
      <c r="DF41" s="296">
        <f t="shared" si="154"/>
        <v>175.56697115384617</v>
      </c>
      <c r="DG41" s="300">
        <f t="shared" si="155"/>
        <v>8.6000825255732431E-3</v>
      </c>
      <c r="DH41" s="298">
        <f t="shared" si="156"/>
        <v>7.4043054531029188E-3</v>
      </c>
      <c r="DI41" s="303">
        <f t="shared" si="157"/>
        <v>94.839134615384623</v>
      </c>
      <c r="DJ41" s="295">
        <f t="shared" si="158"/>
        <v>3.2377657049650552E-2</v>
      </c>
      <c r="DK41" s="301">
        <f t="shared" si="159"/>
        <v>2.8172063791881644E-2</v>
      </c>
      <c r="DL41" s="301">
        <f t="shared" si="160"/>
        <v>2.7875786300718568E-2</v>
      </c>
      <c r="DM41" s="296">
        <f t="shared" si="161"/>
        <v>357.05110576923079</v>
      </c>
      <c r="DN41" s="300">
        <f t="shared" si="162"/>
        <v>1.2540653143957138E-2</v>
      </c>
      <c r="DO41" s="298">
        <f t="shared" si="163"/>
        <v>1.0796969236418439E-2</v>
      </c>
      <c r="DP41" s="299">
        <f t="shared" si="164"/>
        <v>138.29456730769232</v>
      </c>
      <c r="DQ41" s="295">
        <f t="shared" si="165"/>
        <v>6.9231371902184202E-2</v>
      </c>
      <c r="DR41" s="301">
        <f t="shared" si="166"/>
        <v>5.9605268086304834E-2</v>
      </c>
      <c r="DS41" s="296">
        <f t="shared" si="167"/>
        <v>763.46283653846149</v>
      </c>
      <c r="DT41" s="300">
        <f t="shared" si="168"/>
        <v>3.4790559924367796E-2</v>
      </c>
      <c r="DU41" s="299">
        <f t="shared" si="169"/>
        <v>445.62</v>
      </c>
      <c r="DV41" s="295">
        <f t="shared" si="25"/>
        <v>2.6983987158284524E-3</v>
      </c>
      <c r="DW41" s="296">
        <f t="shared" si="97"/>
        <v>34.562836538461539</v>
      </c>
      <c r="DX41" s="295">
        <f t="shared" si="170"/>
        <v>2.8337729990270001E-5</v>
      </c>
      <c r="DY41" s="301">
        <f t="shared" si="171"/>
        <v>2.4656890267840441E-5</v>
      </c>
      <c r="DZ41" s="301">
        <f t="shared" si="172"/>
        <v>2.4397580845484798E-5</v>
      </c>
      <c r="EA41" s="296">
        <f t="shared" si="173"/>
        <v>0.3125</v>
      </c>
      <c r="EB41" s="304">
        <f>IFERROR(_xlfn.XLOOKUP(A41,'Pupil on roll 24-25'!E:E,'Pupil on roll 24-25'!R:R),0)</f>
        <v>65</v>
      </c>
      <c r="EC41" s="289">
        <f>IFERROR(_xlfn.XLOOKUP(A41,CFR20242025_BenchMarkDataReport!B:B,CFR20242025_BenchMarkDataReport!AK:AK),0)</f>
        <v>0</v>
      </c>
      <c r="ED41" s="289">
        <f>IFERROR(_xlfn.XLOOKUP(A41,CFR20242025_BenchMarkDataReport!B:B,CFR20242025_BenchMarkDataReport!AL:AL),0)</f>
        <v>58716.75</v>
      </c>
    </row>
    <row r="42" spans="1:134">
      <c r="A42" s="208">
        <v>2037</v>
      </c>
      <c r="B42" s="326">
        <v>10075</v>
      </c>
      <c r="C42" s="208" t="s">
        <v>73</v>
      </c>
      <c r="D42" s="289">
        <f>IFERROR(_xlfn.XLOOKUP($A42,CFR20242025_BenchMarkDataReport!$B:$B,CFR20242025_BenchMarkDataReport!T:T),0)</f>
        <v>1412087.45</v>
      </c>
      <c r="E42" s="289">
        <f>IFERROR(_xlfn.XLOOKUP($A42,CFR20242025_BenchMarkDataReport!$B:$B,CFR20242025_BenchMarkDataReport!U:U),0)</f>
        <v>0</v>
      </c>
      <c r="F42" s="289">
        <f>IFERROR(_xlfn.XLOOKUP($A42,CFR20242025_BenchMarkDataReport!$B:$B,CFR20242025_BenchMarkDataReport!V:V),0)</f>
        <v>123252.61</v>
      </c>
      <c r="G42" s="289">
        <f>IFERROR(_xlfn.XLOOKUP($A42,CFR20242025_BenchMarkDataReport!$B:$B,CFR20242025_BenchMarkDataReport!W:W),0)</f>
        <v>0</v>
      </c>
      <c r="H42" s="289">
        <f>IFERROR(_xlfn.XLOOKUP($A42,CFR20242025_BenchMarkDataReport!$B:$B,CFR20242025_BenchMarkDataReport!X:X),0)</f>
        <v>55015</v>
      </c>
      <c r="I42" s="289">
        <f>IFERROR(_xlfn.XLOOKUP($A42,CFR20242025_BenchMarkDataReport!$B:$B,CFR20242025_BenchMarkDataReport!Y:Y),0)</f>
        <v>314.81</v>
      </c>
      <c r="J42" s="289">
        <f>IFERROR(_xlfn.XLOOKUP($A42,CFR20242025_BenchMarkDataReport!$B:$B,CFR20242025_BenchMarkDataReport!Z:Z),0)</f>
        <v>48092.31</v>
      </c>
      <c r="K42" s="289">
        <f>IFERROR(_xlfn.XLOOKUP($A42,CFR20242025_BenchMarkDataReport!$B:$B,CFR20242025_BenchMarkDataReport!AA:AA),0)</f>
        <v>33126.6</v>
      </c>
      <c r="L42" s="289">
        <f>IFERROR(_xlfn.XLOOKUP($A42,CFR20242025_BenchMarkDataReport!$B:$B,CFR20242025_BenchMarkDataReport!AB:AB),0)</f>
        <v>28210.38</v>
      </c>
      <c r="M42" s="289">
        <f>IFERROR(_xlfn.XLOOKUP($A42,CFR20242025_BenchMarkDataReport!$B:$B,CFR20242025_BenchMarkDataReport!AC:AC),0)</f>
        <v>324.17</v>
      </c>
      <c r="N42" s="289">
        <f>IFERROR(_xlfn.XLOOKUP($A42,CFR20242025_BenchMarkDataReport!$B:$B,CFR20242025_BenchMarkDataReport!AD:AD),0)</f>
        <v>0</v>
      </c>
      <c r="O42" s="289">
        <f>IFERROR(_xlfn.XLOOKUP($A42,CFR20242025_BenchMarkDataReport!$B:$B,CFR20242025_BenchMarkDataReport!AE:AE),0)</f>
        <v>0</v>
      </c>
      <c r="P42" s="289">
        <f>IFERROR(_xlfn.XLOOKUP($A42,CFR20242025_BenchMarkDataReport!$B:$B,CFR20242025_BenchMarkDataReport!AF:AF),0)</f>
        <v>52888.94</v>
      </c>
      <c r="Q42" s="289">
        <f>IFERROR(_xlfn.XLOOKUP($A42,CFR20242025_BenchMarkDataReport!$B:$B,CFR20242025_BenchMarkDataReport!AG:AG),0)</f>
        <v>6970.47</v>
      </c>
      <c r="R42" s="289">
        <f>IFERROR(_xlfn.XLOOKUP($A42,CFR20242025_BenchMarkDataReport!$B:$B,CFR20242025_BenchMarkDataReport!AH:AH),0)</f>
        <v>0</v>
      </c>
      <c r="S42" s="289">
        <f>IFERROR(_xlfn.XLOOKUP($A42,CFR20242025_BenchMarkDataReport!$B:$B,CFR20242025_BenchMarkDataReport!AI:AI),0)</f>
        <v>0</v>
      </c>
      <c r="T42" s="289">
        <f>IFERROR(_xlfn.XLOOKUP($A42,CFR20242025_BenchMarkDataReport!$B:$B,CFR20242025_BenchMarkDataReport!AJ:AJ),0)</f>
        <v>0</v>
      </c>
      <c r="U42" s="289">
        <f>INDEX(CFR20242025_BenchMarkDataReport!$B$3:$AM$87,MATCH(A42,CFR20242025_BenchMarkDataReport!$B$3:$B$87),MATCH($U$2,CFR20242025_BenchMarkDataReport!$B$3:$AM$3,0))</f>
        <v>56775.38</v>
      </c>
      <c r="V42" s="289">
        <f>IFERROR(_xlfn.XLOOKUP($A42,CFR20242025_BenchMarkDataReport!$B:$B,CFR20242025_BenchMarkDataReport!AN:AN),0)</f>
        <v>733854.18</v>
      </c>
      <c r="W42" s="289">
        <f>IFERROR(_xlfn.XLOOKUP($A42,CFR20242025_BenchMarkDataReport!$B:$B,CFR20242025_BenchMarkDataReport!AO:AO),0)</f>
        <v>0</v>
      </c>
      <c r="X42" s="289">
        <f>IFERROR(_xlfn.XLOOKUP($A42,CFR20242025_BenchMarkDataReport!$B:$B,CFR20242025_BenchMarkDataReport!AP:AP),0)</f>
        <v>488574.23</v>
      </c>
      <c r="Y42" s="289">
        <f>IFERROR(_xlfn.XLOOKUP($A42,CFR20242025_BenchMarkDataReport!$B:$B,CFR20242025_BenchMarkDataReport!AQ:AQ),0)</f>
        <v>26860.21</v>
      </c>
      <c r="Z42" s="289">
        <f>IFERROR(_xlfn.XLOOKUP($A42,CFR20242025_BenchMarkDataReport!$B:$B,CFR20242025_BenchMarkDataReport!AR:AR),0)</f>
        <v>56720.03</v>
      </c>
      <c r="AA42" s="289">
        <f>IFERROR(_xlfn.XLOOKUP($A42,CFR20242025_BenchMarkDataReport!$B:$B,CFR20242025_BenchMarkDataReport!AS:AS),0)</f>
        <v>0</v>
      </c>
      <c r="AB42" s="289">
        <f>IFERROR(_xlfn.XLOOKUP($A42,CFR20242025_BenchMarkDataReport!$B:$B,CFR20242025_BenchMarkDataReport!AT:AT),0)</f>
        <v>58970.41</v>
      </c>
      <c r="AC42" s="289">
        <f>IFERROR(_xlfn.XLOOKUP($A42,CFR20242025_BenchMarkDataReport!$B:$B,CFR20242025_BenchMarkDataReport!AU:AU),0)</f>
        <v>10549.73</v>
      </c>
      <c r="AD42" s="289">
        <f>IFERROR(_xlfn.XLOOKUP($A42,CFR20242025_BenchMarkDataReport!$B:$B,CFR20242025_BenchMarkDataReport!AV:AV),0)</f>
        <v>7791.65</v>
      </c>
      <c r="AE42" s="289">
        <f>IFERROR(_xlfn.XLOOKUP($A42,CFR20242025_BenchMarkDataReport!$B:$B,CFR20242025_BenchMarkDataReport!AW:AW),0)</f>
        <v>348.6</v>
      </c>
      <c r="AF42" s="289">
        <f>IFERROR(_xlfn.XLOOKUP($A42,CFR20242025_BenchMarkDataReport!$B:$B,CFR20242025_BenchMarkDataReport!AX:AX),0)</f>
        <v>0</v>
      </c>
      <c r="AG42" s="289">
        <f>IFERROR(_xlfn.XLOOKUP($A42,CFR20242025_BenchMarkDataReport!$B:$B,CFR20242025_BenchMarkDataReport!AY:AY),0)</f>
        <v>26668.68</v>
      </c>
      <c r="AH42" s="289">
        <f>IFERROR(_xlfn.XLOOKUP($A42,CFR20242025_BenchMarkDataReport!$B:$B,CFR20242025_BenchMarkDataReport!AZ:AZ),0)</f>
        <v>1901</v>
      </c>
      <c r="AI42" s="289">
        <f>IFERROR(_xlfn.XLOOKUP($A42,CFR20242025_BenchMarkDataReport!$B:$B,CFR20242025_BenchMarkDataReport!BA:BA),0)</f>
        <v>33879.94</v>
      </c>
      <c r="AJ42" s="289">
        <f>IFERROR(_xlfn.XLOOKUP($A42,CFR20242025_BenchMarkDataReport!$B:$B,CFR20242025_BenchMarkDataReport!BB:BB),0)</f>
        <v>12765.21</v>
      </c>
      <c r="AK42" s="289">
        <f>IFERROR(_xlfn.XLOOKUP($A42,CFR20242025_BenchMarkDataReport!$B:$B,CFR20242025_BenchMarkDataReport!BC:BC),0)</f>
        <v>64384.76</v>
      </c>
      <c r="AL42" s="289">
        <f>IFERROR(_xlfn.XLOOKUP($A42,CFR20242025_BenchMarkDataReport!$B:$B,CFR20242025_BenchMarkDataReport!BD:BD),0)</f>
        <v>33177.72</v>
      </c>
      <c r="AM42" s="289">
        <f>IFERROR(_xlfn.XLOOKUP($A42,CFR20242025_BenchMarkDataReport!$B:$B,CFR20242025_BenchMarkDataReport!BE:BE),0)</f>
        <v>9723.4</v>
      </c>
      <c r="AN42" s="289">
        <f>IFERROR(_xlfn.XLOOKUP($A42,CFR20242025_BenchMarkDataReport!$B:$B,CFR20242025_BenchMarkDataReport!BF:BF),0)</f>
        <v>61584.58</v>
      </c>
      <c r="AO42" s="289">
        <f>IFERROR(_xlfn.XLOOKUP($A42,CFR20242025_BenchMarkDataReport!$B:$B,CFR20242025_BenchMarkDataReport!BN:BN),0)</f>
        <v>40346.99</v>
      </c>
      <c r="AP42" s="289">
        <f>IFERROR(_xlfn.XLOOKUP($A42,CFR20242025_BenchMarkDataReport!$B:$B,CFR20242025_BenchMarkDataReport!BO:BO),0)</f>
        <v>0</v>
      </c>
      <c r="AQ42" s="289">
        <f>IFERROR(_xlfn.XLOOKUP($A42,CFR20242025_BenchMarkDataReport!$B:$B,CFR20242025_BenchMarkDataReport!BP:BP),0)</f>
        <v>403.41</v>
      </c>
      <c r="AR42" s="289">
        <f>IFERROR(_xlfn.XLOOKUP($A42,CFR20242025_BenchMarkDataReport!$B:$B,CFR20242025_BenchMarkDataReport!BQ:BQ),0)</f>
        <v>13197.78</v>
      </c>
      <c r="AS42" s="289">
        <f>IFERROR(_xlfn.XLOOKUP($A42,CFR20242025_BenchMarkDataReport!$B:$B,CFR20242025_BenchMarkDataReport!BR:BR),0)</f>
        <v>15116.91</v>
      </c>
      <c r="AT42" s="289">
        <f>IFERROR(_xlfn.XLOOKUP($A42,CFR20242025_BenchMarkDataReport!$B:$B,CFR20242025_BenchMarkDataReport!BS:BS),0)</f>
        <v>96115.94</v>
      </c>
      <c r="AU42" s="289">
        <f>IFERROR(_xlfn.XLOOKUP($A42,CFR20242025_BenchMarkDataReport!$B:$B,CFR20242025_BenchMarkDataReport!BT:BT),0)</f>
        <v>102427.06</v>
      </c>
      <c r="AV42" s="289">
        <f>IFERROR(_xlfn.XLOOKUP($A42,CFR20242025_BenchMarkDataReport!$B:$B,CFR20242025_BenchMarkDataReport!BU:BU),0)</f>
        <v>137429.12</v>
      </c>
      <c r="AW42" s="289">
        <f>IFERROR(_xlfn.XLOOKUP($A42,CFR20242025_BenchMarkDataReport!$B:$B,CFR20242025_BenchMarkDataReport!BV:BV),0)</f>
        <v>26891.42</v>
      </c>
      <c r="AX42" s="289">
        <f>IFERROR(_xlfn.XLOOKUP($A42,CFR20242025_BenchMarkDataReport!$B:$B,CFR20242025_BenchMarkDataReport!BW:BW),0)</f>
        <v>0</v>
      </c>
      <c r="AY42" s="289">
        <f>IFERROR(_xlfn.XLOOKUP($A42,CFR20242025_BenchMarkDataReport!$B:$B,CFR20242025_BenchMarkDataReport!BX:BX),0)</f>
        <v>0</v>
      </c>
      <c r="AZ42" s="289">
        <f>IFERROR(_xlfn.XLOOKUP($A42,CFR20242025_BenchMarkDataReport!$B:$B,CFR20242025_BenchMarkDataReport!BY:BY),0)</f>
        <v>0</v>
      </c>
      <c r="BA42" s="289">
        <f>IFERROR(_xlfn.XLOOKUP($A42,CFR20242025_BenchMarkDataReport!$B:$B,CFR20242025_BenchMarkDataReport!BZ:BZ),0)</f>
        <v>0</v>
      </c>
      <c r="BB42" s="289">
        <f>IFERROR(_xlfn.XLOOKUP($A42,CFR20242025_BenchMarkDataReport!$B:$B,CFR20242025_BenchMarkDataReport!CA:CA),0)</f>
        <v>0</v>
      </c>
      <c r="BC42" s="290">
        <f t="shared" si="106"/>
        <v>1817058.1199999999</v>
      </c>
      <c r="BD42" s="291">
        <f t="shared" si="104"/>
        <v>2059682.9599999995</v>
      </c>
      <c r="BE42" s="327">
        <f t="shared" si="105"/>
        <v>-242624.83999999962</v>
      </c>
      <c r="BF42" s="289">
        <f>IFERROR(_xlfn.XLOOKUP(A42,CFR20242025_BenchMarkDataReport!B:B,CFR20242025_BenchMarkDataReport!Q:Q),0)</f>
        <v>105868.75</v>
      </c>
      <c r="BG42" s="290">
        <f t="shared" si="0"/>
        <v>-136756.08999999962</v>
      </c>
      <c r="BH42" s="292">
        <f>_xlfn.XLOOKUP(A42,'Pupil on roll 24-25'!E:E,'Pupil on roll 24-25'!I:I)</f>
        <v>210</v>
      </c>
      <c r="BI42" s="291">
        <f t="shared" si="1"/>
        <v>1535340.06</v>
      </c>
      <c r="BJ42" t="s">
        <v>190</v>
      </c>
      <c r="BK42" s="293">
        <f t="shared" si="107"/>
        <v>0.77712838926693217</v>
      </c>
      <c r="BL42" s="294">
        <f t="shared" si="108"/>
        <v>6724.2259523809525</v>
      </c>
      <c r="BM42" s="295">
        <f t="shared" si="109"/>
        <v>0</v>
      </c>
      <c r="BN42" s="296">
        <f t="shared" si="110"/>
        <v>0</v>
      </c>
      <c r="BO42" s="293">
        <f t="shared" si="111"/>
        <v>6.783085727604575E-2</v>
      </c>
      <c r="BP42" s="294">
        <f t="shared" si="112"/>
        <v>586.91719047619051</v>
      </c>
      <c r="BQ42" s="295">
        <f t="shared" si="113"/>
        <v>0</v>
      </c>
      <c r="BR42" s="296">
        <f t="shared" si="114"/>
        <v>0</v>
      </c>
      <c r="BS42" s="293">
        <f t="shared" si="115"/>
        <v>3.0276962192051404E-2</v>
      </c>
      <c r="BT42" s="294">
        <f t="shared" si="116"/>
        <v>261.97619047619048</v>
      </c>
      <c r="BU42" s="295">
        <f t="shared" si="117"/>
        <v>1.732525759825448E-4</v>
      </c>
      <c r="BV42" s="296">
        <f t="shared" si="118"/>
        <v>1.499095238095238</v>
      </c>
      <c r="BW42" s="293">
        <f t="shared" si="119"/>
        <v>2.6467128085038909E-2</v>
      </c>
      <c r="BX42" s="294">
        <f t="shared" si="120"/>
        <v>229.011</v>
      </c>
      <c r="BY42" s="295">
        <f t="shared" si="121"/>
        <v>3.375620148022563E-2</v>
      </c>
      <c r="BZ42" s="297">
        <f t="shared" si="122"/>
        <v>292.0808571428571</v>
      </c>
      <c r="CA42" s="298">
        <f t="shared" si="123"/>
        <v>2.9106906057578392E-2</v>
      </c>
      <c r="CB42" s="299">
        <f t="shared" si="124"/>
        <v>251.85209523809525</v>
      </c>
      <c r="CC42" s="295">
        <f t="shared" si="125"/>
        <v>3.8361293583718723E-3</v>
      </c>
      <c r="CD42" s="296">
        <f t="shared" si="126"/>
        <v>33.192714285714288</v>
      </c>
      <c r="CE42" s="300">
        <f t="shared" si="127"/>
        <v>0.54468795662115399</v>
      </c>
      <c r="CF42" s="298">
        <f t="shared" si="128"/>
        <v>0.46023912542764456</v>
      </c>
      <c r="CG42" s="298">
        <f t="shared" si="129"/>
        <v>0.40602425530577785</v>
      </c>
      <c r="CH42" s="299">
        <f t="shared" si="130"/>
        <v>3982.291619047619</v>
      </c>
      <c r="CI42" s="295">
        <f t="shared" si="131"/>
        <v>0.31821890324414515</v>
      </c>
      <c r="CJ42" s="301">
        <f t="shared" si="132"/>
        <v>0.26888200472090568</v>
      </c>
      <c r="CK42" s="301">
        <f t="shared" si="133"/>
        <v>0.2372084633840929</v>
      </c>
      <c r="CL42" s="302">
        <f t="shared" si="134"/>
        <v>2326.5439523809523</v>
      </c>
      <c r="CM42" s="300">
        <f t="shared" si="135"/>
        <v>1.7494632426903522E-2</v>
      </c>
      <c r="CN42" s="298">
        <f t="shared" si="136"/>
        <v>1.4782251433982751E-2</v>
      </c>
      <c r="CO42" s="298">
        <f t="shared" si="137"/>
        <v>1.3040943932458424E-2</v>
      </c>
      <c r="CP42" s="299">
        <f t="shared" si="138"/>
        <v>127.9057619047619</v>
      </c>
      <c r="CQ42" s="295">
        <f t="shared" si="139"/>
        <v>3.6942975356221736E-2</v>
      </c>
      <c r="CR42" s="301">
        <f t="shared" si="140"/>
        <v>3.121530862204892E-2</v>
      </c>
      <c r="CS42" s="301">
        <f t="shared" si="141"/>
        <v>2.7538233359953618E-2</v>
      </c>
      <c r="CT42" s="296">
        <f t="shared" si="142"/>
        <v>270.09538095238094</v>
      </c>
      <c r="CU42" s="300">
        <f t="shared" si="143"/>
        <v>0.88904021692757762</v>
      </c>
      <c r="CV42" s="298">
        <f t="shared" si="144"/>
        <v>0.75120275184153174</v>
      </c>
      <c r="CW42" s="298">
        <f t="shared" si="145"/>
        <v>0.66271318766457166</v>
      </c>
      <c r="CX42" s="299">
        <f t="shared" si="146"/>
        <v>6499.9002857142859</v>
      </c>
      <c r="CY42" s="295">
        <f t="shared" si="147"/>
        <v>1.7369884818871983E-2</v>
      </c>
      <c r="CZ42" s="301">
        <f t="shared" si="148"/>
        <v>1.2947953892865146E-2</v>
      </c>
      <c r="DA42" s="296">
        <f t="shared" si="149"/>
        <v>126.99371428571429</v>
      </c>
      <c r="DB42" s="300">
        <f t="shared" si="150"/>
        <v>6.1976577210698493E-3</v>
      </c>
      <c r="DC42" s="299">
        <f t="shared" si="151"/>
        <v>60.786714285714282</v>
      </c>
      <c r="DD42" s="295">
        <f t="shared" si="152"/>
        <v>4.1935178842399251E-2</v>
      </c>
      <c r="DE42" s="301">
        <f t="shared" si="153"/>
        <v>3.1259548799685177E-2</v>
      </c>
      <c r="DF42" s="296">
        <f t="shared" si="154"/>
        <v>306.59409523809524</v>
      </c>
      <c r="DG42" s="300">
        <f t="shared" si="155"/>
        <v>6.3330595307986683E-3</v>
      </c>
      <c r="DH42" s="298">
        <f t="shared" si="156"/>
        <v>4.720823635886176E-3</v>
      </c>
      <c r="DI42" s="303">
        <f t="shared" si="157"/>
        <v>46.301904761904758</v>
      </c>
      <c r="DJ42" s="295">
        <f t="shared" si="158"/>
        <v>4.0111361387912978E-2</v>
      </c>
      <c r="DK42" s="301">
        <f t="shared" si="159"/>
        <v>3.3892465696144056E-2</v>
      </c>
      <c r="DL42" s="301">
        <f t="shared" si="160"/>
        <v>2.9900028885999047E-2</v>
      </c>
      <c r="DM42" s="296">
        <f t="shared" si="161"/>
        <v>293.25990476190475</v>
      </c>
      <c r="DN42" s="300">
        <f t="shared" si="162"/>
        <v>2.6274960870883551E-4</v>
      </c>
      <c r="DO42" s="298">
        <f t="shared" si="163"/>
        <v>1.9586024054886589E-4</v>
      </c>
      <c r="DP42" s="299">
        <f t="shared" si="164"/>
        <v>1.921</v>
      </c>
      <c r="DQ42" s="295">
        <f t="shared" si="165"/>
        <v>8.9510541397584575E-2</v>
      </c>
      <c r="DR42" s="301">
        <f t="shared" si="166"/>
        <v>6.6723433979373234E-2</v>
      </c>
      <c r="DS42" s="296">
        <f t="shared" si="167"/>
        <v>654.42438095238094</v>
      </c>
      <c r="DT42" s="300">
        <f t="shared" si="168"/>
        <v>4.6665405242756405E-2</v>
      </c>
      <c r="DU42" s="299">
        <f t="shared" si="169"/>
        <v>457.69495238095237</v>
      </c>
      <c r="DV42" s="295">
        <f t="shared" si="25"/>
        <v>1.6449104380608173E-2</v>
      </c>
      <c r="DW42" s="296">
        <f t="shared" si="97"/>
        <v>161.33304761904762</v>
      </c>
      <c r="DX42" s="295">
        <f t="shared" si="170"/>
        <v>2.2796252707690047E-5</v>
      </c>
      <c r="DY42" s="301">
        <f t="shared" si="171"/>
        <v>1.9261904511893103E-5</v>
      </c>
      <c r="DZ42" s="301">
        <f t="shared" si="172"/>
        <v>1.6992906519943247E-5</v>
      </c>
      <c r="EA42" s="296">
        <f t="shared" si="173"/>
        <v>0.16666666666666666</v>
      </c>
      <c r="EB42" s="304">
        <f>IFERROR(_xlfn.XLOOKUP(A42,'Pupil on roll 24-25'!E:E,'Pupil on roll 24-25'!R:R),0)</f>
        <v>35</v>
      </c>
      <c r="EC42" s="289">
        <f>IFERROR(_xlfn.XLOOKUP(A42,CFR20242025_BenchMarkDataReport!B:B,CFR20242025_BenchMarkDataReport!AK:AK),0)</f>
        <v>3521.88</v>
      </c>
      <c r="ED42" s="289">
        <f>IFERROR(_xlfn.XLOOKUP(A42,CFR20242025_BenchMarkDataReport!B:B,CFR20242025_BenchMarkDataReport!AL:AL),0)</f>
        <v>53253.5</v>
      </c>
    </row>
    <row r="43" spans="1:134">
      <c r="A43" s="208">
        <v>3523</v>
      </c>
      <c r="B43" s="326">
        <v>11093</v>
      </c>
      <c r="C43" s="208" t="s">
        <v>74</v>
      </c>
      <c r="D43" s="289">
        <f>IFERROR(_xlfn.XLOOKUP($A43,CFR20242025_BenchMarkDataReport!$B:$B,CFR20242025_BenchMarkDataReport!T:T),0)</f>
        <v>3868398.77</v>
      </c>
      <c r="E43" s="289">
        <f>IFERROR(_xlfn.XLOOKUP($A43,CFR20242025_BenchMarkDataReport!$B:$B,CFR20242025_BenchMarkDataReport!U:U),0)</f>
        <v>0</v>
      </c>
      <c r="F43" s="289">
        <f>IFERROR(_xlfn.XLOOKUP($A43,CFR20242025_BenchMarkDataReport!$B:$B,CFR20242025_BenchMarkDataReport!V:V),0)</f>
        <v>243080.82</v>
      </c>
      <c r="G43" s="289">
        <f>IFERROR(_xlfn.XLOOKUP($A43,CFR20242025_BenchMarkDataReport!$B:$B,CFR20242025_BenchMarkDataReport!W:W),0)</f>
        <v>0</v>
      </c>
      <c r="H43" s="289">
        <f>IFERROR(_xlfn.XLOOKUP($A43,CFR20242025_BenchMarkDataReport!$B:$B,CFR20242025_BenchMarkDataReport!X:X),0)</f>
        <v>287820</v>
      </c>
      <c r="I43" s="289">
        <f>IFERROR(_xlfn.XLOOKUP($A43,CFR20242025_BenchMarkDataReport!$B:$B,CFR20242025_BenchMarkDataReport!Y:Y),0)</f>
        <v>4560</v>
      </c>
      <c r="J43" s="289">
        <f>IFERROR(_xlfn.XLOOKUP($A43,CFR20242025_BenchMarkDataReport!$B:$B,CFR20242025_BenchMarkDataReport!Z:Z),0)</f>
        <v>130621.35</v>
      </c>
      <c r="K43" s="289">
        <f>IFERROR(_xlfn.XLOOKUP($A43,CFR20242025_BenchMarkDataReport!$B:$B,CFR20242025_BenchMarkDataReport!AA:AA),0)</f>
        <v>109752.42</v>
      </c>
      <c r="L43" s="289">
        <f>IFERROR(_xlfn.XLOOKUP($A43,CFR20242025_BenchMarkDataReport!$B:$B,CFR20242025_BenchMarkDataReport!AB:AB),0)</f>
        <v>20771.66</v>
      </c>
      <c r="M43" s="289">
        <f>IFERROR(_xlfn.XLOOKUP($A43,CFR20242025_BenchMarkDataReport!$B:$B,CFR20242025_BenchMarkDataReport!AC:AC),0)</f>
        <v>11956.78</v>
      </c>
      <c r="N43" s="289">
        <f>IFERROR(_xlfn.XLOOKUP($A43,CFR20242025_BenchMarkDataReport!$B:$B,CFR20242025_BenchMarkDataReport!AD:AD),0)</f>
        <v>4240</v>
      </c>
      <c r="O43" s="289">
        <f>IFERROR(_xlfn.XLOOKUP($A43,CFR20242025_BenchMarkDataReport!$B:$B,CFR20242025_BenchMarkDataReport!AE:AE),0)</f>
        <v>0</v>
      </c>
      <c r="P43" s="289">
        <f>IFERROR(_xlfn.XLOOKUP($A43,CFR20242025_BenchMarkDataReport!$B:$B,CFR20242025_BenchMarkDataReport!AF:AF),0)</f>
        <v>159042.53</v>
      </c>
      <c r="Q43" s="289">
        <f>IFERROR(_xlfn.XLOOKUP($A43,CFR20242025_BenchMarkDataReport!$B:$B,CFR20242025_BenchMarkDataReport!AG:AG),0)</f>
        <v>21903.71</v>
      </c>
      <c r="R43" s="289">
        <f>IFERROR(_xlfn.XLOOKUP($A43,CFR20242025_BenchMarkDataReport!$B:$B,CFR20242025_BenchMarkDataReport!AH:AH),0)</f>
        <v>0</v>
      </c>
      <c r="S43" s="289">
        <f>IFERROR(_xlfn.XLOOKUP($A43,CFR20242025_BenchMarkDataReport!$B:$B,CFR20242025_BenchMarkDataReport!AI:AI),0)</f>
        <v>0</v>
      </c>
      <c r="T43" s="289">
        <f>IFERROR(_xlfn.XLOOKUP($A43,CFR20242025_BenchMarkDataReport!$B:$B,CFR20242025_BenchMarkDataReport!AJ:AJ),0)</f>
        <v>0</v>
      </c>
      <c r="U43" s="289">
        <f>INDEX(CFR20242025_BenchMarkDataReport!$B$3:$AM$87,MATCH(A43,CFR20242025_BenchMarkDataReport!$B$3:$B$87),MATCH($U$2,CFR20242025_BenchMarkDataReport!$B$3:$AM$3,0))</f>
        <v>117703.5</v>
      </c>
      <c r="V43" s="289">
        <f>IFERROR(_xlfn.XLOOKUP($A43,CFR20242025_BenchMarkDataReport!$B:$B,CFR20242025_BenchMarkDataReport!AN:AN),0)</f>
        <v>2094259.88</v>
      </c>
      <c r="W43" s="289">
        <f>IFERROR(_xlfn.XLOOKUP($A43,CFR20242025_BenchMarkDataReport!$B:$B,CFR20242025_BenchMarkDataReport!AO:AO),0)</f>
        <v>0</v>
      </c>
      <c r="X43" s="289">
        <f>IFERROR(_xlfn.XLOOKUP($A43,CFR20242025_BenchMarkDataReport!$B:$B,CFR20242025_BenchMarkDataReport!AP:AP),0)</f>
        <v>999897.78</v>
      </c>
      <c r="Y43" s="289">
        <f>IFERROR(_xlfn.XLOOKUP($A43,CFR20242025_BenchMarkDataReport!$B:$B,CFR20242025_BenchMarkDataReport!AQ:AQ),0)</f>
        <v>221378.84</v>
      </c>
      <c r="Z43" s="289">
        <f>IFERROR(_xlfn.XLOOKUP($A43,CFR20242025_BenchMarkDataReport!$B:$B,CFR20242025_BenchMarkDataReport!AR:AR),0)</f>
        <v>186224.24</v>
      </c>
      <c r="AA43" s="289">
        <f>IFERROR(_xlfn.XLOOKUP($A43,CFR20242025_BenchMarkDataReport!$B:$B,CFR20242025_BenchMarkDataReport!AS:AS),0)</f>
        <v>0</v>
      </c>
      <c r="AB43" s="289">
        <f>IFERROR(_xlfn.XLOOKUP($A43,CFR20242025_BenchMarkDataReport!$B:$B,CFR20242025_BenchMarkDataReport!AT:AT),0)</f>
        <v>149073.18</v>
      </c>
      <c r="AC43" s="289">
        <f>IFERROR(_xlfn.XLOOKUP($A43,CFR20242025_BenchMarkDataReport!$B:$B,CFR20242025_BenchMarkDataReport!AU:AU),0)</f>
        <v>35237.730000000003</v>
      </c>
      <c r="AD43" s="289">
        <f>IFERROR(_xlfn.XLOOKUP($A43,CFR20242025_BenchMarkDataReport!$B:$B,CFR20242025_BenchMarkDataReport!AV:AV),0)</f>
        <v>3381.5</v>
      </c>
      <c r="AE43" s="289">
        <f>IFERROR(_xlfn.XLOOKUP($A43,CFR20242025_BenchMarkDataReport!$B:$B,CFR20242025_BenchMarkDataReport!AW:AW),0)</f>
        <v>1030.8599999999999</v>
      </c>
      <c r="AF43" s="289">
        <f>IFERROR(_xlfn.XLOOKUP($A43,CFR20242025_BenchMarkDataReport!$B:$B,CFR20242025_BenchMarkDataReport!AX:AX),0)</f>
        <v>11345.83</v>
      </c>
      <c r="AG43" s="289">
        <f>IFERROR(_xlfn.XLOOKUP($A43,CFR20242025_BenchMarkDataReport!$B:$B,CFR20242025_BenchMarkDataReport!AY:AY),0)</f>
        <v>22358.66</v>
      </c>
      <c r="AH43" s="289">
        <f>IFERROR(_xlfn.XLOOKUP($A43,CFR20242025_BenchMarkDataReport!$B:$B,CFR20242025_BenchMarkDataReport!AZ:AZ),0)</f>
        <v>572.91999999999996</v>
      </c>
      <c r="AI43" s="289">
        <f>IFERROR(_xlfn.XLOOKUP($A43,CFR20242025_BenchMarkDataReport!$B:$B,CFR20242025_BenchMarkDataReport!BA:BA),0)</f>
        <v>9132.43</v>
      </c>
      <c r="AJ43" s="289">
        <f>IFERROR(_xlfn.XLOOKUP($A43,CFR20242025_BenchMarkDataReport!$B:$B,CFR20242025_BenchMarkDataReport!BB:BB),0)</f>
        <v>4016.89</v>
      </c>
      <c r="AK43" s="289">
        <f>IFERROR(_xlfn.XLOOKUP($A43,CFR20242025_BenchMarkDataReport!$B:$B,CFR20242025_BenchMarkDataReport!BC:BC),0)</f>
        <v>50050.15</v>
      </c>
      <c r="AL43" s="289">
        <f>IFERROR(_xlfn.XLOOKUP($A43,CFR20242025_BenchMarkDataReport!$B:$B,CFR20242025_BenchMarkDataReport!BD:BD),0)</f>
        <v>68308.800000000003</v>
      </c>
      <c r="AM43" s="289">
        <f>IFERROR(_xlfn.XLOOKUP($A43,CFR20242025_BenchMarkDataReport!$B:$B,CFR20242025_BenchMarkDataReport!BE:BE),0)</f>
        <v>17548.98</v>
      </c>
      <c r="AN43" s="289">
        <f>IFERROR(_xlfn.XLOOKUP($A43,CFR20242025_BenchMarkDataReport!$B:$B,CFR20242025_BenchMarkDataReport!BF:BF),0)</f>
        <v>122602.33</v>
      </c>
      <c r="AO43" s="289">
        <f>IFERROR(_xlfn.XLOOKUP($A43,CFR20242025_BenchMarkDataReport!$B:$B,CFR20242025_BenchMarkDataReport!BN:BN),0)</f>
        <v>21276.9</v>
      </c>
      <c r="AP43" s="289">
        <f>IFERROR(_xlfn.XLOOKUP($A43,CFR20242025_BenchMarkDataReport!$B:$B,CFR20242025_BenchMarkDataReport!BO:BO),0)</f>
        <v>0</v>
      </c>
      <c r="AQ43" s="289">
        <f>IFERROR(_xlfn.XLOOKUP($A43,CFR20242025_BenchMarkDataReport!$B:$B,CFR20242025_BenchMarkDataReport!BP:BP),0)</f>
        <v>17716.830000000002</v>
      </c>
      <c r="AR43" s="289">
        <f>IFERROR(_xlfn.XLOOKUP($A43,CFR20242025_BenchMarkDataReport!$B:$B,CFR20242025_BenchMarkDataReport!BQ:BQ),0)</f>
        <v>25392.69</v>
      </c>
      <c r="AS43" s="289">
        <f>IFERROR(_xlfn.XLOOKUP($A43,CFR20242025_BenchMarkDataReport!$B:$B,CFR20242025_BenchMarkDataReport!BR:BR),0)</f>
        <v>725.67</v>
      </c>
      <c r="AT43" s="289">
        <f>IFERROR(_xlfn.XLOOKUP($A43,CFR20242025_BenchMarkDataReport!$B:$B,CFR20242025_BenchMarkDataReport!BS:BS),0)</f>
        <v>242890.96</v>
      </c>
      <c r="AU43" s="289">
        <f>IFERROR(_xlfn.XLOOKUP($A43,CFR20242025_BenchMarkDataReport!$B:$B,CFR20242025_BenchMarkDataReport!BT:BT),0)</f>
        <v>31426.28</v>
      </c>
      <c r="AV43" s="289">
        <f>IFERROR(_xlfn.XLOOKUP($A43,CFR20242025_BenchMarkDataReport!$B:$B,CFR20242025_BenchMarkDataReport!BU:BU),0)</f>
        <v>467968.77</v>
      </c>
      <c r="AW43" s="289">
        <f>IFERROR(_xlfn.XLOOKUP($A43,CFR20242025_BenchMarkDataReport!$B:$B,CFR20242025_BenchMarkDataReport!BV:BV),0)</f>
        <v>45305.43</v>
      </c>
      <c r="AX43" s="289">
        <f>IFERROR(_xlfn.XLOOKUP($A43,CFR20242025_BenchMarkDataReport!$B:$B,CFR20242025_BenchMarkDataReport!BW:BW),0)</f>
        <v>0</v>
      </c>
      <c r="AY43" s="289">
        <f>IFERROR(_xlfn.XLOOKUP($A43,CFR20242025_BenchMarkDataReport!$B:$B,CFR20242025_BenchMarkDataReport!BX:BX),0)</f>
        <v>0</v>
      </c>
      <c r="AZ43" s="289">
        <f>IFERROR(_xlfn.XLOOKUP($A43,CFR20242025_BenchMarkDataReport!$B:$B,CFR20242025_BenchMarkDataReport!BY:BY),0)</f>
        <v>0</v>
      </c>
      <c r="BA43" s="289">
        <f>IFERROR(_xlfn.XLOOKUP($A43,CFR20242025_BenchMarkDataReport!$B:$B,CFR20242025_BenchMarkDataReport!BZ:BZ),0)</f>
        <v>0</v>
      </c>
      <c r="BB43" s="289">
        <f>IFERROR(_xlfn.XLOOKUP($A43,CFR20242025_BenchMarkDataReport!$B:$B,CFR20242025_BenchMarkDataReport!CA:CA),0)</f>
        <v>0</v>
      </c>
      <c r="BC43" s="290">
        <f t="shared" si="106"/>
        <v>4979851.54</v>
      </c>
      <c r="BD43" s="291">
        <f t="shared" si="104"/>
        <v>4849124.5300000012</v>
      </c>
      <c r="BE43" s="327">
        <f t="shared" si="105"/>
        <v>130727.00999999885</v>
      </c>
      <c r="BF43" s="289">
        <f>IFERROR(_xlfn.XLOOKUP(A43,CFR20242025_BenchMarkDataReport!B:B,CFR20242025_BenchMarkDataReport!Q:Q),0)</f>
        <v>322106.99</v>
      </c>
      <c r="BG43" s="290">
        <f t="shared" si="0"/>
        <v>452833.99999999884</v>
      </c>
      <c r="BH43" s="292">
        <f>_xlfn.XLOOKUP(A43,'Pupil on roll 24-25'!E:E,'Pupil on roll 24-25'!I:I)</f>
        <v>621</v>
      </c>
      <c r="BI43" s="291">
        <f t="shared" si="1"/>
        <v>4111479.59</v>
      </c>
      <c r="BJ43" t="s">
        <v>190</v>
      </c>
      <c r="BK43" s="293">
        <f t="shared" si="107"/>
        <v>0.77681005928140578</v>
      </c>
      <c r="BL43" s="294">
        <f t="shared" si="108"/>
        <v>6229.3055877616744</v>
      </c>
      <c r="BM43" s="295">
        <f t="shared" si="109"/>
        <v>0</v>
      </c>
      <c r="BN43" s="296">
        <f t="shared" si="110"/>
        <v>0</v>
      </c>
      <c r="BO43" s="293">
        <f t="shared" si="111"/>
        <v>4.8812864810825266E-2</v>
      </c>
      <c r="BP43" s="294">
        <f t="shared" si="112"/>
        <v>391.4344927536232</v>
      </c>
      <c r="BQ43" s="295">
        <f t="shared" si="113"/>
        <v>0</v>
      </c>
      <c r="BR43" s="296">
        <f t="shared" si="114"/>
        <v>0</v>
      </c>
      <c r="BS43" s="293">
        <f t="shared" si="115"/>
        <v>5.7796903720547459E-2</v>
      </c>
      <c r="BT43" s="294">
        <f t="shared" si="116"/>
        <v>463.47826086956519</v>
      </c>
      <c r="BU43" s="295">
        <f t="shared" si="117"/>
        <v>9.1568994845978881E-4</v>
      </c>
      <c r="BV43" s="296">
        <f t="shared" si="118"/>
        <v>7.3429951690821254</v>
      </c>
      <c r="BW43" s="293">
        <f t="shared" si="119"/>
        <v>2.6229968695010535E-2</v>
      </c>
      <c r="BX43" s="294">
        <f t="shared" si="120"/>
        <v>210.34033816425122</v>
      </c>
      <c r="BY43" s="295">
        <f t="shared" si="121"/>
        <v>2.621043598420205E-2</v>
      </c>
      <c r="BZ43" s="297">
        <f t="shared" si="122"/>
        <v>210.18370370370371</v>
      </c>
      <c r="CA43" s="298">
        <f t="shared" si="123"/>
        <v>3.1937203091801404E-2</v>
      </c>
      <c r="CB43" s="299">
        <f t="shared" si="124"/>
        <v>256.10713365539453</v>
      </c>
      <c r="CC43" s="295">
        <f t="shared" si="125"/>
        <v>4.3984664651267897E-3</v>
      </c>
      <c r="CD43" s="296">
        <f t="shared" si="126"/>
        <v>35.271674718196458</v>
      </c>
      <c r="CE43" s="300">
        <f t="shared" si="127"/>
        <v>0.51701245584925781</v>
      </c>
      <c r="CF43" s="298">
        <f t="shared" si="128"/>
        <v>0.42685733559036976</v>
      </c>
      <c r="CG43" s="298">
        <f t="shared" si="129"/>
        <v>0.4383649351236602</v>
      </c>
      <c r="CH43" s="299">
        <f t="shared" si="130"/>
        <v>3423.005088566827</v>
      </c>
      <c r="CI43" s="295">
        <f t="shared" si="131"/>
        <v>0.24319658120934515</v>
      </c>
      <c r="CJ43" s="301">
        <f t="shared" si="132"/>
        <v>0.20078867250729326</v>
      </c>
      <c r="CK43" s="301">
        <f t="shared" si="133"/>
        <v>0.20620171204388513</v>
      </c>
      <c r="CL43" s="302">
        <f t="shared" si="134"/>
        <v>1610.141352657005</v>
      </c>
      <c r="CM43" s="300">
        <f t="shared" si="135"/>
        <v>5.3844080982048605E-2</v>
      </c>
      <c r="CN43" s="298">
        <f t="shared" si="136"/>
        <v>4.4454907585457858E-2</v>
      </c>
      <c r="CO43" s="298">
        <f t="shared" si="137"/>
        <v>4.5653362505004576E-2</v>
      </c>
      <c r="CP43" s="299">
        <f t="shared" si="138"/>
        <v>356.4876650563607</v>
      </c>
      <c r="CQ43" s="295">
        <f t="shared" si="139"/>
        <v>4.5293728431228815E-2</v>
      </c>
      <c r="CR43" s="301">
        <f t="shared" si="140"/>
        <v>3.7395540510430557E-2</v>
      </c>
      <c r="CS43" s="301">
        <f t="shared" si="141"/>
        <v>3.8403682736520679E-2</v>
      </c>
      <c r="CT43" s="296">
        <f t="shared" si="142"/>
        <v>299.8780032206119</v>
      </c>
      <c r="CU43" s="300">
        <f t="shared" si="143"/>
        <v>0.88796109529027245</v>
      </c>
      <c r="CV43" s="298">
        <f t="shared" si="144"/>
        <v>0.73312103597369493</v>
      </c>
      <c r="CW43" s="298">
        <f t="shared" si="145"/>
        <v>0.75288516461341515</v>
      </c>
      <c r="CX43" s="299">
        <f t="shared" si="146"/>
        <v>5878.959613526571</v>
      </c>
      <c r="CY43" s="295">
        <f t="shared" si="147"/>
        <v>5.4381055555720271E-3</v>
      </c>
      <c r="CZ43" s="301">
        <f t="shared" si="148"/>
        <v>4.6108652936574504E-3</v>
      </c>
      <c r="DA43" s="296">
        <f t="shared" si="149"/>
        <v>36.004283413848633</v>
      </c>
      <c r="DB43" s="300">
        <f t="shared" si="150"/>
        <v>8.2837427150999536E-4</v>
      </c>
      <c r="DC43" s="299">
        <f t="shared" si="151"/>
        <v>6.4684219001610304</v>
      </c>
      <c r="DD43" s="295">
        <f t="shared" si="152"/>
        <v>1.217326972064575E-2</v>
      </c>
      <c r="DE43" s="301">
        <f t="shared" si="153"/>
        <v>1.0321481679910578E-2</v>
      </c>
      <c r="DF43" s="296">
        <f t="shared" si="154"/>
        <v>80.596054750402573</v>
      </c>
      <c r="DG43" s="300">
        <f t="shared" si="155"/>
        <v>4.268288244135489E-3</v>
      </c>
      <c r="DH43" s="298">
        <f t="shared" si="156"/>
        <v>3.6189996547686095E-3</v>
      </c>
      <c r="DI43" s="303">
        <f t="shared" si="157"/>
        <v>28.259227053140094</v>
      </c>
      <c r="DJ43" s="295">
        <f t="shared" si="158"/>
        <v>2.9819515655190205E-2</v>
      </c>
      <c r="DK43" s="301">
        <f t="shared" si="159"/>
        <v>2.4619675710252198E-2</v>
      </c>
      <c r="DL43" s="301">
        <f t="shared" si="160"/>
        <v>2.5283394815187387E-2</v>
      </c>
      <c r="DM43" s="296">
        <f t="shared" si="161"/>
        <v>197.42726247987119</v>
      </c>
      <c r="DN43" s="300">
        <f t="shared" si="162"/>
        <v>4.3091129633942805E-3</v>
      </c>
      <c r="DO43" s="298">
        <f t="shared" si="163"/>
        <v>3.6536141504289223E-3</v>
      </c>
      <c r="DP43" s="299">
        <f t="shared" si="164"/>
        <v>28.529516908212564</v>
      </c>
      <c r="DQ43" s="295">
        <f t="shared" si="165"/>
        <v>0.11382003966119653</v>
      </c>
      <c r="DR43" s="301">
        <f t="shared" si="166"/>
        <v>9.6505826382643947E-2</v>
      </c>
      <c r="DS43" s="296">
        <f t="shared" si="167"/>
        <v>753.57289855072463</v>
      </c>
      <c r="DT43" s="300">
        <f t="shared" si="168"/>
        <v>5.008965195620578E-2</v>
      </c>
      <c r="DU43" s="299">
        <f t="shared" si="169"/>
        <v>391.12876006441223</v>
      </c>
      <c r="DV43" s="295">
        <f t="shared" si="25"/>
        <v>1.8833152136020722E-3</v>
      </c>
      <c r="DW43" s="296">
        <f t="shared" si="97"/>
        <v>14.706006441223833</v>
      </c>
      <c r="DX43" s="295">
        <f t="shared" si="170"/>
        <v>4.6455295671308443E-5</v>
      </c>
      <c r="DY43" s="301">
        <f t="shared" si="171"/>
        <v>3.835455705171484E-5</v>
      </c>
      <c r="DZ43" s="301">
        <f t="shared" si="172"/>
        <v>3.9388553298300212E-5</v>
      </c>
      <c r="EA43" s="296">
        <f t="shared" si="173"/>
        <v>0.30756843800322059</v>
      </c>
      <c r="EB43" s="304">
        <f>IFERROR(_xlfn.XLOOKUP(A43,'Pupil on roll 24-25'!E:E,'Pupil on roll 24-25'!R:R),0)</f>
        <v>191</v>
      </c>
      <c r="EC43" s="289">
        <f>IFERROR(_xlfn.XLOOKUP(A43,CFR20242025_BenchMarkDataReport!B:B,CFR20242025_BenchMarkDataReport!AK:AK),0)</f>
        <v>17214.5</v>
      </c>
      <c r="ED43" s="289">
        <f>IFERROR(_xlfn.XLOOKUP(A43,CFR20242025_BenchMarkDataReport!B:B,CFR20242025_BenchMarkDataReport!AL:AL),0)</f>
        <v>100489</v>
      </c>
    </row>
    <row r="44" spans="1:134">
      <c r="A44" s="208">
        <v>5948</v>
      </c>
      <c r="B44" s="326">
        <v>10125</v>
      </c>
      <c r="C44" s="208" t="s">
        <v>75</v>
      </c>
      <c r="D44" s="289">
        <f>IFERROR(_xlfn.XLOOKUP($A44,CFR20242025_BenchMarkDataReport!$B:$B,CFR20242025_BenchMarkDataReport!T:T),0)</f>
        <v>1105353.6299999999</v>
      </c>
      <c r="E44" s="289">
        <f>IFERROR(_xlfn.XLOOKUP($A44,CFR20242025_BenchMarkDataReport!$B:$B,CFR20242025_BenchMarkDataReport!U:U),0)</f>
        <v>0</v>
      </c>
      <c r="F44" s="289">
        <f>IFERROR(_xlfn.XLOOKUP($A44,CFR20242025_BenchMarkDataReport!$B:$B,CFR20242025_BenchMarkDataReport!V:V),0)</f>
        <v>50284.36</v>
      </c>
      <c r="G44" s="289">
        <f>IFERROR(_xlfn.XLOOKUP($A44,CFR20242025_BenchMarkDataReport!$B:$B,CFR20242025_BenchMarkDataReport!W:W),0)</f>
        <v>0</v>
      </c>
      <c r="H44" s="289">
        <f>IFERROR(_xlfn.XLOOKUP($A44,CFR20242025_BenchMarkDataReport!$B:$B,CFR20242025_BenchMarkDataReport!X:X),0)</f>
        <v>7400</v>
      </c>
      <c r="I44" s="289">
        <f>IFERROR(_xlfn.XLOOKUP($A44,CFR20242025_BenchMarkDataReport!$B:$B,CFR20242025_BenchMarkDataReport!Y:Y),0)</f>
        <v>58763.94</v>
      </c>
      <c r="J44" s="289">
        <f>IFERROR(_xlfn.XLOOKUP($A44,CFR20242025_BenchMarkDataReport!$B:$B,CFR20242025_BenchMarkDataReport!Z:Z),0)</f>
        <v>90640.12</v>
      </c>
      <c r="K44" s="289">
        <f>IFERROR(_xlfn.XLOOKUP($A44,CFR20242025_BenchMarkDataReport!$B:$B,CFR20242025_BenchMarkDataReport!AA:AA),0)</f>
        <v>0</v>
      </c>
      <c r="L44" s="289">
        <f>IFERROR(_xlfn.XLOOKUP($A44,CFR20242025_BenchMarkDataReport!$B:$B,CFR20242025_BenchMarkDataReport!AB:AB),0)</f>
        <v>110942.86</v>
      </c>
      <c r="M44" s="289">
        <f>IFERROR(_xlfn.XLOOKUP($A44,CFR20242025_BenchMarkDataReport!$B:$B,CFR20242025_BenchMarkDataReport!AC:AC),0)</f>
        <v>0</v>
      </c>
      <c r="N44" s="289">
        <f>IFERROR(_xlfn.XLOOKUP($A44,CFR20242025_BenchMarkDataReport!$B:$B,CFR20242025_BenchMarkDataReport!AD:AD),0)</f>
        <v>2895</v>
      </c>
      <c r="O44" s="289">
        <f>IFERROR(_xlfn.XLOOKUP($A44,CFR20242025_BenchMarkDataReport!$B:$B,CFR20242025_BenchMarkDataReport!AE:AE),0)</f>
        <v>0</v>
      </c>
      <c r="P44" s="289">
        <f>IFERROR(_xlfn.XLOOKUP($A44,CFR20242025_BenchMarkDataReport!$B:$B,CFR20242025_BenchMarkDataReport!AF:AF),0)</f>
        <v>46506.57</v>
      </c>
      <c r="Q44" s="289">
        <f>IFERROR(_xlfn.XLOOKUP($A44,CFR20242025_BenchMarkDataReport!$B:$B,CFR20242025_BenchMarkDataReport!AG:AG),0)</f>
        <v>428363.25</v>
      </c>
      <c r="R44" s="289">
        <f>IFERROR(_xlfn.XLOOKUP($A44,CFR20242025_BenchMarkDataReport!$B:$B,CFR20242025_BenchMarkDataReport!AH:AH),0)</f>
        <v>0</v>
      </c>
      <c r="S44" s="289">
        <f>IFERROR(_xlfn.XLOOKUP($A44,CFR20242025_BenchMarkDataReport!$B:$B,CFR20242025_BenchMarkDataReport!AI:AI),0)</f>
        <v>0</v>
      </c>
      <c r="T44" s="289">
        <f>IFERROR(_xlfn.XLOOKUP($A44,CFR20242025_BenchMarkDataReport!$B:$B,CFR20242025_BenchMarkDataReport!AJ:AJ),0)</f>
        <v>0</v>
      </c>
      <c r="U44" s="289">
        <f>INDEX(CFR20242025_BenchMarkDataReport!$B$3:$AM$87,MATCH(A44,CFR20242025_BenchMarkDataReport!$B$3:$B$87),MATCH($U$2,CFR20242025_BenchMarkDataReport!$B$3:$AM$3,0))</f>
        <v>115810.26</v>
      </c>
      <c r="V44" s="289">
        <f>IFERROR(_xlfn.XLOOKUP($A44,CFR20242025_BenchMarkDataReport!$B:$B,CFR20242025_BenchMarkDataReport!AN:AN),0)</f>
        <v>908374.58</v>
      </c>
      <c r="W44" s="289">
        <f>IFERROR(_xlfn.XLOOKUP($A44,CFR20242025_BenchMarkDataReport!$B:$B,CFR20242025_BenchMarkDataReport!AO:AO),0)</f>
        <v>3026.17</v>
      </c>
      <c r="X44" s="289">
        <f>IFERROR(_xlfn.XLOOKUP($A44,CFR20242025_BenchMarkDataReport!$B:$B,CFR20242025_BenchMarkDataReport!AP:AP),0)</f>
        <v>321423.90999999997</v>
      </c>
      <c r="Y44" s="289">
        <f>IFERROR(_xlfn.XLOOKUP($A44,CFR20242025_BenchMarkDataReport!$B:$B,CFR20242025_BenchMarkDataReport!AQ:AQ),0)</f>
        <v>0</v>
      </c>
      <c r="Z44" s="289">
        <f>IFERROR(_xlfn.XLOOKUP($A44,CFR20242025_BenchMarkDataReport!$B:$B,CFR20242025_BenchMarkDataReport!AR:AR),0)</f>
        <v>90619.96</v>
      </c>
      <c r="AA44" s="289">
        <f>IFERROR(_xlfn.XLOOKUP($A44,CFR20242025_BenchMarkDataReport!$B:$B,CFR20242025_BenchMarkDataReport!AS:AS),0)</f>
        <v>0</v>
      </c>
      <c r="AB44" s="289">
        <f>IFERROR(_xlfn.XLOOKUP($A44,CFR20242025_BenchMarkDataReport!$B:$B,CFR20242025_BenchMarkDataReport!AT:AT),0)</f>
        <v>25277.11</v>
      </c>
      <c r="AC44" s="289">
        <f>IFERROR(_xlfn.XLOOKUP($A44,CFR20242025_BenchMarkDataReport!$B:$B,CFR20242025_BenchMarkDataReport!AU:AU),0)</f>
        <v>855.07</v>
      </c>
      <c r="AD44" s="289">
        <f>IFERROR(_xlfn.XLOOKUP($A44,CFR20242025_BenchMarkDataReport!$B:$B,CFR20242025_BenchMarkDataReport!AV:AV),0)</f>
        <v>6587.14</v>
      </c>
      <c r="AE44" s="289">
        <f>IFERROR(_xlfn.XLOOKUP($A44,CFR20242025_BenchMarkDataReport!$B:$B,CFR20242025_BenchMarkDataReport!AW:AW),0)</f>
        <v>0</v>
      </c>
      <c r="AF44" s="289">
        <f>IFERROR(_xlfn.XLOOKUP($A44,CFR20242025_BenchMarkDataReport!$B:$B,CFR20242025_BenchMarkDataReport!AX:AX),0)</f>
        <v>8782.2900000000009</v>
      </c>
      <c r="AG44" s="289">
        <f>IFERROR(_xlfn.XLOOKUP($A44,CFR20242025_BenchMarkDataReport!$B:$B,CFR20242025_BenchMarkDataReport!AY:AY),0)</f>
        <v>36740.94</v>
      </c>
      <c r="AH44" s="289">
        <f>IFERROR(_xlfn.XLOOKUP($A44,CFR20242025_BenchMarkDataReport!$B:$B,CFR20242025_BenchMarkDataReport!AZ:AZ),0)</f>
        <v>0</v>
      </c>
      <c r="AI44" s="289">
        <f>IFERROR(_xlfn.XLOOKUP($A44,CFR20242025_BenchMarkDataReport!$B:$B,CFR20242025_BenchMarkDataReport!BA:BA),0)</f>
        <v>60328.29</v>
      </c>
      <c r="AJ44" s="289">
        <f>IFERROR(_xlfn.XLOOKUP($A44,CFR20242025_BenchMarkDataReport!$B:$B,CFR20242025_BenchMarkDataReport!BB:BB),0)</f>
        <v>9243.7900000000009</v>
      </c>
      <c r="AK44" s="289">
        <f>IFERROR(_xlfn.XLOOKUP($A44,CFR20242025_BenchMarkDataReport!$B:$B,CFR20242025_BenchMarkDataReport!BC:BC),0)</f>
        <v>30453.94</v>
      </c>
      <c r="AL44" s="289">
        <f>IFERROR(_xlfn.XLOOKUP($A44,CFR20242025_BenchMarkDataReport!$B:$B,CFR20242025_BenchMarkDataReport!BD:BD),0)</f>
        <v>16972</v>
      </c>
      <c r="AM44" s="289">
        <f>IFERROR(_xlfn.XLOOKUP($A44,CFR20242025_BenchMarkDataReport!$B:$B,CFR20242025_BenchMarkDataReport!BE:BE),0)</f>
        <v>99447.52</v>
      </c>
      <c r="AN44" s="289">
        <f>IFERROR(_xlfn.XLOOKUP($A44,CFR20242025_BenchMarkDataReport!$B:$B,CFR20242025_BenchMarkDataReport!BF:BF),0)</f>
        <v>88621.4</v>
      </c>
      <c r="AO44" s="289">
        <f>IFERROR(_xlfn.XLOOKUP($A44,CFR20242025_BenchMarkDataReport!$B:$B,CFR20242025_BenchMarkDataReport!BN:BN),0)</f>
        <v>15597.76</v>
      </c>
      <c r="AP44" s="289">
        <f>IFERROR(_xlfn.XLOOKUP($A44,CFR20242025_BenchMarkDataReport!$B:$B,CFR20242025_BenchMarkDataReport!BO:BO),0)</f>
        <v>0</v>
      </c>
      <c r="AQ44" s="289">
        <f>IFERROR(_xlfn.XLOOKUP($A44,CFR20242025_BenchMarkDataReport!$B:$B,CFR20242025_BenchMarkDataReport!BP:BP),0)</f>
        <v>22326.39</v>
      </c>
      <c r="AR44" s="289">
        <f>IFERROR(_xlfn.XLOOKUP($A44,CFR20242025_BenchMarkDataReport!$B:$B,CFR20242025_BenchMarkDataReport!BQ:BQ),0)</f>
        <v>8541.77</v>
      </c>
      <c r="AS44" s="289">
        <f>IFERROR(_xlfn.XLOOKUP($A44,CFR20242025_BenchMarkDataReport!$B:$B,CFR20242025_BenchMarkDataReport!BR:BR),0)</f>
        <v>1876.63</v>
      </c>
      <c r="AT44" s="289">
        <f>IFERROR(_xlfn.XLOOKUP($A44,CFR20242025_BenchMarkDataReport!$B:$B,CFR20242025_BenchMarkDataReport!BS:BS),0)</f>
        <v>120402.17</v>
      </c>
      <c r="AU44" s="289">
        <f>IFERROR(_xlfn.XLOOKUP($A44,CFR20242025_BenchMarkDataReport!$B:$B,CFR20242025_BenchMarkDataReport!BT:BT),0)</f>
        <v>0</v>
      </c>
      <c r="AV44" s="289">
        <f>IFERROR(_xlfn.XLOOKUP($A44,CFR20242025_BenchMarkDataReport!$B:$B,CFR20242025_BenchMarkDataReport!BU:BU),0)</f>
        <v>24080.81</v>
      </c>
      <c r="AW44" s="289">
        <f>IFERROR(_xlfn.XLOOKUP($A44,CFR20242025_BenchMarkDataReport!$B:$B,CFR20242025_BenchMarkDataReport!BV:BV),0)</f>
        <v>35254.620000000003</v>
      </c>
      <c r="AX44" s="289">
        <f>IFERROR(_xlfn.XLOOKUP($A44,CFR20242025_BenchMarkDataReport!$B:$B,CFR20242025_BenchMarkDataReport!BW:BW),0)</f>
        <v>0</v>
      </c>
      <c r="AY44" s="289">
        <f>IFERROR(_xlfn.XLOOKUP($A44,CFR20242025_BenchMarkDataReport!$B:$B,CFR20242025_BenchMarkDataReport!BX:BX),0)</f>
        <v>0</v>
      </c>
      <c r="AZ44" s="289">
        <f>IFERROR(_xlfn.XLOOKUP($A44,CFR20242025_BenchMarkDataReport!$B:$B,CFR20242025_BenchMarkDataReport!BY:BY),0)</f>
        <v>0</v>
      </c>
      <c r="BA44" s="289">
        <f>IFERROR(_xlfn.XLOOKUP($A44,CFR20242025_BenchMarkDataReport!$B:$B,CFR20242025_BenchMarkDataReport!BZ:BZ),0)</f>
        <v>0</v>
      </c>
      <c r="BB44" s="289">
        <f>IFERROR(_xlfn.XLOOKUP($A44,CFR20242025_BenchMarkDataReport!$B:$B,CFR20242025_BenchMarkDataReport!CA:CA),0)</f>
        <v>0</v>
      </c>
      <c r="BC44" s="290">
        <f t="shared" si="106"/>
        <v>2016959.99</v>
      </c>
      <c r="BD44" s="291">
        <f t="shared" si="104"/>
        <v>1934834.2599999998</v>
      </c>
      <c r="BE44" s="327">
        <f t="shared" si="105"/>
        <v>82125.730000000214</v>
      </c>
      <c r="BF44" s="289">
        <f>IFERROR(_xlfn.XLOOKUP(A44,CFR20242025_BenchMarkDataReport!B:B,CFR20242025_BenchMarkDataReport!Q:Q),0)</f>
        <v>6252.53</v>
      </c>
      <c r="BG44" s="290">
        <f t="shared" si="0"/>
        <v>88378.260000000213</v>
      </c>
      <c r="BH44" s="292">
        <f>_xlfn.XLOOKUP(A44,'Pupil on roll 24-25'!E:E,'Pupil on roll 24-25'!I:I)</f>
        <v>193</v>
      </c>
      <c r="BI44" s="291">
        <f t="shared" si="1"/>
        <v>1155637.99</v>
      </c>
      <c r="BJ44" t="s">
        <v>190</v>
      </c>
      <c r="BK44" s="293">
        <f t="shared" si="107"/>
        <v>0.54802952734823451</v>
      </c>
      <c r="BL44" s="294">
        <f t="shared" si="108"/>
        <v>5727.2208808290152</v>
      </c>
      <c r="BM44" s="295">
        <f t="shared" si="109"/>
        <v>0</v>
      </c>
      <c r="BN44" s="296">
        <f t="shared" si="110"/>
        <v>0</v>
      </c>
      <c r="BO44" s="293">
        <f t="shared" si="111"/>
        <v>2.4930767218639772E-2</v>
      </c>
      <c r="BP44" s="294">
        <f t="shared" si="112"/>
        <v>260.54072538860106</v>
      </c>
      <c r="BQ44" s="295">
        <f t="shared" si="113"/>
        <v>0</v>
      </c>
      <c r="BR44" s="296">
        <f t="shared" si="114"/>
        <v>0</v>
      </c>
      <c r="BS44" s="293">
        <f t="shared" si="115"/>
        <v>3.6688878493816826E-3</v>
      </c>
      <c r="BT44" s="294">
        <f t="shared" si="116"/>
        <v>38.3419689119171</v>
      </c>
      <c r="BU44" s="295">
        <f t="shared" si="117"/>
        <v>2.9134906141593815E-2</v>
      </c>
      <c r="BV44" s="296">
        <f t="shared" si="118"/>
        <v>304.47637305699482</v>
      </c>
      <c r="BW44" s="293">
        <f t="shared" si="119"/>
        <v>4.493897769385103E-2</v>
      </c>
      <c r="BX44" s="294">
        <f t="shared" si="120"/>
        <v>469.6379274611399</v>
      </c>
      <c r="BY44" s="295">
        <f t="shared" si="121"/>
        <v>5.5004987976980148E-2</v>
      </c>
      <c r="BZ44" s="297">
        <f t="shared" si="122"/>
        <v>574.83347150259067</v>
      </c>
      <c r="CA44" s="298">
        <f t="shared" si="123"/>
        <v>2.3057755349921442E-2</v>
      </c>
      <c r="CB44" s="299">
        <f t="shared" si="124"/>
        <v>240.96668393782383</v>
      </c>
      <c r="CC44" s="295">
        <f t="shared" si="125"/>
        <v>0.21238063824954703</v>
      </c>
      <c r="CD44" s="296">
        <f t="shared" si="126"/>
        <v>2219.4987046632123</v>
      </c>
      <c r="CE44" s="300">
        <f t="shared" si="127"/>
        <v>0.78865592675782492</v>
      </c>
      <c r="CF44" s="298">
        <f t="shared" si="128"/>
        <v>0.45186853210707467</v>
      </c>
      <c r="CG44" s="298">
        <f t="shared" si="129"/>
        <v>0.47104848660267162</v>
      </c>
      <c r="CH44" s="299">
        <f t="shared" si="130"/>
        <v>4722.2836787564765</v>
      </c>
      <c r="CI44" s="295">
        <f t="shared" si="131"/>
        <v>0.27813546524201749</v>
      </c>
      <c r="CJ44" s="301">
        <f t="shared" si="132"/>
        <v>0.159360578094561</v>
      </c>
      <c r="CK44" s="301">
        <f t="shared" si="133"/>
        <v>0.16612477701320008</v>
      </c>
      <c r="CL44" s="302">
        <f t="shared" si="134"/>
        <v>1665.4088601036269</v>
      </c>
      <c r="CM44" s="300">
        <f t="shared" si="135"/>
        <v>0</v>
      </c>
      <c r="CN44" s="298">
        <f t="shared" si="136"/>
        <v>0</v>
      </c>
      <c r="CO44" s="298">
        <f t="shared" si="137"/>
        <v>0</v>
      </c>
      <c r="CP44" s="299">
        <f t="shared" si="138"/>
        <v>0</v>
      </c>
      <c r="CQ44" s="295">
        <f t="shared" si="139"/>
        <v>7.8415525263235766E-2</v>
      </c>
      <c r="CR44" s="301">
        <f t="shared" si="140"/>
        <v>4.4928982453439743E-2</v>
      </c>
      <c r="CS44" s="301">
        <f t="shared" si="141"/>
        <v>4.683603235348955E-2</v>
      </c>
      <c r="CT44" s="296">
        <f t="shared" si="142"/>
        <v>469.53347150259071</v>
      </c>
      <c r="CU44" s="300">
        <f t="shared" si="143"/>
        <v>1.167079779023187</v>
      </c>
      <c r="CV44" s="298">
        <f t="shared" si="144"/>
        <v>0.66869037397216791</v>
      </c>
      <c r="CW44" s="298">
        <f t="shared" si="145"/>
        <v>0.69707352091232877</v>
      </c>
      <c r="CX44" s="299">
        <f t="shared" si="146"/>
        <v>6988.1954922279792</v>
      </c>
      <c r="CY44" s="295">
        <f t="shared" si="147"/>
        <v>3.1792776213596094E-2</v>
      </c>
      <c r="CZ44" s="301">
        <f t="shared" si="148"/>
        <v>1.8989192386948951E-2</v>
      </c>
      <c r="DA44" s="296">
        <f t="shared" si="149"/>
        <v>190.36756476683939</v>
      </c>
      <c r="DB44" s="300">
        <f t="shared" si="150"/>
        <v>4.7775616708378953E-3</v>
      </c>
      <c r="DC44" s="299">
        <f t="shared" si="151"/>
        <v>47.895284974093272</v>
      </c>
      <c r="DD44" s="295">
        <f t="shared" si="152"/>
        <v>2.6352491233002817E-2</v>
      </c>
      <c r="DE44" s="301">
        <f t="shared" si="153"/>
        <v>1.5739818458662191E-2</v>
      </c>
      <c r="DF44" s="296">
        <f t="shared" si="154"/>
        <v>157.7924352331606</v>
      </c>
      <c r="DG44" s="300">
        <f t="shared" si="155"/>
        <v>8.6054214953594596E-2</v>
      </c>
      <c r="DH44" s="298">
        <f t="shared" si="156"/>
        <v>5.1398469654966736E-2</v>
      </c>
      <c r="DI44" s="303">
        <f t="shared" si="157"/>
        <v>515.27212435233162</v>
      </c>
      <c r="DJ44" s="295">
        <f t="shared" si="158"/>
        <v>7.6686125557364204E-2</v>
      </c>
      <c r="DK44" s="301">
        <f t="shared" si="159"/>
        <v>4.3938105088539708E-2</v>
      </c>
      <c r="DL44" s="301">
        <f t="shared" si="160"/>
        <v>4.5803096333429619E-2</v>
      </c>
      <c r="DM44" s="296">
        <f t="shared" si="161"/>
        <v>459.17823834196889</v>
      </c>
      <c r="DN44" s="300">
        <f t="shared" si="162"/>
        <v>1.9319536215662139E-2</v>
      </c>
      <c r="DO44" s="298">
        <f t="shared" si="163"/>
        <v>1.1539174420035337E-2</v>
      </c>
      <c r="DP44" s="299">
        <f t="shared" si="164"/>
        <v>115.68077720207253</v>
      </c>
      <c r="DQ44" s="295">
        <f t="shared" si="165"/>
        <v>2.08376759922889E-2</v>
      </c>
      <c r="DR44" s="301">
        <f t="shared" si="166"/>
        <v>1.2445929089554164E-2</v>
      </c>
      <c r="DS44" s="296">
        <f t="shared" si="167"/>
        <v>124.77103626943006</v>
      </c>
      <c r="DT44" s="300">
        <f t="shared" si="168"/>
        <v>6.2228673788317153E-2</v>
      </c>
      <c r="DU44" s="299">
        <f t="shared" si="169"/>
        <v>623.84544041450772</v>
      </c>
      <c r="DV44" s="295">
        <f t="shared" si="25"/>
        <v>3.1180081543521979E-2</v>
      </c>
      <c r="DW44" s="296">
        <f t="shared" si="97"/>
        <v>312.58181347150258</v>
      </c>
      <c r="DX44" s="295">
        <f t="shared" si="170"/>
        <v>4.3266144270663863E-6</v>
      </c>
      <c r="DY44" s="301">
        <f t="shared" si="171"/>
        <v>2.4789782766092448E-6</v>
      </c>
      <c r="DZ44" s="301">
        <f t="shared" si="172"/>
        <v>2.584200674635563E-6</v>
      </c>
      <c r="EA44" s="296">
        <f t="shared" si="173"/>
        <v>2.5906735751295335E-2</v>
      </c>
      <c r="EB44" s="304">
        <f>IFERROR(_xlfn.XLOOKUP(A44,'Pupil on roll 24-25'!E:E,'Pupil on roll 24-25'!R:R),0)</f>
        <v>5</v>
      </c>
      <c r="EC44" s="289">
        <f>IFERROR(_xlfn.XLOOKUP(A44,CFR20242025_BenchMarkDataReport!B:B,CFR20242025_BenchMarkDataReport!AK:AK),0)</f>
        <v>0</v>
      </c>
      <c r="ED44" s="289">
        <f>IFERROR(_xlfn.XLOOKUP(A44,CFR20242025_BenchMarkDataReport!B:B,CFR20242025_BenchMarkDataReport!AL:AL),0)</f>
        <v>115810.26</v>
      </c>
    </row>
    <row r="45" spans="1:134">
      <c r="A45" s="208">
        <v>5949</v>
      </c>
      <c r="B45" s="326">
        <v>10126</v>
      </c>
      <c r="C45" s="208" t="s">
        <v>76</v>
      </c>
      <c r="D45" s="289">
        <f>IFERROR(_xlfn.XLOOKUP($A45,CFR20242025_BenchMarkDataReport!$B:$B,CFR20242025_BenchMarkDataReport!T:T),0)</f>
        <v>1815628.64</v>
      </c>
      <c r="E45" s="289">
        <f>IFERROR(_xlfn.XLOOKUP($A45,CFR20242025_BenchMarkDataReport!$B:$B,CFR20242025_BenchMarkDataReport!U:U),0)</f>
        <v>0</v>
      </c>
      <c r="F45" s="289">
        <f>IFERROR(_xlfn.XLOOKUP($A45,CFR20242025_BenchMarkDataReport!$B:$B,CFR20242025_BenchMarkDataReport!V:V),0)</f>
        <v>62731</v>
      </c>
      <c r="G45" s="289">
        <f>IFERROR(_xlfn.XLOOKUP($A45,CFR20242025_BenchMarkDataReport!$B:$B,CFR20242025_BenchMarkDataReport!W:W),0)</f>
        <v>0</v>
      </c>
      <c r="H45" s="289">
        <f>IFERROR(_xlfn.XLOOKUP($A45,CFR20242025_BenchMarkDataReport!$B:$B,CFR20242025_BenchMarkDataReport!X:X),0)</f>
        <v>17760</v>
      </c>
      <c r="I45" s="289">
        <f>IFERROR(_xlfn.XLOOKUP($A45,CFR20242025_BenchMarkDataReport!$B:$B,CFR20242025_BenchMarkDataReport!Y:Y),0)</f>
        <v>6944.42</v>
      </c>
      <c r="J45" s="289">
        <f>IFERROR(_xlfn.XLOOKUP($A45,CFR20242025_BenchMarkDataReport!$B:$B,CFR20242025_BenchMarkDataReport!Z:Z),0)</f>
        <v>140291.9</v>
      </c>
      <c r="K45" s="289">
        <f>IFERROR(_xlfn.XLOOKUP($A45,CFR20242025_BenchMarkDataReport!$B:$B,CFR20242025_BenchMarkDataReport!AA:AA),0)</f>
        <v>0</v>
      </c>
      <c r="L45" s="289">
        <f>IFERROR(_xlfn.XLOOKUP($A45,CFR20242025_BenchMarkDataReport!$B:$B,CFR20242025_BenchMarkDataReport!AB:AB),0)</f>
        <v>4782.6000000000004</v>
      </c>
      <c r="M45" s="289">
        <f>IFERROR(_xlfn.XLOOKUP($A45,CFR20242025_BenchMarkDataReport!$B:$B,CFR20242025_BenchMarkDataReport!AC:AC),0)</f>
        <v>0</v>
      </c>
      <c r="N45" s="289">
        <f>IFERROR(_xlfn.XLOOKUP($A45,CFR20242025_BenchMarkDataReport!$B:$B,CFR20242025_BenchMarkDataReport!AD:AD),0)</f>
        <v>0</v>
      </c>
      <c r="O45" s="289">
        <f>IFERROR(_xlfn.XLOOKUP($A45,CFR20242025_BenchMarkDataReport!$B:$B,CFR20242025_BenchMarkDataReport!AE:AE),0)</f>
        <v>28297.51</v>
      </c>
      <c r="P45" s="289">
        <f>IFERROR(_xlfn.XLOOKUP($A45,CFR20242025_BenchMarkDataReport!$B:$B,CFR20242025_BenchMarkDataReport!AF:AF),0)</f>
        <v>19339</v>
      </c>
      <c r="Q45" s="289">
        <f>IFERROR(_xlfn.XLOOKUP($A45,CFR20242025_BenchMarkDataReport!$B:$B,CFR20242025_BenchMarkDataReport!AG:AG),0)</f>
        <v>1077428.75</v>
      </c>
      <c r="R45" s="289">
        <f>IFERROR(_xlfn.XLOOKUP($A45,CFR20242025_BenchMarkDataReport!$B:$B,CFR20242025_BenchMarkDataReport!AH:AH),0)</f>
        <v>0</v>
      </c>
      <c r="S45" s="289">
        <f>IFERROR(_xlfn.XLOOKUP($A45,CFR20242025_BenchMarkDataReport!$B:$B,CFR20242025_BenchMarkDataReport!AI:AI),0)</f>
        <v>0</v>
      </c>
      <c r="T45" s="289">
        <f>IFERROR(_xlfn.XLOOKUP($A45,CFR20242025_BenchMarkDataReport!$B:$B,CFR20242025_BenchMarkDataReport!AJ:AJ),0)</f>
        <v>0</v>
      </c>
      <c r="U45" s="289">
        <f>INDEX(CFR20242025_BenchMarkDataReport!$B$3:$AM$87,MATCH(A45,CFR20242025_BenchMarkDataReport!$B$3:$B$87),MATCH($U$2,CFR20242025_BenchMarkDataReport!$B$3:$AM$3,0))</f>
        <v>65430</v>
      </c>
      <c r="V45" s="289">
        <f>IFERROR(_xlfn.XLOOKUP($A45,CFR20242025_BenchMarkDataReport!$B:$B,CFR20242025_BenchMarkDataReport!AN:AN),0)</f>
        <v>1166875.99</v>
      </c>
      <c r="W45" s="289">
        <f>IFERROR(_xlfn.XLOOKUP($A45,CFR20242025_BenchMarkDataReport!$B:$B,CFR20242025_BenchMarkDataReport!AO:AO),0)</f>
        <v>0</v>
      </c>
      <c r="X45" s="289">
        <f>IFERROR(_xlfn.XLOOKUP($A45,CFR20242025_BenchMarkDataReport!$B:$B,CFR20242025_BenchMarkDataReport!AP:AP),0)</f>
        <v>1037728.18</v>
      </c>
      <c r="Y45" s="289">
        <f>IFERROR(_xlfn.XLOOKUP($A45,CFR20242025_BenchMarkDataReport!$B:$B,CFR20242025_BenchMarkDataReport!AQ:AQ),0)</f>
        <v>55845.3</v>
      </c>
      <c r="Z45" s="289">
        <f>IFERROR(_xlfn.XLOOKUP($A45,CFR20242025_BenchMarkDataReport!$B:$B,CFR20242025_BenchMarkDataReport!AR:AR),0)</f>
        <v>110272.48</v>
      </c>
      <c r="AA45" s="289">
        <f>IFERROR(_xlfn.XLOOKUP($A45,CFR20242025_BenchMarkDataReport!$B:$B,CFR20242025_BenchMarkDataReport!AS:AS),0)</f>
        <v>0</v>
      </c>
      <c r="AB45" s="289">
        <f>IFERROR(_xlfn.XLOOKUP($A45,CFR20242025_BenchMarkDataReport!$B:$B,CFR20242025_BenchMarkDataReport!AT:AT),0)</f>
        <v>9225.48</v>
      </c>
      <c r="AC45" s="289">
        <f>IFERROR(_xlfn.XLOOKUP($A45,CFR20242025_BenchMarkDataReport!$B:$B,CFR20242025_BenchMarkDataReport!AU:AU),0)</f>
        <v>65924.7</v>
      </c>
      <c r="AD45" s="289">
        <f>IFERROR(_xlfn.XLOOKUP($A45,CFR20242025_BenchMarkDataReport!$B:$B,CFR20242025_BenchMarkDataReport!AV:AV),0)</f>
        <v>23924.959999999999</v>
      </c>
      <c r="AE45" s="289">
        <f>IFERROR(_xlfn.XLOOKUP($A45,CFR20242025_BenchMarkDataReport!$B:$B,CFR20242025_BenchMarkDataReport!AW:AW),0)</f>
        <v>522.87</v>
      </c>
      <c r="AF45" s="289">
        <f>IFERROR(_xlfn.XLOOKUP($A45,CFR20242025_BenchMarkDataReport!$B:$B,CFR20242025_BenchMarkDataReport!AX:AX),0)</f>
        <v>0</v>
      </c>
      <c r="AG45" s="289">
        <f>IFERROR(_xlfn.XLOOKUP($A45,CFR20242025_BenchMarkDataReport!$B:$B,CFR20242025_BenchMarkDataReport!AY:AY),0)</f>
        <v>60016.76</v>
      </c>
      <c r="AH45" s="289">
        <f>IFERROR(_xlfn.XLOOKUP($A45,CFR20242025_BenchMarkDataReport!$B:$B,CFR20242025_BenchMarkDataReport!AZ:AZ),0)</f>
        <v>0</v>
      </c>
      <c r="AI45" s="289">
        <f>IFERROR(_xlfn.XLOOKUP($A45,CFR20242025_BenchMarkDataReport!$B:$B,CFR20242025_BenchMarkDataReport!BA:BA),0)</f>
        <v>74539.88</v>
      </c>
      <c r="AJ45" s="289">
        <f>IFERROR(_xlfn.XLOOKUP($A45,CFR20242025_BenchMarkDataReport!$B:$B,CFR20242025_BenchMarkDataReport!BB:BB),0)</f>
        <v>3892.19</v>
      </c>
      <c r="AK45" s="289">
        <f>IFERROR(_xlfn.XLOOKUP($A45,CFR20242025_BenchMarkDataReport!$B:$B,CFR20242025_BenchMarkDataReport!BC:BC),0)</f>
        <v>61125.06</v>
      </c>
      <c r="AL45" s="289">
        <f>IFERROR(_xlfn.XLOOKUP($A45,CFR20242025_BenchMarkDataReport!$B:$B,CFR20242025_BenchMarkDataReport!BD:BD),0)</f>
        <v>38376</v>
      </c>
      <c r="AM45" s="289">
        <f>IFERROR(_xlfn.XLOOKUP($A45,CFR20242025_BenchMarkDataReport!$B:$B,CFR20242025_BenchMarkDataReport!BE:BE),0)</f>
        <v>12287.34</v>
      </c>
      <c r="AN45" s="289">
        <f>IFERROR(_xlfn.XLOOKUP($A45,CFR20242025_BenchMarkDataReport!$B:$B,CFR20242025_BenchMarkDataReport!BF:BF),0)</f>
        <v>174645.31</v>
      </c>
      <c r="AO45" s="289">
        <f>IFERROR(_xlfn.XLOOKUP($A45,CFR20242025_BenchMarkDataReport!$B:$B,CFR20242025_BenchMarkDataReport!BN:BN),0)</f>
        <v>21279.05</v>
      </c>
      <c r="AP45" s="289">
        <f>IFERROR(_xlfn.XLOOKUP($A45,CFR20242025_BenchMarkDataReport!$B:$B,CFR20242025_BenchMarkDataReport!BO:BO),0)</f>
        <v>0</v>
      </c>
      <c r="AQ45" s="289">
        <f>IFERROR(_xlfn.XLOOKUP($A45,CFR20242025_BenchMarkDataReport!$B:$B,CFR20242025_BenchMarkDataReport!BP:BP),0)</f>
        <v>13956.5</v>
      </c>
      <c r="AR45" s="289">
        <f>IFERROR(_xlfn.XLOOKUP($A45,CFR20242025_BenchMarkDataReport!$B:$B,CFR20242025_BenchMarkDataReport!BQ:BQ),0)</f>
        <v>20525.22</v>
      </c>
      <c r="AS45" s="289">
        <f>IFERROR(_xlfn.XLOOKUP($A45,CFR20242025_BenchMarkDataReport!$B:$B,CFR20242025_BenchMarkDataReport!BR:BR),0)</f>
        <v>2563.4899999999998</v>
      </c>
      <c r="AT45" s="289">
        <f>IFERROR(_xlfn.XLOOKUP($A45,CFR20242025_BenchMarkDataReport!$B:$B,CFR20242025_BenchMarkDataReport!BS:BS),0)</f>
        <v>38266.699999999997</v>
      </c>
      <c r="AU45" s="289">
        <f>IFERROR(_xlfn.XLOOKUP($A45,CFR20242025_BenchMarkDataReport!$B:$B,CFR20242025_BenchMarkDataReport!BT:BT),0)</f>
        <v>59210.58</v>
      </c>
      <c r="AV45" s="289">
        <f>IFERROR(_xlfn.XLOOKUP($A45,CFR20242025_BenchMarkDataReport!$B:$B,CFR20242025_BenchMarkDataReport!BU:BU),0)</f>
        <v>31743.89</v>
      </c>
      <c r="AW45" s="289">
        <f>IFERROR(_xlfn.XLOOKUP($A45,CFR20242025_BenchMarkDataReport!$B:$B,CFR20242025_BenchMarkDataReport!BV:BV),0)</f>
        <v>155632.82</v>
      </c>
      <c r="AX45" s="289">
        <f>IFERROR(_xlfn.XLOOKUP($A45,CFR20242025_BenchMarkDataReport!$B:$B,CFR20242025_BenchMarkDataReport!BW:BW),0)</f>
        <v>0</v>
      </c>
      <c r="AY45" s="289">
        <f>IFERROR(_xlfn.XLOOKUP($A45,CFR20242025_BenchMarkDataReport!$B:$B,CFR20242025_BenchMarkDataReport!BX:BX),0)</f>
        <v>0</v>
      </c>
      <c r="AZ45" s="289">
        <f>IFERROR(_xlfn.XLOOKUP($A45,CFR20242025_BenchMarkDataReport!$B:$B,CFR20242025_BenchMarkDataReport!BY:BY),0)</f>
        <v>0</v>
      </c>
      <c r="BA45" s="289">
        <f>IFERROR(_xlfn.XLOOKUP($A45,CFR20242025_BenchMarkDataReport!$B:$B,CFR20242025_BenchMarkDataReport!BZ:BZ),0)</f>
        <v>0</v>
      </c>
      <c r="BB45" s="289">
        <f>IFERROR(_xlfn.XLOOKUP($A45,CFR20242025_BenchMarkDataReport!$B:$B,CFR20242025_BenchMarkDataReport!CA:CA),0)</f>
        <v>0</v>
      </c>
      <c r="BC45" s="290">
        <f t="shared" si="106"/>
        <v>3238633.82</v>
      </c>
      <c r="BD45" s="291">
        <f t="shared" si="104"/>
        <v>3238380.75</v>
      </c>
      <c r="BE45" s="327">
        <f t="shared" si="105"/>
        <v>253.06999999983236</v>
      </c>
      <c r="BF45" s="289">
        <f>IFERROR(_xlfn.XLOOKUP(A45,CFR20242025_BenchMarkDataReport!B:B,CFR20242025_BenchMarkDataReport!Q:Q),0)</f>
        <v>-19873.349999999999</v>
      </c>
      <c r="BG45" s="290">
        <f t="shared" si="0"/>
        <v>-19620.280000000166</v>
      </c>
      <c r="BH45" s="292">
        <f>_xlfn.XLOOKUP(A45,'Pupil on roll 24-25'!E:E,'Pupil on roll 24-25'!I:I)</f>
        <v>315</v>
      </c>
      <c r="BI45" s="291">
        <f t="shared" si="1"/>
        <v>1878359.64</v>
      </c>
      <c r="BJ45" t="s">
        <v>190</v>
      </c>
      <c r="BK45" s="293">
        <f t="shared" si="107"/>
        <v>0.56061559932700267</v>
      </c>
      <c r="BL45" s="294">
        <f t="shared" si="108"/>
        <v>5763.9004444444445</v>
      </c>
      <c r="BM45" s="295">
        <f t="shared" si="109"/>
        <v>0</v>
      </c>
      <c r="BN45" s="296">
        <f t="shared" si="110"/>
        <v>0</v>
      </c>
      <c r="BO45" s="293">
        <f t="shared" si="111"/>
        <v>1.9369587142766268E-2</v>
      </c>
      <c r="BP45" s="294">
        <f t="shared" si="112"/>
        <v>199.14603174603175</v>
      </c>
      <c r="BQ45" s="295">
        <f t="shared" si="113"/>
        <v>0</v>
      </c>
      <c r="BR45" s="296">
        <f t="shared" si="114"/>
        <v>0</v>
      </c>
      <c r="BS45" s="293">
        <f t="shared" si="115"/>
        <v>5.4837937806750878E-3</v>
      </c>
      <c r="BT45" s="294">
        <f t="shared" si="116"/>
        <v>56.38095238095238</v>
      </c>
      <c r="BU45" s="295">
        <f t="shared" si="117"/>
        <v>2.1442436490087665E-3</v>
      </c>
      <c r="BV45" s="296">
        <f t="shared" si="118"/>
        <v>22.045777777777779</v>
      </c>
      <c r="BW45" s="293">
        <f t="shared" si="119"/>
        <v>4.331823472404793E-2</v>
      </c>
      <c r="BX45" s="294">
        <f t="shared" si="120"/>
        <v>445.37111111111108</v>
      </c>
      <c r="BY45" s="295">
        <f t="shared" si="121"/>
        <v>1.4767337914108488E-3</v>
      </c>
      <c r="BZ45" s="297">
        <f t="shared" si="122"/>
        <v>15.182857142857143</v>
      </c>
      <c r="CA45" s="298">
        <f t="shared" si="123"/>
        <v>5.9713450407925407E-3</v>
      </c>
      <c r="CB45" s="299">
        <f t="shared" si="124"/>
        <v>61.393650793650792</v>
      </c>
      <c r="CC45" s="295">
        <f t="shared" si="125"/>
        <v>0.33268001567401656</v>
      </c>
      <c r="CD45" s="296">
        <f t="shared" si="126"/>
        <v>3420.4087301587301</v>
      </c>
      <c r="CE45" s="300">
        <f t="shared" si="127"/>
        <v>0.65274324676183959</v>
      </c>
      <c r="CF45" s="298">
        <f t="shared" si="128"/>
        <v>0.37858141369004789</v>
      </c>
      <c r="CG45" s="298">
        <f t="shared" si="129"/>
        <v>0.37861099872212373</v>
      </c>
      <c r="CH45" s="299">
        <f t="shared" si="130"/>
        <v>3892.3383174603177</v>
      </c>
      <c r="CI45" s="295">
        <f t="shared" si="131"/>
        <v>0.5524651179153317</v>
      </c>
      <c r="CJ45" s="301">
        <f t="shared" si="132"/>
        <v>0.32042158443216656</v>
      </c>
      <c r="CK45" s="301">
        <f t="shared" si="133"/>
        <v>0.32044662444340433</v>
      </c>
      <c r="CL45" s="302">
        <f t="shared" si="134"/>
        <v>3294.3751746031749</v>
      </c>
      <c r="CM45" s="300">
        <f t="shared" si="135"/>
        <v>2.9730887957111346E-2</v>
      </c>
      <c r="CN45" s="298">
        <f t="shared" si="136"/>
        <v>1.7243474595717033E-2</v>
      </c>
      <c r="CO45" s="298">
        <f t="shared" si="137"/>
        <v>1.7244822122908187E-2</v>
      </c>
      <c r="CP45" s="299">
        <f t="shared" si="138"/>
        <v>177.28666666666666</v>
      </c>
      <c r="CQ45" s="295">
        <f t="shared" si="139"/>
        <v>5.8706798022981371E-2</v>
      </c>
      <c r="CR45" s="301">
        <f t="shared" si="140"/>
        <v>3.4049073198401912E-2</v>
      </c>
      <c r="CS45" s="301">
        <f t="shared" si="141"/>
        <v>3.4051734034053899E-2</v>
      </c>
      <c r="CT45" s="296">
        <f t="shared" si="142"/>
        <v>350.07136507936508</v>
      </c>
      <c r="CU45" s="300">
        <f t="shared" si="143"/>
        <v>1.2670350125282717</v>
      </c>
      <c r="CV45" s="298">
        <f t="shared" si="144"/>
        <v>0.73486153800493559</v>
      </c>
      <c r="CW45" s="298">
        <f t="shared" si="145"/>
        <v>0.73491896528843925</v>
      </c>
      <c r="CX45" s="299">
        <f t="shared" si="146"/>
        <v>7555.3886666666658</v>
      </c>
      <c r="CY45" s="295">
        <f t="shared" si="147"/>
        <v>3.1951687377609971E-2</v>
      </c>
      <c r="CZ45" s="301">
        <f t="shared" si="148"/>
        <v>1.8532953544761529E-2</v>
      </c>
      <c r="DA45" s="296">
        <f t="shared" si="149"/>
        <v>190.52939682539684</v>
      </c>
      <c r="DB45" s="300">
        <f t="shared" si="150"/>
        <v>1.2018938785996675E-3</v>
      </c>
      <c r="DC45" s="299">
        <f t="shared" si="151"/>
        <v>12.356158730158731</v>
      </c>
      <c r="DD45" s="295">
        <f t="shared" si="152"/>
        <v>3.2541723479535579E-2</v>
      </c>
      <c r="DE45" s="301">
        <f t="shared" si="153"/>
        <v>1.8875192486244859E-2</v>
      </c>
      <c r="DF45" s="296">
        <f t="shared" si="154"/>
        <v>194.04780952380952</v>
      </c>
      <c r="DG45" s="300">
        <f t="shared" si="155"/>
        <v>6.5415268398760955E-3</v>
      </c>
      <c r="DH45" s="298">
        <f t="shared" si="156"/>
        <v>3.7942851531587198E-3</v>
      </c>
      <c r="DI45" s="303">
        <f t="shared" si="157"/>
        <v>39.007428571428569</v>
      </c>
      <c r="DJ45" s="295">
        <f t="shared" si="158"/>
        <v>9.2977567384273652E-2</v>
      </c>
      <c r="DK45" s="301">
        <f t="shared" si="159"/>
        <v>5.3925611756873458E-2</v>
      </c>
      <c r="DL45" s="301">
        <f t="shared" si="160"/>
        <v>5.3929825885977119E-2</v>
      </c>
      <c r="DM45" s="296">
        <f t="shared" si="161"/>
        <v>554.42955555555557</v>
      </c>
      <c r="DN45" s="300">
        <f t="shared" si="162"/>
        <v>7.4301532586166516E-3</v>
      </c>
      <c r="DO45" s="298">
        <f t="shared" si="163"/>
        <v>4.3097155885699978E-3</v>
      </c>
      <c r="DP45" s="299">
        <f t="shared" si="164"/>
        <v>44.306349206349203</v>
      </c>
      <c r="DQ45" s="295">
        <f t="shared" si="165"/>
        <v>1.6899793481508153E-2</v>
      </c>
      <c r="DR45" s="301">
        <f t="shared" si="166"/>
        <v>9.8023958424283495E-3</v>
      </c>
      <c r="DS45" s="296">
        <f t="shared" si="167"/>
        <v>100.77425396825397</v>
      </c>
      <c r="DT45" s="300">
        <f t="shared" si="168"/>
        <v>1.1816615448940028E-2</v>
      </c>
      <c r="DU45" s="299">
        <f t="shared" si="169"/>
        <v>121.4815873015873</v>
      </c>
      <c r="DV45" s="295">
        <f t="shared" si="25"/>
        <v>2.3017639293958874E-2</v>
      </c>
      <c r="DW45" s="296">
        <f t="shared" si="97"/>
        <v>236.6345396825397</v>
      </c>
      <c r="DX45" s="295">
        <f t="shared" si="170"/>
        <v>6.3885529397341613E-6</v>
      </c>
      <c r="DY45" s="301">
        <f t="shared" si="171"/>
        <v>3.7052660680237077E-6</v>
      </c>
      <c r="DZ45" s="301">
        <f t="shared" si="172"/>
        <v>3.7055556237480722E-6</v>
      </c>
      <c r="EA45" s="296">
        <f t="shared" si="173"/>
        <v>3.8095238095238099E-2</v>
      </c>
      <c r="EB45" s="304">
        <f>IFERROR(_xlfn.XLOOKUP(A45,'Pupil on roll 24-25'!E:E,'Pupil on roll 24-25'!R:R),0)</f>
        <v>12</v>
      </c>
      <c r="EC45" s="289">
        <f>IFERROR(_xlfn.XLOOKUP(A45,CFR20242025_BenchMarkDataReport!B:B,CFR20242025_BenchMarkDataReport!AK:AK),0)</f>
        <v>65430</v>
      </c>
      <c r="ED45" s="289">
        <f>IFERROR(_xlfn.XLOOKUP(A45,CFR20242025_BenchMarkDataReport!B:B,CFR20242025_BenchMarkDataReport!AL:AL),0)</f>
        <v>0</v>
      </c>
    </row>
    <row r="46" spans="1:134">
      <c r="A46" s="208">
        <v>3513</v>
      </c>
      <c r="B46" s="326">
        <v>10114</v>
      </c>
      <c r="C46" s="208" t="s">
        <v>77</v>
      </c>
      <c r="D46" s="289">
        <f>IFERROR(_xlfn.XLOOKUP($A46,CFR20242025_BenchMarkDataReport!$B:$B,CFR20242025_BenchMarkDataReport!T:T),0)</f>
        <v>2213674.0299999998</v>
      </c>
      <c r="E46" s="289">
        <f>IFERROR(_xlfn.XLOOKUP($A46,CFR20242025_BenchMarkDataReport!$B:$B,CFR20242025_BenchMarkDataReport!U:U),0)</f>
        <v>0</v>
      </c>
      <c r="F46" s="289">
        <f>IFERROR(_xlfn.XLOOKUP($A46,CFR20242025_BenchMarkDataReport!$B:$B,CFR20242025_BenchMarkDataReport!V:V),0)</f>
        <v>83898.67</v>
      </c>
      <c r="G46" s="289">
        <f>IFERROR(_xlfn.XLOOKUP($A46,CFR20242025_BenchMarkDataReport!$B:$B,CFR20242025_BenchMarkDataReport!W:W),0)</f>
        <v>0</v>
      </c>
      <c r="H46" s="289">
        <f>IFERROR(_xlfn.XLOOKUP($A46,CFR20242025_BenchMarkDataReport!$B:$B,CFR20242025_BenchMarkDataReport!X:X),0)</f>
        <v>11087.5</v>
      </c>
      <c r="I46" s="289">
        <f>IFERROR(_xlfn.XLOOKUP($A46,CFR20242025_BenchMarkDataReport!$B:$B,CFR20242025_BenchMarkDataReport!Y:Y),0)</f>
        <v>83739.53</v>
      </c>
      <c r="J46" s="289">
        <f>IFERROR(_xlfn.XLOOKUP($A46,CFR20242025_BenchMarkDataReport!$B:$B,CFR20242025_BenchMarkDataReport!Z:Z),0)</f>
        <v>176131.05</v>
      </c>
      <c r="K46" s="289">
        <f>IFERROR(_xlfn.XLOOKUP($A46,CFR20242025_BenchMarkDataReport!$B:$B,CFR20242025_BenchMarkDataReport!AA:AA),0)</f>
        <v>0</v>
      </c>
      <c r="L46" s="289">
        <f>IFERROR(_xlfn.XLOOKUP($A46,CFR20242025_BenchMarkDataReport!$B:$B,CFR20242025_BenchMarkDataReport!AB:AB),0)</f>
        <v>1529.56</v>
      </c>
      <c r="M46" s="289">
        <f>IFERROR(_xlfn.XLOOKUP($A46,CFR20242025_BenchMarkDataReport!$B:$B,CFR20242025_BenchMarkDataReport!AC:AC),0)</f>
        <v>46286.9</v>
      </c>
      <c r="N46" s="289">
        <f>IFERROR(_xlfn.XLOOKUP($A46,CFR20242025_BenchMarkDataReport!$B:$B,CFR20242025_BenchMarkDataReport!AD:AD),0)</f>
        <v>0</v>
      </c>
      <c r="O46" s="289">
        <f>IFERROR(_xlfn.XLOOKUP($A46,CFR20242025_BenchMarkDataReport!$B:$B,CFR20242025_BenchMarkDataReport!AE:AE),0)</f>
        <v>0</v>
      </c>
      <c r="P46" s="289">
        <f>IFERROR(_xlfn.XLOOKUP($A46,CFR20242025_BenchMarkDataReport!$B:$B,CFR20242025_BenchMarkDataReport!AF:AF),0)</f>
        <v>33980.81</v>
      </c>
      <c r="Q46" s="289">
        <f>IFERROR(_xlfn.XLOOKUP($A46,CFR20242025_BenchMarkDataReport!$B:$B,CFR20242025_BenchMarkDataReport!AG:AG),0)</f>
        <v>225281.57</v>
      </c>
      <c r="R46" s="289">
        <f>IFERROR(_xlfn.XLOOKUP($A46,CFR20242025_BenchMarkDataReport!$B:$B,CFR20242025_BenchMarkDataReport!AH:AH),0)</f>
        <v>0</v>
      </c>
      <c r="S46" s="289">
        <f>IFERROR(_xlfn.XLOOKUP($A46,CFR20242025_BenchMarkDataReport!$B:$B,CFR20242025_BenchMarkDataReport!AI:AI),0)</f>
        <v>0</v>
      </c>
      <c r="T46" s="289">
        <f>IFERROR(_xlfn.XLOOKUP($A46,CFR20242025_BenchMarkDataReport!$B:$B,CFR20242025_BenchMarkDataReport!AJ:AJ),0)</f>
        <v>0</v>
      </c>
      <c r="U46" s="289">
        <f>INDEX(CFR20242025_BenchMarkDataReport!$B$3:$AM$87,MATCH(A46,CFR20242025_BenchMarkDataReport!$B$3:$B$87),MATCH($U$2,CFR20242025_BenchMarkDataReport!$B$3:$AM$3,0))</f>
        <v>97223.25</v>
      </c>
      <c r="V46" s="289">
        <f>IFERROR(_xlfn.XLOOKUP($A46,CFR20242025_BenchMarkDataReport!$B:$B,CFR20242025_BenchMarkDataReport!AN:AN),0)</f>
        <v>1610007.93</v>
      </c>
      <c r="W46" s="289">
        <f>IFERROR(_xlfn.XLOOKUP($A46,CFR20242025_BenchMarkDataReport!$B:$B,CFR20242025_BenchMarkDataReport!AO:AO),0)</f>
        <v>0</v>
      </c>
      <c r="X46" s="289">
        <f>IFERROR(_xlfn.XLOOKUP($A46,CFR20242025_BenchMarkDataReport!$B:$B,CFR20242025_BenchMarkDataReport!AP:AP),0)</f>
        <v>204555.25</v>
      </c>
      <c r="Y46" s="289">
        <f>IFERROR(_xlfn.XLOOKUP($A46,CFR20242025_BenchMarkDataReport!$B:$B,CFR20242025_BenchMarkDataReport!AQ:AQ),0)</f>
        <v>39496.519999999997</v>
      </c>
      <c r="Z46" s="289">
        <f>IFERROR(_xlfn.XLOOKUP($A46,CFR20242025_BenchMarkDataReport!$B:$B,CFR20242025_BenchMarkDataReport!AR:AR),0)</f>
        <v>110428.04</v>
      </c>
      <c r="AA46" s="289">
        <f>IFERROR(_xlfn.XLOOKUP($A46,CFR20242025_BenchMarkDataReport!$B:$B,CFR20242025_BenchMarkDataReport!AS:AS),0)</f>
        <v>0</v>
      </c>
      <c r="AB46" s="289">
        <f>IFERROR(_xlfn.XLOOKUP($A46,CFR20242025_BenchMarkDataReport!$B:$B,CFR20242025_BenchMarkDataReport!AT:AT),0)</f>
        <v>69633.009999999995</v>
      </c>
      <c r="AC46" s="289">
        <f>IFERROR(_xlfn.XLOOKUP($A46,CFR20242025_BenchMarkDataReport!$B:$B,CFR20242025_BenchMarkDataReport!AU:AU),0)</f>
        <v>1988.05</v>
      </c>
      <c r="AD46" s="289">
        <f>IFERROR(_xlfn.XLOOKUP($A46,CFR20242025_BenchMarkDataReport!$B:$B,CFR20242025_BenchMarkDataReport!AV:AV),0)</f>
        <v>2370</v>
      </c>
      <c r="AE46" s="289">
        <f>IFERROR(_xlfn.XLOOKUP($A46,CFR20242025_BenchMarkDataReport!$B:$B,CFR20242025_BenchMarkDataReport!AW:AW),0)</f>
        <v>625.82000000000005</v>
      </c>
      <c r="AF46" s="289">
        <f>IFERROR(_xlfn.XLOOKUP($A46,CFR20242025_BenchMarkDataReport!$B:$B,CFR20242025_BenchMarkDataReport!AX:AX),0)</f>
        <v>0</v>
      </c>
      <c r="AG46" s="289">
        <f>IFERROR(_xlfn.XLOOKUP($A46,CFR20242025_BenchMarkDataReport!$B:$B,CFR20242025_BenchMarkDataReport!AY:AY),0)</f>
        <v>12051.66</v>
      </c>
      <c r="AH46" s="289">
        <f>IFERROR(_xlfn.XLOOKUP($A46,CFR20242025_BenchMarkDataReport!$B:$B,CFR20242025_BenchMarkDataReport!AZ:AZ),0)</f>
        <v>0</v>
      </c>
      <c r="AI46" s="289">
        <f>IFERROR(_xlfn.XLOOKUP($A46,CFR20242025_BenchMarkDataReport!$B:$B,CFR20242025_BenchMarkDataReport!BA:BA),0)</f>
        <v>42296.36</v>
      </c>
      <c r="AJ46" s="289">
        <f>IFERROR(_xlfn.XLOOKUP($A46,CFR20242025_BenchMarkDataReport!$B:$B,CFR20242025_BenchMarkDataReport!BB:BB),0)</f>
        <v>6967.03</v>
      </c>
      <c r="AK46" s="289">
        <f>IFERROR(_xlfn.XLOOKUP($A46,CFR20242025_BenchMarkDataReport!$B:$B,CFR20242025_BenchMarkDataReport!BC:BC),0)</f>
        <v>74312.34</v>
      </c>
      <c r="AL46" s="289">
        <f>IFERROR(_xlfn.XLOOKUP($A46,CFR20242025_BenchMarkDataReport!$B:$B,CFR20242025_BenchMarkDataReport!BD:BD),0)</f>
        <v>5771.86</v>
      </c>
      <c r="AM46" s="289">
        <f>IFERROR(_xlfn.XLOOKUP($A46,CFR20242025_BenchMarkDataReport!$B:$B,CFR20242025_BenchMarkDataReport!BE:BE),0)</f>
        <v>103849.16</v>
      </c>
      <c r="AN46" s="289">
        <f>IFERROR(_xlfn.XLOOKUP($A46,CFR20242025_BenchMarkDataReport!$B:$B,CFR20242025_BenchMarkDataReport!BF:BF),0)</f>
        <v>115036.91</v>
      </c>
      <c r="AO46" s="289">
        <f>IFERROR(_xlfn.XLOOKUP($A46,CFR20242025_BenchMarkDataReport!$B:$B,CFR20242025_BenchMarkDataReport!BN:BN),0)</f>
        <v>12192.54</v>
      </c>
      <c r="AP46" s="289">
        <f>IFERROR(_xlfn.XLOOKUP($A46,CFR20242025_BenchMarkDataReport!$B:$B,CFR20242025_BenchMarkDataReport!BO:BO),0)</f>
        <v>0</v>
      </c>
      <c r="AQ46" s="289">
        <f>IFERROR(_xlfn.XLOOKUP($A46,CFR20242025_BenchMarkDataReport!$B:$B,CFR20242025_BenchMarkDataReport!BP:BP),0)</f>
        <v>15159.09</v>
      </c>
      <c r="AR46" s="289">
        <f>IFERROR(_xlfn.XLOOKUP($A46,CFR20242025_BenchMarkDataReport!$B:$B,CFR20242025_BenchMarkDataReport!BQ:BQ),0)</f>
        <v>5990.53</v>
      </c>
      <c r="AS46" s="289">
        <f>IFERROR(_xlfn.XLOOKUP($A46,CFR20242025_BenchMarkDataReport!$B:$B,CFR20242025_BenchMarkDataReport!BR:BR),0)</f>
        <v>46131.88</v>
      </c>
      <c r="AT46" s="289">
        <f>IFERROR(_xlfn.XLOOKUP($A46,CFR20242025_BenchMarkDataReport!$B:$B,CFR20242025_BenchMarkDataReport!BS:BS),0)</f>
        <v>222633.33</v>
      </c>
      <c r="AU46" s="289">
        <f>IFERROR(_xlfn.XLOOKUP($A46,CFR20242025_BenchMarkDataReport!$B:$B,CFR20242025_BenchMarkDataReport!BT:BT),0)</f>
        <v>0</v>
      </c>
      <c r="AV46" s="289">
        <f>IFERROR(_xlfn.XLOOKUP($A46,CFR20242025_BenchMarkDataReport!$B:$B,CFR20242025_BenchMarkDataReport!BU:BU),0)</f>
        <v>412737.1</v>
      </c>
      <c r="AW46" s="289">
        <f>IFERROR(_xlfn.XLOOKUP($A46,CFR20242025_BenchMarkDataReport!$B:$B,CFR20242025_BenchMarkDataReport!BV:BV),0)</f>
        <v>27576.04</v>
      </c>
      <c r="AX46" s="289">
        <f>IFERROR(_xlfn.XLOOKUP($A46,CFR20242025_BenchMarkDataReport!$B:$B,CFR20242025_BenchMarkDataReport!BW:BW),0)</f>
        <v>0</v>
      </c>
      <c r="AY46" s="289">
        <f>IFERROR(_xlfn.XLOOKUP($A46,CFR20242025_BenchMarkDataReport!$B:$B,CFR20242025_BenchMarkDataReport!BX:BX),0)</f>
        <v>0</v>
      </c>
      <c r="AZ46" s="289">
        <f>IFERROR(_xlfn.XLOOKUP($A46,CFR20242025_BenchMarkDataReport!$B:$B,CFR20242025_BenchMarkDataReport!BY:BY),0)</f>
        <v>0</v>
      </c>
      <c r="BA46" s="289">
        <f>IFERROR(_xlfn.XLOOKUP($A46,CFR20242025_BenchMarkDataReport!$B:$B,CFR20242025_BenchMarkDataReport!BZ:BZ),0)</f>
        <v>0</v>
      </c>
      <c r="BB46" s="289">
        <f>IFERROR(_xlfn.XLOOKUP($A46,CFR20242025_BenchMarkDataReport!$B:$B,CFR20242025_BenchMarkDataReport!CA:CA),0)</f>
        <v>0</v>
      </c>
      <c r="BC46" s="290">
        <f t="shared" si="106"/>
        <v>2972832.8699999992</v>
      </c>
      <c r="BD46" s="291">
        <f t="shared" si="104"/>
        <v>3141810.4499999997</v>
      </c>
      <c r="BE46" s="327">
        <f t="shared" si="105"/>
        <v>-168977.58000000054</v>
      </c>
      <c r="BF46" s="289">
        <f>IFERROR(_xlfn.XLOOKUP(A46,CFR20242025_BenchMarkDataReport!B:B,CFR20242025_BenchMarkDataReport!Q:Q),0)</f>
        <v>65897.58</v>
      </c>
      <c r="BG46" s="290">
        <f t="shared" si="0"/>
        <v>-103080.00000000054</v>
      </c>
      <c r="BH46" s="292">
        <f>_xlfn.XLOOKUP(A46,'Pupil on roll 24-25'!E:E,'Pupil on roll 24-25'!I:I)</f>
        <v>377</v>
      </c>
      <c r="BI46" s="291">
        <f t="shared" si="1"/>
        <v>2297572.6999999997</v>
      </c>
      <c r="BJ46" t="s">
        <v>190</v>
      </c>
      <c r="BK46" s="293">
        <f t="shared" si="107"/>
        <v>0.74463453776330202</v>
      </c>
      <c r="BL46" s="294">
        <f t="shared" si="108"/>
        <v>5871.8144031830234</v>
      </c>
      <c r="BM46" s="295">
        <f t="shared" si="109"/>
        <v>0</v>
      </c>
      <c r="BN46" s="296">
        <f t="shared" si="110"/>
        <v>0</v>
      </c>
      <c r="BO46" s="293">
        <f t="shared" si="111"/>
        <v>2.8221791694600047E-2</v>
      </c>
      <c r="BP46" s="294">
        <f t="shared" si="112"/>
        <v>222.54289124668435</v>
      </c>
      <c r="BQ46" s="295">
        <f t="shared" si="113"/>
        <v>0</v>
      </c>
      <c r="BR46" s="296">
        <f t="shared" si="114"/>
        <v>0</v>
      </c>
      <c r="BS46" s="293">
        <f t="shared" si="115"/>
        <v>3.7296075779732628E-3</v>
      </c>
      <c r="BT46" s="294">
        <f t="shared" si="116"/>
        <v>29.409814323607428</v>
      </c>
      <c r="BU46" s="295">
        <f t="shared" si="117"/>
        <v>2.8168260262811218E-2</v>
      </c>
      <c r="BV46" s="296">
        <f t="shared" si="118"/>
        <v>222.12076923076924</v>
      </c>
      <c r="BW46" s="293">
        <f t="shared" si="119"/>
        <v>5.9246872495728305E-2</v>
      </c>
      <c r="BX46" s="294">
        <f t="shared" si="120"/>
        <v>467.19111405835542</v>
      </c>
      <c r="BY46" s="295">
        <f t="shared" si="121"/>
        <v>5.1451261032376848E-4</v>
      </c>
      <c r="BZ46" s="297">
        <f t="shared" si="122"/>
        <v>4.0571883289124671</v>
      </c>
      <c r="CA46" s="298">
        <f t="shared" si="123"/>
        <v>1.1430447484254305E-2</v>
      </c>
      <c r="CB46" s="299">
        <f t="shared" si="124"/>
        <v>90.134774535809015</v>
      </c>
      <c r="CC46" s="295">
        <f t="shared" si="125"/>
        <v>7.578009926942178E-2</v>
      </c>
      <c r="CD46" s="296">
        <f t="shared" si="126"/>
        <v>597.56384615384616</v>
      </c>
      <c r="CE46" s="300">
        <f t="shared" si="127"/>
        <v>0.70074297540182306</v>
      </c>
      <c r="CF46" s="298">
        <f t="shared" si="128"/>
        <v>0.54157364386246187</v>
      </c>
      <c r="CG46" s="298">
        <f t="shared" si="129"/>
        <v>0.51244591474320167</v>
      </c>
      <c r="CH46" s="299">
        <f t="shared" si="130"/>
        <v>4270.5780636604777</v>
      </c>
      <c r="CI46" s="295">
        <f t="shared" si="131"/>
        <v>8.903102391493424E-2</v>
      </c>
      <c r="CJ46" s="301">
        <f t="shared" si="132"/>
        <v>6.8808190350774762E-2</v>
      </c>
      <c r="CK46" s="301">
        <f t="shared" si="133"/>
        <v>6.5107444658222463E-2</v>
      </c>
      <c r="CL46" s="302">
        <f t="shared" si="134"/>
        <v>542.58687002652516</v>
      </c>
      <c r="CM46" s="300">
        <f t="shared" si="135"/>
        <v>1.7190542001130151E-2</v>
      </c>
      <c r="CN46" s="298">
        <f t="shared" si="136"/>
        <v>1.3285819192385345E-2</v>
      </c>
      <c r="CO46" s="298">
        <f t="shared" si="137"/>
        <v>1.2571261261162333E-2</v>
      </c>
      <c r="CP46" s="299">
        <f t="shared" si="138"/>
        <v>104.76530503978779</v>
      </c>
      <c r="CQ46" s="295">
        <f t="shared" si="139"/>
        <v>4.8062914396571656E-2</v>
      </c>
      <c r="CR46" s="301">
        <f t="shared" si="140"/>
        <v>3.7145727603583721E-2</v>
      </c>
      <c r="CS46" s="301">
        <f t="shared" si="141"/>
        <v>3.5147900154192946E-2</v>
      </c>
      <c r="CT46" s="296">
        <f t="shared" si="142"/>
        <v>292.91257294429704</v>
      </c>
      <c r="CU46" s="300">
        <f t="shared" si="143"/>
        <v>0.88533466209796119</v>
      </c>
      <c r="CV46" s="298">
        <f t="shared" si="144"/>
        <v>0.68423649729088221</v>
      </c>
      <c r="CW46" s="298">
        <f t="shared" si="145"/>
        <v>0.64743585979224183</v>
      </c>
      <c r="CX46" s="299">
        <f t="shared" si="146"/>
        <v>5395.5457559681699</v>
      </c>
      <c r="CY46" s="295">
        <f t="shared" si="147"/>
        <v>5.2453878826119417E-3</v>
      </c>
      <c r="CZ46" s="301">
        <f t="shared" si="148"/>
        <v>3.8358965926795492E-3</v>
      </c>
      <c r="DA46" s="296">
        <f t="shared" si="149"/>
        <v>31.967267904509285</v>
      </c>
      <c r="DB46" s="300">
        <f t="shared" si="150"/>
        <v>2.2175207928282242E-3</v>
      </c>
      <c r="DC46" s="299">
        <f t="shared" si="151"/>
        <v>18.480185676392573</v>
      </c>
      <c r="DD46" s="295">
        <f t="shared" si="152"/>
        <v>3.2343847052152042E-2</v>
      </c>
      <c r="DE46" s="301">
        <f t="shared" si="153"/>
        <v>2.3652712721736604E-2</v>
      </c>
      <c r="DF46" s="296">
        <f t="shared" si="154"/>
        <v>197.11496021220159</v>
      </c>
      <c r="DG46" s="300">
        <f t="shared" si="155"/>
        <v>4.5199509900165517E-2</v>
      </c>
      <c r="DH46" s="298">
        <f t="shared" si="156"/>
        <v>3.3053922778823276E-2</v>
      </c>
      <c r="DI46" s="303">
        <f t="shared" si="157"/>
        <v>275.4619628647215</v>
      </c>
      <c r="DJ46" s="295">
        <f t="shared" si="158"/>
        <v>5.0068887918105931E-2</v>
      </c>
      <c r="DK46" s="301">
        <f t="shared" si="159"/>
        <v>3.8696056936426443E-2</v>
      </c>
      <c r="DL46" s="301">
        <f t="shared" si="160"/>
        <v>3.6614847340647176E-2</v>
      </c>
      <c r="DM46" s="296">
        <f t="shared" si="161"/>
        <v>305.1376923076923</v>
      </c>
      <c r="DN46" s="300">
        <f t="shared" si="162"/>
        <v>6.5978717452553305E-3</v>
      </c>
      <c r="DO46" s="298">
        <f t="shared" si="163"/>
        <v>4.824953714187309E-3</v>
      </c>
      <c r="DP46" s="299">
        <f t="shared" si="164"/>
        <v>40.209787798408492</v>
      </c>
      <c r="DQ46" s="295">
        <f t="shared" si="165"/>
        <v>0.1796404962506736</v>
      </c>
      <c r="DR46" s="301">
        <f t="shared" si="166"/>
        <v>0.13136919192563001</v>
      </c>
      <c r="DS46" s="296">
        <f t="shared" si="167"/>
        <v>1094.7933687002651</v>
      </c>
      <c r="DT46" s="300">
        <f t="shared" si="168"/>
        <v>7.0861477337055778E-2</v>
      </c>
      <c r="DU46" s="299">
        <f t="shared" si="169"/>
        <v>590.53933687002655</v>
      </c>
      <c r="DV46" s="295">
        <f t="shared" si="25"/>
        <v>1.3462416232016799E-2</v>
      </c>
      <c r="DW46" s="296">
        <f t="shared" si="97"/>
        <v>112.19193633952254</v>
      </c>
      <c r="DX46" s="295">
        <f t="shared" si="170"/>
        <v>3.0466935823184185E-6</v>
      </c>
      <c r="DY46" s="301">
        <f t="shared" si="171"/>
        <v>2.3546564190135594E-6</v>
      </c>
      <c r="DZ46" s="301">
        <f t="shared" si="172"/>
        <v>2.2280147422642891E-6</v>
      </c>
      <c r="EA46" s="296">
        <f t="shared" si="173"/>
        <v>1.8567639257294429E-2</v>
      </c>
      <c r="EB46" s="304">
        <f>IFERROR(_xlfn.XLOOKUP(A46,'Pupil on roll 24-25'!E:E,'Pupil on roll 24-25'!R:R),0)</f>
        <v>7</v>
      </c>
      <c r="EC46" s="289">
        <f>IFERROR(_xlfn.XLOOKUP(A46,CFR20242025_BenchMarkDataReport!B:B,CFR20242025_BenchMarkDataReport!AK:AK),0)</f>
        <v>1281.25</v>
      </c>
      <c r="ED46" s="289">
        <f>IFERROR(_xlfn.XLOOKUP(A46,CFR20242025_BenchMarkDataReport!B:B,CFR20242025_BenchMarkDataReport!AL:AL),0)</f>
        <v>95942</v>
      </c>
    </row>
    <row r="47" spans="1:134">
      <c r="A47" s="208">
        <v>3305</v>
      </c>
      <c r="B47" s="326">
        <v>10078</v>
      </c>
      <c r="C47" s="208" t="s">
        <v>78</v>
      </c>
      <c r="D47" s="289">
        <f>IFERROR(_xlfn.XLOOKUP($A47,CFR20242025_BenchMarkDataReport!$B:$B,CFR20242025_BenchMarkDataReport!T:T),0)</f>
        <v>882813.8</v>
      </c>
      <c r="E47" s="289">
        <f>IFERROR(_xlfn.XLOOKUP($A47,CFR20242025_BenchMarkDataReport!$B:$B,CFR20242025_BenchMarkDataReport!U:U),0)</f>
        <v>0</v>
      </c>
      <c r="F47" s="289">
        <f>IFERROR(_xlfn.XLOOKUP($A47,CFR20242025_BenchMarkDataReport!$B:$B,CFR20242025_BenchMarkDataReport!V:V),0)</f>
        <v>35285.29</v>
      </c>
      <c r="G47" s="289">
        <f>IFERROR(_xlfn.XLOOKUP($A47,CFR20242025_BenchMarkDataReport!$B:$B,CFR20242025_BenchMarkDataReport!W:W),0)</f>
        <v>0</v>
      </c>
      <c r="H47" s="289">
        <f>IFERROR(_xlfn.XLOOKUP($A47,CFR20242025_BenchMarkDataReport!$B:$B,CFR20242025_BenchMarkDataReport!X:X),0)</f>
        <v>38090</v>
      </c>
      <c r="I47" s="289">
        <f>IFERROR(_xlfn.XLOOKUP($A47,CFR20242025_BenchMarkDataReport!$B:$B,CFR20242025_BenchMarkDataReport!Y:Y),0)</f>
        <v>0</v>
      </c>
      <c r="J47" s="289">
        <f>IFERROR(_xlfn.XLOOKUP($A47,CFR20242025_BenchMarkDataReport!$B:$B,CFR20242025_BenchMarkDataReport!Z:Z),0)</f>
        <v>90797.89</v>
      </c>
      <c r="K47" s="289">
        <f>IFERROR(_xlfn.XLOOKUP($A47,CFR20242025_BenchMarkDataReport!$B:$B,CFR20242025_BenchMarkDataReport!AA:AA),0)</f>
        <v>1950</v>
      </c>
      <c r="L47" s="289">
        <f>IFERROR(_xlfn.XLOOKUP($A47,CFR20242025_BenchMarkDataReport!$B:$B,CFR20242025_BenchMarkDataReport!AB:AB),0)</f>
        <v>15268.25</v>
      </c>
      <c r="M47" s="289">
        <f>IFERROR(_xlfn.XLOOKUP($A47,CFR20242025_BenchMarkDataReport!$B:$B,CFR20242025_BenchMarkDataReport!AC:AC),0)</f>
        <v>983.41</v>
      </c>
      <c r="N47" s="289">
        <f>IFERROR(_xlfn.XLOOKUP($A47,CFR20242025_BenchMarkDataReport!$B:$B,CFR20242025_BenchMarkDataReport!AD:AD),0)</f>
        <v>0</v>
      </c>
      <c r="O47" s="289">
        <f>IFERROR(_xlfn.XLOOKUP($A47,CFR20242025_BenchMarkDataReport!$B:$B,CFR20242025_BenchMarkDataReport!AE:AE),0)</f>
        <v>0</v>
      </c>
      <c r="P47" s="289">
        <f>IFERROR(_xlfn.XLOOKUP($A47,CFR20242025_BenchMarkDataReport!$B:$B,CFR20242025_BenchMarkDataReport!AF:AF),0)</f>
        <v>25048.560000000001</v>
      </c>
      <c r="Q47" s="289">
        <f>IFERROR(_xlfn.XLOOKUP($A47,CFR20242025_BenchMarkDataReport!$B:$B,CFR20242025_BenchMarkDataReport!AG:AG),0)</f>
        <v>45117.43</v>
      </c>
      <c r="R47" s="289">
        <f>IFERROR(_xlfn.XLOOKUP($A47,CFR20242025_BenchMarkDataReport!$B:$B,CFR20242025_BenchMarkDataReport!AH:AH),0)</f>
        <v>0</v>
      </c>
      <c r="S47" s="289">
        <f>IFERROR(_xlfn.XLOOKUP($A47,CFR20242025_BenchMarkDataReport!$B:$B,CFR20242025_BenchMarkDataReport!AI:AI),0)</f>
        <v>0</v>
      </c>
      <c r="T47" s="289">
        <f>IFERROR(_xlfn.XLOOKUP($A47,CFR20242025_BenchMarkDataReport!$B:$B,CFR20242025_BenchMarkDataReport!AJ:AJ),0)</f>
        <v>0</v>
      </c>
      <c r="U47" s="289">
        <f>INDEX(CFR20242025_BenchMarkDataReport!$B$3:$AM$87,MATCH(A47,CFR20242025_BenchMarkDataReport!$B$3:$B$87),MATCH($U$2,CFR20242025_BenchMarkDataReport!$B$3:$AM$3,0))</f>
        <v>38656</v>
      </c>
      <c r="V47" s="289">
        <f>IFERROR(_xlfn.XLOOKUP($A47,CFR20242025_BenchMarkDataReport!$B:$B,CFR20242025_BenchMarkDataReport!AN:AN),0)</f>
        <v>573324.29</v>
      </c>
      <c r="W47" s="289">
        <f>IFERROR(_xlfn.XLOOKUP($A47,CFR20242025_BenchMarkDataReport!$B:$B,CFR20242025_BenchMarkDataReport!AO:AO),0)</f>
        <v>0</v>
      </c>
      <c r="X47" s="289">
        <f>IFERROR(_xlfn.XLOOKUP($A47,CFR20242025_BenchMarkDataReport!$B:$B,CFR20242025_BenchMarkDataReport!AP:AP),0)</f>
        <v>153995.07999999999</v>
      </c>
      <c r="Y47" s="289">
        <f>IFERROR(_xlfn.XLOOKUP($A47,CFR20242025_BenchMarkDataReport!$B:$B,CFR20242025_BenchMarkDataReport!AQ:AQ),0)</f>
        <v>46554.83</v>
      </c>
      <c r="Z47" s="289">
        <f>IFERROR(_xlfn.XLOOKUP($A47,CFR20242025_BenchMarkDataReport!$B:$B,CFR20242025_BenchMarkDataReport!AR:AR),0)</f>
        <v>43764.15</v>
      </c>
      <c r="AA47" s="289">
        <f>IFERROR(_xlfn.XLOOKUP($A47,CFR20242025_BenchMarkDataReport!$B:$B,CFR20242025_BenchMarkDataReport!AS:AS),0)</f>
        <v>0</v>
      </c>
      <c r="AB47" s="289">
        <f>IFERROR(_xlfn.XLOOKUP($A47,CFR20242025_BenchMarkDataReport!$B:$B,CFR20242025_BenchMarkDataReport!AT:AT),0)</f>
        <v>31907.45</v>
      </c>
      <c r="AC47" s="289">
        <f>IFERROR(_xlfn.XLOOKUP($A47,CFR20242025_BenchMarkDataReport!$B:$B,CFR20242025_BenchMarkDataReport!AU:AU),0)</f>
        <v>4281.67</v>
      </c>
      <c r="AD47" s="289">
        <f>IFERROR(_xlfn.XLOOKUP($A47,CFR20242025_BenchMarkDataReport!$B:$B,CFR20242025_BenchMarkDataReport!AV:AV),0)</f>
        <v>1506.32</v>
      </c>
      <c r="AE47" s="289">
        <f>IFERROR(_xlfn.XLOOKUP($A47,CFR20242025_BenchMarkDataReport!$B:$B,CFR20242025_BenchMarkDataReport!AW:AW),0)</f>
        <v>247.34</v>
      </c>
      <c r="AF47" s="289">
        <f>IFERROR(_xlfn.XLOOKUP($A47,CFR20242025_BenchMarkDataReport!$B:$B,CFR20242025_BenchMarkDataReport!AX:AX),0)</f>
        <v>0</v>
      </c>
      <c r="AG47" s="289">
        <f>IFERROR(_xlfn.XLOOKUP($A47,CFR20242025_BenchMarkDataReport!$B:$B,CFR20242025_BenchMarkDataReport!AY:AY),0)</f>
        <v>48568.66</v>
      </c>
      <c r="AH47" s="289">
        <f>IFERROR(_xlfn.XLOOKUP($A47,CFR20242025_BenchMarkDataReport!$B:$B,CFR20242025_BenchMarkDataReport!AZ:AZ),0)</f>
        <v>0</v>
      </c>
      <c r="AI47" s="289">
        <f>IFERROR(_xlfn.XLOOKUP($A47,CFR20242025_BenchMarkDataReport!$B:$B,CFR20242025_BenchMarkDataReport!BA:BA),0)</f>
        <v>628.65</v>
      </c>
      <c r="AJ47" s="289">
        <f>IFERROR(_xlfn.XLOOKUP($A47,CFR20242025_BenchMarkDataReport!$B:$B,CFR20242025_BenchMarkDataReport!BB:BB),0)</f>
        <v>1422.07</v>
      </c>
      <c r="AK47" s="289">
        <f>IFERROR(_xlfn.XLOOKUP($A47,CFR20242025_BenchMarkDataReport!$B:$B,CFR20242025_BenchMarkDataReport!BC:BC),0)</f>
        <v>20573.490000000002</v>
      </c>
      <c r="AL47" s="289">
        <f>IFERROR(_xlfn.XLOOKUP($A47,CFR20242025_BenchMarkDataReport!$B:$B,CFR20242025_BenchMarkDataReport!BD:BD),0)</f>
        <v>1904.64</v>
      </c>
      <c r="AM47" s="289">
        <f>IFERROR(_xlfn.XLOOKUP($A47,CFR20242025_BenchMarkDataReport!$B:$B,CFR20242025_BenchMarkDataReport!BE:BE),0)</f>
        <v>6374.72</v>
      </c>
      <c r="AN47" s="289">
        <f>IFERROR(_xlfn.XLOOKUP($A47,CFR20242025_BenchMarkDataReport!$B:$B,CFR20242025_BenchMarkDataReport!BF:BF),0)</f>
        <v>42842.28</v>
      </c>
      <c r="AO47" s="289">
        <f>IFERROR(_xlfn.XLOOKUP($A47,CFR20242025_BenchMarkDataReport!$B:$B,CFR20242025_BenchMarkDataReport!BN:BN),0)</f>
        <v>17774.52</v>
      </c>
      <c r="AP47" s="289">
        <f>IFERROR(_xlfn.XLOOKUP($A47,CFR20242025_BenchMarkDataReport!$B:$B,CFR20242025_BenchMarkDataReport!BO:BO),0)</f>
        <v>0</v>
      </c>
      <c r="AQ47" s="289">
        <f>IFERROR(_xlfn.XLOOKUP($A47,CFR20242025_BenchMarkDataReport!$B:$B,CFR20242025_BenchMarkDataReport!BP:BP),0)</f>
        <v>3217.8</v>
      </c>
      <c r="AR47" s="289">
        <f>IFERROR(_xlfn.XLOOKUP($A47,CFR20242025_BenchMarkDataReport!$B:$B,CFR20242025_BenchMarkDataReport!BQ:BQ),0)</f>
        <v>3436.33</v>
      </c>
      <c r="AS47" s="289">
        <f>IFERROR(_xlfn.XLOOKUP($A47,CFR20242025_BenchMarkDataReport!$B:$B,CFR20242025_BenchMarkDataReport!BR:BR),0)</f>
        <v>4175.4399999999996</v>
      </c>
      <c r="AT47" s="289">
        <f>IFERROR(_xlfn.XLOOKUP($A47,CFR20242025_BenchMarkDataReport!$B:$B,CFR20242025_BenchMarkDataReport!BS:BS),0)</f>
        <v>49441.83</v>
      </c>
      <c r="AU47" s="289">
        <f>IFERROR(_xlfn.XLOOKUP($A47,CFR20242025_BenchMarkDataReport!$B:$B,CFR20242025_BenchMarkDataReport!BT:BT),0)</f>
        <v>0</v>
      </c>
      <c r="AV47" s="289">
        <f>IFERROR(_xlfn.XLOOKUP($A47,CFR20242025_BenchMarkDataReport!$B:$B,CFR20242025_BenchMarkDataReport!BU:BU),0)</f>
        <v>30862.57</v>
      </c>
      <c r="AW47" s="289">
        <f>IFERROR(_xlfn.XLOOKUP($A47,CFR20242025_BenchMarkDataReport!$B:$B,CFR20242025_BenchMarkDataReport!BV:BV),0)</f>
        <v>23971.38</v>
      </c>
      <c r="AX47" s="289">
        <f>IFERROR(_xlfn.XLOOKUP($A47,CFR20242025_BenchMarkDataReport!$B:$B,CFR20242025_BenchMarkDataReport!BW:BW),0)</f>
        <v>0</v>
      </c>
      <c r="AY47" s="289">
        <f>IFERROR(_xlfn.XLOOKUP($A47,CFR20242025_BenchMarkDataReport!$B:$B,CFR20242025_BenchMarkDataReport!BX:BX),0)</f>
        <v>0</v>
      </c>
      <c r="AZ47" s="289">
        <f>IFERROR(_xlfn.XLOOKUP($A47,CFR20242025_BenchMarkDataReport!$B:$B,CFR20242025_BenchMarkDataReport!BY:BY),0)</f>
        <v>0</v>
      </c>
      <c r="BA47" s="289">
        <f>IFERROR(_xlfn.XLOOKUP($A47,CFR20242025_BenchMarkDataReport!$B:$B,CFR20242025_BenchMarkDataReport!BZ:BZ),0)</f>
        <v>0</v>
      </c>
      <c r="BB47" s="289">
        <f>IFERROR(_xlfn.XLOOKUP($A47,CFR20242025_BenchMarkDataReport!$B:$B,CFR20242025_BenchMarkDataReport!CA:CA),0)</f>
        <v>0</v>
      </c>
      <c r="BC47" s="290">
        <f t="shared" si="106"/>
        <v>1174010.6299999999</v>
      </c>
      <c r="BD47" s="291">
        <f t="shared" si="104"/>
        <v>1110775.5099999998</v>
      </c>
      <c r="BE47" s="327">
        <f t="shared" si="105"/>
        <v>63235.120000000112</v>
      </c>
      <c r="BF47" s="289">
        <f>IFERROR(_xlfn.XLOOKUP(A47,CFR20242025_BenchMarkDataReport!B:B,CFR20242025_BenchMarkDataReport!Q:Q),0)</f>
        <v>57475.88</v>
      </c>
      <c r="BG47" s="290">
        <f t="shared" si="0"/>
        <v>120711.00000000012</v>
      </c>
      <c r="BH47" s="292">
        <f>_xlfn.XLOOKUP(A47,'Pupil on roll 24-25'!E:E,'Pupil on roll 24-25'!I:I)</f>
        <v>149</v>
      </c>
      <c r="BI47" s="291">
        <f t="shared" si="1"/>
        <v>918099.09000000008</v>
      </c>
      <c r="BJ47" t="s">
        <v>190</v>
      </c>
      <c r="BK47" s="293">
        <f t="shared" si="107"/>
        <v>0.75196406015506023</v>
      </c>
      <c r="BL47" s="294">
        <f t="shared" si="108"/>
        <v>5924.924832214765</v>
      </c>
      <c r="BM47" s="295">
        <f t="shared" si="109"/>
        <v>0</v>
      </c>
      <c r="BN47" s="296">
        <f t="shared" si="110"/>
        <v>0</v>
      </c>
      <c r="BO47" s="293">
        <f t="shared" si="111"/>
        <v>3.0055341151382933E-2</v>
      </c>
      <c r="BP47" s="294">
        <f t="shared" si="112"/>
        <v>236.81402684563758</v>
      </c>
      <c r="BQ47" s="295">
        <f t="shared" si="113"/>
        <v>0</v>
      </c>
      <c r="BR47" s="296">
        <f t="shared" si="114"/>
        <v>0</v>
      </c>
      <c r="BS47" s="293">
        <f t="shared" si="115"/>
        <v>3.244433996308875E-2</v>
      </c>
      <c r="BT47" s="294">
        <f t="shared" si="116"/>
        <v>255.63758389261744</v>
      </c>
      <c r="BU47" s="295">
        <f t="shared" si="117"/>
        <v>0</v>
      </c>
      <c r="BV47" s="296">
        <f t="shared" si="118"/>
        <v>0</v>
      </c>
      <c r="BW47" s="293">
        <f t="shared" si="119"/>
        <v>7.7339921530352754E-2</v>
      </c>
      <c r="BX47" s="294">
        <f t="shared" si="120"/>
        <v>609.38181208053686</v>
      </c>
      <c r="BY47" s="295">
        <f t="shared" si="121"/>
        <v>1.4666178959555078E-2</v>
      </c>
      <c r="BZ47" s="297">
        <f t="shared" si="122"/>
        <v>115.55872483221476</v>
      </c>
      <c r="CA47" s="298">
        <f t="shared" si="123"/>
        <v>2.1335888585608465E-2</v>
      </c>
      <c r="CB47" s="299">
        <f t="shared" si="124"/>
        <v>168.11114093959733</v>
      </c>
      <c r="CC47" s="295">
        <f t="shared" si="125"/>
        <v>3.8430171624595943E-2</v>
      </c>
      <c r="CD47" s="296">
        <f t="shared" si="126"/>
        <v>302.80154362416107</v>
      </c>
      <c r="CE47" s="300">
        <f t="shared" si="127"/>
        <v>0.62446885771338689</v>
      </c>
      <c r="CF47" s="298">
        <f t="shared" si="128"/>
        <v>0.48834676224354129</v>
      </c>
      <c r="CG47" s="298">
        <f t="shared" si="129"/>
        <v>0.51614775878521135</v>
      </c>
      <c r="CH47" s="299">
        <f t="shared" si="130"/>
        <v>3847.8140268456377</v>
      </c>
      <c r="CI47" s="295">
        <f t="shared" si="131"/>
        <v>0.16773252656202936</v>
      </c>
      <c r="CJ47" s="301">
        <f t="shared" si="132"/>
        <v>0.13117009000165528</v>
      </c>
      <c r="CK47" s="301">
        <f t="shared" si="133"/>
        <v>0.13863744619288557</v>
      </c>
      <c r="CL47" s="302">
        <f t="shared" si="134"/>
        <v>1033.5240268456375</v>
      </c>
      <c r="CM47" s="300">
        <f t="shared" si="135"/>
        <v>5.0707848975212466E-2</v>
      </c>
      <c r="CN47" s="298">
        <f t="shared" si="136"/>
        <v>3.965452169713319E-2</v>
      </c>
      <c r="CO47" s="298">
        <f t="shared" si="137"/>
        <v>4.1912006144247824E-2</v>
      </c>
      <c r="CP47" s="299">
        <f t="shared" si="138"/>
        <v>312.44852348993288</v>
      </c>
      <c r="CQ47" s="295">
        <f t="shared" si="139"/>
        <v>4.7668220649254751E-2</v>
      </c>
      <c r="CR47" s="301">
        <f t="shared" si="140"/>
        <v>3.7277473373473632E-2</v>
      </c>
      <c r="CS47" s="301">
        <f t="shared" si="141"/>
        <v>3.939963530524724E-2</v>
      </c>
      <c r="CT47" s="296">
        <f t="shared" si="142"/>
        <v>293.71912751677854</v>
      </c>
      <c r="CU47" s="300">
        <f t="shared" si="143"/>
        <v>0.92533127333782661</v>
      </c>
      <c r="CV47" s="298">
        <f t="shared" si="144"/>
        <v>0.72362700838577587</v>
      </c>
      <c r="CW47" s="298">
        <f t="shared" si="145"/>
        <v>0.76482222767046792</v>
      </c>
      <c r="CX47" s="299">
        <f t="shared" si="146"/>
        <v>5701.6496644295294</v>
      </c>
      <c r="CY47" s="295">
        <f t="shared" si="147"/>
        <v>5.2901326805584785E-2</v>
      </c>
      <c r="CZ47" s="301">
        <f t="shared" si="148"/>
        <v>4.372500074294941E-2</v>
      </c>
      <c r="DA47" s="296">
        <f t="shared" si="149"/>
        <v>325.96416107382555</v>
      </c>
      <c r="DB47" s="300">
        <f t="shared" si="150"/>
        <v>1.2802496878959819E-3</v>
      </c>
      <c r="DC47" s="299">
        <f t="shared" si="151"/>
        <v>9.5440939597315424</v>
      </c>
      <c r="DD47" s="295">
        <f t="shared" si="152"/>
        <v>2.2408790319136465E-2</v>
      </c>
      <c r="DE47" s="301">
        <f t="shared" si="153"/>
        <v>1.8521735323458837E-2</v>
      </c>
      <c r="DF47" s="296">
        <f t="shared" si="154"/>
        <v>138.07711409395975</v>
      </c>
      <c r="DG47" s="300">
        <f t="shared" si="155"/>
        <v>6.9433899558706668E-3</v>
      </c>
      <c r="DH47" s="298">
        <f t="shared" si="156"/>
        <v>5.7389814076833591E-3</v>
      </c>
      <c r="DI47" s="303">
        <f t="shared" si="157"/>
        <v>42.783355704697989</v>
      </c>
      <c r="DJ47" s="295">
        <f t="shared" si="158"/>
        <v>4.6664113347503693E-2</v>
      </c>
      <c r="DK47" s="301">
        <f t="shared" si="159"/>
        <v>3.6492241982510845E-2</v>
      </c>
      <c r="DL47" s="301">
        <f t="shared" si="160"/>
        <v>3.8569701631250411E-2</v>
      </c>
      <c r="DM47" s="296">
        <f t="shared" si="161"/>
        <v>287.53208053691276</v>
      </c>
      <c r="DN47" s="300">
        <f t="shared" si="162"/>
        <v>3.5048504404900345E-3</v>
      </c>
      <c r="DO47" s="298">
        <f t="shared" si="163"/>
        <v>2.8968949810569741E-3</v>
      </c>
      <c r="DP47" s="299">
        <f t="shared" si="164"/>
        <v>21.595973154362419</v>
      </c>
      <c r="DQ47" s="295">
        <f t="shared" si="165"/>
        <v>3.3615728777162818E-2</v>
      </c>
      <c r="DR47" s="301">
        <f t="shared" si="166"/>
        <v>2.7784705120119192E-2</v>
      </c>
      <c r="DS47" s="296">
        <f t="shared" si="167"/>
        <v>207.1313422818792</v>
      </c>
      <c r="DT47" s="300">
        <f t="shared" si="168"/>
        <v>4.4511091174489446E-2</v>
      </c>
      <c r="DU47" s="299">
        <f t="shared" si="169"/>
        <v>331.82436241610742</v>
      </c>
      <c r="DV47" s="295">
        <f t="shared" si="25"/>
        <v>5.6595594189864712E-4</v>
      </c>
      <c r="DW47" s="296">
        <f t="shared" si="97"/>
        <v>4.2191275167785234</v>
      </c>
      <c r="DX47" s="295">
        <f t="shared" si="170"/>
        <v>2.6140969162707695E-5</v>
      </c>
      <c r="DY47" s="301">
        <f t="shared" si="171"/>
        <v>2.0442745054190867E-5</v>
      </c>
      <c r="DZ47" s="301">
        <f t="shared" si="172"/>
        <v>2.1606526056736708E-5</v>
      </c>
      <c r="EA47" s="296">
        <f t="shared" si="173"/>
        <v>0.16107382550335569</v>
      </c>
      <c r="EB47" s="304">
        <f>IFERROR(_xlfn.XLOOKUP(A47,'Pupil on roll 24-25'!E:E,'Pupil on roll 24-25'!R:R),0)</f>
        <v>24</v>
      </c>
      <c r="EC47" s="289">
        <f>IFERROR(_xlfn.XLOOKUP(A47,CFR20242025_BenchMarkDataReport!B:B,CFR20242025_BenchMarkDataReport!AK:AK),0)</f>
        <v>1880</v>
      </c>
      <c r="ED47" s="289">
        <f>IFERROR(_xlfn.XLOOKUP(A47,CFR20242025_BenchMarkDataReport!B:B,CFR20242025_BenchMarkDataReport!AL:AL),0)</f>
        <v>36776</v>
      </c>
    </row>
    <row r="48" spans="1:134">
      <c r="A48" s="208">
        <v>2042</v>
      </c>
      <c r="B48" s="326">
        <v>10079</v>
      </c>
      <c r="C48" s="208" t="s">
        <v>79</v>
      </c>
      <c r="D48" s="289">
        <f>IFERROR(_xlfn.XLOOKUP($A48,CFR20242025_BenchMarkDataReport!$B:$B,CFR20242025_BenchMarkDataReport!T:T),0)</f>
        <v>2150885.2999999998</v>
      </c>
      <c r="E48" s="289">
        <f>IFERROR(_xlfn.XLOOKUP($A48,CFR20242025_BenchMarkDataReport!$B:$B,CFR20242025_BenchMarkDataReport!U:U),0)</f>
        <v>0</v>
      </c>
      <c r="F48" s="289">
        <f>IFERROR(_xlfn.XLOOKUP($A48,CFR20242025_BenchMarkDataReport!$B:$B,CFR20242025_BenchMarkDataReport!V:V),0)</f>
        <v>130536.95</v>
      </c>
      <c r="G48" s="289">
        <f>IFERROR(_xlfn.XLOOKUP($A48,CFR20242025_BenchMarkDataReport!$B:$B,CFR20242025_BenchMarkDataReport!W:W),0)</f>
        <v>0</v>
      </c>
      <c r="H48" s="289">
        <f>IFERROR(_xlfn.XLOOKUP($A48,CFR20242025_BenchMarkDataReport!$B:$B,CFR20242025_BenchMarkDataReport!X:X),0)</f>
        <v>34740</v>
      </c>
      <c r="I48" s="289">
        <f>IFERROR(_xlfn.XLOOKUP($A48,CFR20242025_BenchMarkDataReport!$B:$B,CFR20242025_BenchMarkDataReport!Y:Y),0)</f>
        <v>0</v>
      </c>
      <c r="J48" s="289">
        <f>IFERROR(_xlfn.XLOOKUP($A48,CFR20242025_BenchMarkDataReport!$B:$B,CFR20242025_BenchMarkDataReport!Z:Z),0)</f>
        <v>119133.25</v>
      </c>
      <c r="K48" s="289">
        <f>IFERROR(_xlfn.XLOOKUP($A48,CFR20242025_BenchMarkDataReport!$B:$B,CFR20242025_BenchMarkDataReport!AA:AA),0)</f>
        <v>21563.75</v>
      </c>
      <c r="L48" s="289">
        <f>IFERROR(_xlfn.XLOOKUP($A48,CFR20242025_BenchMarkDataReport!$B:$B,CFR20242025_BenchMarkDataReport!AB:AB),0)</f>
        <v>168109.9</v>
      </c>
      <c r="M48" s="289">
        <f>IFERROR(_xlfn.XLOOKUP($A48,CFR20242025_BenchMarkDataReport!$B:$B,CFR20242025_BenchMarkDataReport!AC:AC),0)</f>
        <v>1323.68</v>
      </c>
      <c r="N48" s="289">
        <f>IFERROR(_xlfn.XLOOKUP($A48,CFR20242025_BenchMarkDataReport!$B:$B,CFR20242025_BenchMarkDataReport!AD:AD),0)</f>
        <v>198</v>
      </c>
      <c r="O48" s="289">
        <f>IFERROR(_xlfn.XLOOKUP($A48,CFR20242025_BenchMarkDataReport!$B:$B,CFR20242025_BenchMarkDataReport!AE:AE),0)</f>
        <v>0</v>
      </c>
      <c r="P48" s="289">
        <f>IFERROR(_xlfn.XLOOKUP($A48,CFR20242025_BenchMarkDataReport!$B:$B,CFR20242025_BenchMarkDataReport!AF:AF),0)</f>
        <v>62195.11</v>
      </c>
      <c r="Q48" s="289">
        <f>IFERROR(_xlfn.XLOOKUP($A48,CFR20242025_BenchMarkDataReport!$B:$B,CFR20242025_BenchMarkDataReport!AG:AG),0)</f>
        <v>12818.59</v>
      </c>
      <c r="R48" s="289">
        <f>IFERROR(_xlfn.XLOOKUP($A48,CFR20242025_BenchMarkDataReport!$B:$B,CFR20242025_BenchMarkDataReport!AH:AH),0)</f>
        <v>0</v>
      </c>
      <c r="S48" s="289">
        <f>IFERROR(_xlfn.XLOOKUP($A48,CFR20242025_BenchMarkDataReport!$B:$B,CFR20242025_BenchMarkDataReport!AI:AI),0)</f>
        <v>0</v>
      </c>
      <c r="T48" s="289">
        <f>IFERROR(_xlfn.XLOOKUP($A48,CFR20242025_BenchMarkDataReport!$B:$B,CFR20242025_BenchMarkDataReport!AJ:AJ),0)</f>
        <v>0</v>
      </c>
      <c r="U48" s="289">
        <f>INDEX(CFR20242025_BenchMarkDataReport!$B$3:$AM$87,MATCH(A48,CFR20242025_BenchMarkDataReport!$B$3:$B$87),MATCH($U$2,CFR20242025_BenchMarkDataReport!$B$3:$AM$3,0))</f>
        <v>94381.63</v>
      </c>
      <c r="V48" s="289">
        <f>IFERROR(_xlfn.XLOOKUP($A48,CFR20242025_BenchMarkDataReport!$B:$B,CFR20242025_BenchMarkDataReport!AN:AN),0)</f>
        <v>1265849.3799999999</v>
      </c>
      <c r="W48" s="289">
        <f>IFERROR(_xlfn.XLOOKUP($A48,CFR20242025_BenchMarkDataReport!$B:$B,CFR20242025_BenchMarkDataReport!AO:AO),0)</f>
        <v>0</v>
      </c>
      <c r="X48" s="289">
        <f>IFERROR(_xlfn.XLOOKUP($A48,CFR20242025_BenchMarkDataReport!$B:$B,CFR20242025_BenchMarkDataReport!AP:AP),0)</f>
        <v>601541.78</v>
      </c>
      <c r="Y48" s="289">
        <f>IFERROR(_xlfn.XLOOKUP($A48,CFR20242025_BenchMarkDataReport!$B:$B,CFR20242025_BenchMarkDataReport!AQ:AQ),0)</f>
        <v>40204.5</v>
      </c>
      <c r="Z48" s="289">
        <f>IFERROR(_xlfn.XLOOKUP($A48,CFR20242025_BenchMarkDataReport!$B:$B,CFR20242025_BenchMarkDataReport!AR:AR),0)</f>
        <v>88528.25</v>
      </c>
      <c r="AA48" s="289">
        <f>IFERROR(_xlfn.XLOOKUP($A48,CFR20242025_BenchMarkDataReport!$B:$B,CFR20242025_BenchMarkDataReport!AS:AS),0)</f>
        <v>0</v>
      </c>
      <c r="AB48" s="289">
        <f>IFERROR(_xlfn.XLOOKUP($A48,CFR20242025_BenchMarkDataReport!$B:$B,CFR20242025_BenchMarkDataReport!AT:AT),0)</f>
        <v>193514.32</v>
      </c>
      <c r="AC48" s="289">
        <f>IFERROR(_xlfn.XLOOKUP($A48,CFR20242025_BenchMarkDataReport!$B:$B,CFR20242025_BenchMarkDataReport!AU:AU),0)</f>
        <v>9000.18</v>
      </c>
      <c r="AD48" s="289">
        <f>IFERROR(_xlfn.XLOOKUP($A48,CFR20242025_BenchMarkDataReport!$B:$B,CFR20242025_BenchMarkDataReport!AV:AV),0)</f>
        <v>1582</v>
      </c>
      <c r="AE48" s="289">
        <f>IFERROR(_xlfn.XLOOKUP($A48,CFR20242025_BenchMarkDataReport!$B:$B,CFR20242025_BenchMarkDataReport!AW:AW),0)</f>
        <v>11400.93</v>
      </c>
      <c r="AF48" s="289">
        <f>IFERROR(_xlfn.XLOOKUP($A48,CFR20242025_BenchMarkDataReport!$B:$B,CFR20242025_BenchMarkDataReport!AX:AX),0)</f>
        <v>0</v>
      </c>
      <c r="AG48" s="289">
        <f>IFERROR(_xlfn.XLOOKUP($A48,CFR20242025_BenchMarkDataReport!$B:$B,CFR20242025_BenchMarkDataReport!AY:AY),0)</f>
        <v>10935.12</v>
      </c>
      <c r="AH48" s="289">
        <f>IFERROR(_xlfn.XLOOKUP($A48,CFR20242025_BenchMarkDataReport!$B:$B,CFR20242025_BenchMarkDataReport!AZ:AZ),0)</f>
        <v>5058.25</v>
      </c>
      <c r="AI48" s="289">
        <f>IFERROR(_xlfn.XLOOKUP($A48,CFR20242025_BenchMarkDataReport!$B:$B,CFR20242025_BenchMarkDataReport!BA:BA),0)</f>
        <v>47994.559999999998</v>
      </c>
      <c r="AJ48" s="289">
        <f>IFERROR(_xlfn.XLOOKUP($A48,CFR20242025_BenchMarkDataReport!$B:$B,CFR20242025_BenchMarkDataReport!BB:BB),0)</f>
        <v>5427.86</v>
      </c>
      <c r="AK48" s="289">
        <f>IFERROR(_xlfn.XLOOKUP($A48,CFR20242025_BenchMarkDataReport!$B:$B,CFR20242025_BenchMarkDataReport!BC:BC),0)</f>
        <v>35861.06</v>
      </c>
      <c r="AL48" s="289">
        <f>IFERROR(_xlfn.XLOOKUP($A48,CFR20242025_BenchMarkDataReport!$B:$B,CFR20242025_BenchMarkDataReport!BD:BD),0)</f>
        <v>36600</v>
      </c>
      <c r="AM48" s="289">
        <f>IFERROR(_xlfn.XLOOKUP($A48,CFR20242025_BenchMarkDataReport!$B:$B,CFR20242025_BenchMarkDataReport!BE:BE),0)</f>
        <v>12570.67</v>
      </c>
      <c r="AN48" s="289">
        <f>IFERROR(_xlfn.XLOOKUP($A48,CFR20242025_BenchMarkDataReport!$B:$B,CFR20242025_BenchMarkDataReport!BF:BF),0)</f>
        <v>98781.25</v>
      </c>
      <c r="AO48" s="289">
        <f>IFERROR(_xlfn.XLOOKUP($A48,CFR20242025_BenchMarkDataReport!$B:$B,CFR20242025_BenchMarkDataReport!BN:BN),0)</f>
        <v>9527.64</v>
      </c>
      <c r="AP48" s="289">
        <f>IFERROR(_xlfn.XLOOKUP($A48,CFR20242025_BenchMarkDataReport!$B:$B,CFR20242025_BenchMarkDataReport!BO:BO),0)</f>
        <v>0</v>
      </c>
      <c r="AQ48" s="289">
        <f>IFERROR(_xlfn.XLOOKUP($A48,CFR20242025_BenchMarkDataReport!$B:$B,CFR20242025_BenchMarkDataReport!BP:BP),0)</f>
        <v>12493.86</v>
      </c>
      <c r="AR48" s="289">
        <f>IFERROR(_xlfn.XLOOKUP($A48,CFR20242025_BenchMarkDataReport!$B:$B,CFR20242025_BenchMarkDataReport!BQ:BQ),0)</f>
        <v>17132.91</v>
      </c>
      <c r="AS48" s="289">
        <f>IFERROR(_xlfn.XLOOKUP($A48,CFR20242025_BenchMarkDataReport!$B:$B,CFR20242025_BenchMarkDataReport!BR:BR),0)</f>
        <v>11508.79</v>
      </c>
      <c r="AT48" s="289">
        <f>IFERROR(_xlfn.XLOOKUP($A48,CFR20242025_BenchMarkDataReport!$B:$B,CFR20242025_BenchMarkDataReport!BS:BS),0)</f>
        <v>140207.75</v>
      </c>
      <c r="AU48" s="289">
        <f>IFERROR(_xlfn.XLOOKUP($A48,CFR20242025_BenchMarkDataReport!$B:$B,CFR20242025_BenchMarkDataReport!BT:BT),0)</f>
        <v>43644.07</v>
      </c>
      <c r="AV48" s="289">
        <f>IFERROR(_xlfn.XLOOKUP($A48,CFR20242025_BenchMarkDataReport!$B:$B,CFR20242025_BenchMarkDataReport!BU:BU),0)</f>
        <v>93004.87</v>
      </c>
      <c r="AW48" s="289">
        <f>IFERROR(_xlfn.XLOOKUP($A48,CFR20242025_BenchMarkDataReport!$B:$B,CFR20242025_BenchMarkDataReport!BV:BV),0)</f>
        <v>12245.36</v>
      </c>
      <c r="AX48" s="289">
        <f>IFERROR(_xlfn.XLOOKUP($A48,CFR20242025_BenchMarkDataReport!$B:$B,CFR20242025_BenchMarkDataReport!BW:BW),0)</f>
        <v>0</v>
      </c>
      <c r="AY48" s="289">
        <f>IFERROR(_xlfn.XLOOKUP($A48,CFR20242025_BenchMarkDataReport!$B:$B,CFR20242025_BenchMarkDataReport!BX:BX),0)</f>
        <v>0</v>
      </c>
      <c r="AZ48" s="289">
        <f>IFERROR(_xlfn.XLOOKUP($A48,CFR20242025_BenchMarkDataReport!$B:$B,CFR20242025_BenchMarkDataReport!BY:BY),0)</f>
        <v>0</v>
      </c>
      <c r="BA48" s="289">
        <f>IFERROR(_xlfn.XLOOKUP($A48,CFR20242025_BenchMarkDataReport!$B:$B,CFR20242025_BenchMarkDataReport!BZ:BZ),0)</f>
        <v>0</v>
      </c>
      <c r="BB48" s="289">
        <f>IFERROR(_xlfn.XLOOKUP($A48,CFR20242025_BenchMarkDataReport!$B:$B,CFR20242025_BenchMarkDataReport!CA:CA),0)</f>
        <v>0</v>
      </c>
      <c r="BC48" s="290">
        <f t="shared" si="106"/>
        <v>2795886.1599999997</v>
      </c>
      <c r="BD48" s="291">
        <f t="shared" si="104"/>
        <v>2804615.3600000003</v>
      </c>
      <c r="BE48" s="327">
        <f t="shared" si="105"/>
        <v>-8729.2000000006519</v>
      </c>
      <c r="BF48" s="289">
        <f>IFERROR(_xlfn.XLOOKUP(A48,CFR20242025_BenchMarkDataReport!B:B,CFR20242025_BenchMarkDataReport!Q:Q),0)</f>
        <v>279690.2</v>
      </c>
      <c r="BG48" s="290">
        <f t="shared" si="0"/>
        <v>270960.99999999936</v>
      </c>
      <c r="BH48" s="292">
        <f>_xlfn.XLOOKUP(A48,'Pupil on roll 24-25'!E:E,'Pupil on roll 24-25'!I:I)</f>
        <v>419</v>
      </c>
      <c r="BI48" s="291">
        <f t="shared" si="1"/>
        <v>2281422.25</v>
      </c>
      <c r="BJ48" t="s">
        <v>190</v>
      </c>
      <c r="BK48" s="293">
        <f t="shared" si="107"/>
        <v>0.76930360426405919</v>
      </c>
      <c r="BL48" s="294">
        <f t="shared" si="108"/>
        <v>5133.377804295942</v>
      </c>
      <c r="BM48" s="295">
        <f t="shared" si="109"/>
        <v>0</v>
      </c>
      <c r="BN48" s="296">
        <f t="shared" si="110"/>
        <v>0</v>
      </c>
      <c r="BO48" s="293">
        <f t="shared" si="111"/>
        <v>4.6688936004461647E-2</v>
      </c>
      <c r="BP48" s="294">
        <f t="shared" si="112"/>
        <v>311.54403341288781</v>
      </c>
      <c r="BQ48" s="295">
        <f t="shared" si="113"/>
        <v>0</v>
      </c>
      <c r="BR48" s="296">
        <f t="shared" si="114"/>
        <v>0</v>
      </c>
      <c r="BS48" s="293">
        <f t="shared" si="115"/>
        <v>1.2425398607788811E-2</v>
      </c>
      <c r="BT48" s="294">
        <f t="shared" si="116"/>
        <v>82.911694510739864</v>
      </c>
      <c r="BU48" s="295">
        <f t="shared" si="117"/>
        <v>0</v>
      </c>
      <c r="BV48" s="296">
        <f t="shared" si="118"/>
        <v>0</v>
      </c>
      <c r="BW48" s="293">
        <f t="shared" si="119"/>
        <v>4.2610193399290626E-2</v>
      </c>
      <c r="BX48" s="294">
        <f t="shared" si="120"/>
        <v>284.32756563245823</v>
      </c>
      <c r="BY48" s="295">
        <f t="shared" si="121"/>
        <v>6.7840262137139382E-2</v>
      </c>
      <c r="BZ48" s="297">
        <f t="shared" si="122"/>
        <v>452.68174224343676</v>
      </c>
      <c r="CA48" s="298">
        <f t="shared" si="123"/>
        <v>2.2245222602339434E-2</v>
      </c>
      <c r="CB48" s="299">
        <f t="shared" si="124"/>
        <v>148.43701670644393</v>
      </c>
      <c r="CC48" s="295">
        <f t="shared" si="125"/>
        <v>4.5848039821478285E-3</v>
      </c>
      <c r="CD48" s="296">
        <f t="shared" si="126"/>
        <v>30.593293556085918</v>
      </c>
      <c r="CE48" s="300">
        <f t="shared" si="127"/>
        <v>0.57398118651643726</v>
      </c>
      <c r="CF48" s="298">
        <f t="shared" si="128"/>
        <v>0.46836436645188734</v>
      </c>
      <c r="CG48" s="298">
        <f t="shared" si="129"/>
        <v>0.46690660996736461</v>
      </c>
      <c r="CH48" s="299">
        <f t="shared" si="130"/>
        <v>3125.2826968973745</v>
      </c>
      <c r="CI48" s="295">
        <f t="shared" si="131"/>
        <v>0.2636696385335946</v>
      </c>
      <c r="CJ48" s="301">
        <f t="shared" si="132"/>
        <v>0.21515245813871051</v>
      </c>
      <c r="CK48" s="301">
        <f t="shared" si="133"/>
        <v>0.21448280879414422</v>
      </c>
      <c r="CL48" s="302">
        <f t="shared" si="134"/>
        <v>1435.6605727923629</v>
      </c>
      <c r="CM48" s="300">
        <f t="shared" si="135"/>
        <v>1.7622559786992523E-2</v>
      </c>
      <c r="CN48" s="298">
        <f t="shared" si="136"/>
        <v>1.4379877326621913E-2</v>
      </c>
      <c r="CO48" s="298">
        <f t="shared" si="137"/>
        <v>1.4335120806013126E-2</v>
      </c>
      <c r="CP48" s="299">
        <f t="shared" si="138"/>
        <v>95.953460620525064</v>
      </c>
      <c r="CQ48" s="295">
        <f t="shared" si="139"/>
        <v>3.8803974143760543E-2</v>
      </c>
      <c r="CR48" s="301">
        <f t="shared" si="140"/>
        <v>3.166375343408117E-2</v>
      </c>
      <c r="CS48" s="301">
        <f t="shared" si="141"/>
        <v>3.1565201867824036E-2</v>
      </c>
      <c r="CT48" s="296">
        <f t="shared" si="142"/>
        <v>211.28460620525058</v>
      </c>
      <c r="CU48" s="300">
        <f t="shared" si="143"/>
        <v>0.95976894676117053</v>
      </c>
      <c r="CV48" s="298">
        <f t="shared" si="144"/>
        <v>0.78316430093849032</v>
      </c>
      <c r="CW48" s="298">
        <f t="shared" si="145"/>
        <v>0.78072674821263177</v>
      </c>
      <c r="CX48" s="299">
        <f t="shared" si="146"/>
        <v>5225.8668973747017</v>
      </c>
      <c r="CY48" s="295">
        <f t="shared" si="147"/>
        <v>4.7931153472356991E-3</v>
      </c>
      <c r="CZ48" s="301">
        <f t="shared" si="148"/>
        <v>3.8989731554490235E-3</v>
      </c>
      <c r="DA48" s="296">
        <f t="shared" si="149"/>
        <v>26.098138424821006</v>
      </c>
      <c r="DB48" s="300">
        <f t="shared" si="150"/>
        <v>1.9353313389826115E-3</v>
      </c>
      <c r="DC48" s="299">
        <f t="shared" si="151"/>
        <v>12.954319809069212</v>
      </c>
      <c r="DD48" s="295">
        <f t="shared" si="152"/>
        <v>1.5718729840563269E-2</v>
      </c>
      <c r="DE48" s="301">
        <f t="shared" si="153"/>
        <v>1.2786444983314929E-2</v>
      </c>
      <c r="DF48" s="296">
        <f t="shared" si="154"/>
        <v>85.5872553699284</v>
      </c>
      <c r="DG48" s="300">
        <f t="shared" si="155"/>
        <v>5.5100146410862784E-3</v>
      </c>
      <c r="DH48" s="298">
        <f t="shared" si="156"/>
        <v>4.4821369016534223E-3</v>
      </c>
      <c r="DI48" s="303">
        <f t="shared" si="157"/>
        <v>30.001599045346062</v>
      </c>
      <c r="DJ48" s="295">
        <f t="shared" si="158"/>
        <v>4.3298100559859096E-2</v>
      </c>
      <c r="DK48" s="301">
        <f t="shared" si="159"/>
        <v>3.533092706464129E-2</v>
      </c>
      <c r="DL48" s="301">
        <f t="shared" si="160"/>
        <v>3.5220961636607449E-2</v>
      </c>
      <c r="DM48" s="296">
        <f t="shared" si="161"/>
        <v>235.75477326968974</v>
      </c>
      <c r="DN48" s="300">
        <f t="shared" si="162"/>
        <v>5.4763470462339883E-3</v>
      </c>
      <c r="DO48" s="298">
        <f t="shared" si="163"/>
        <v>4.4547499019616009E-3</v>
      </c>
      <c r="DP48" s="299">
        <f t="shared" si="164"/>
        <v>29.818281622911694</v>
      </c>
      <c r="DQ48" s="295">
        <f t="shared" si="165"/>
        <v>4.0766179956384659E-2</v>
      </c>
      <c r="DR48" s="301">
        <f t="shared" si="166"/>
        <v>3.3161363703007027E-2</v>
      </c>
      <c r="DS48" s="296">
        <f t="shared" si="167"/>
        <v>221.96866348448685</v>
      </c>
      <c r="DT48" s="300">
        <f t="shared" si="168"/>
        <v>4.9991792813970745E-2</v>
      </c>
      <c r="DU48" s="299">
        <f t="shared" si="169"/>
        <v>334.62470167064441</v>
      </c>
      <c r="DV48" s="295">
        <f t="shared" si="25"/>
        <v>1.7112706677895394E-2</v>
      </c>
      <c r="DW48" s="296">
        <f t="shared" si="97"/>
        <v>114.5454892601432</v>
      </c>
      <c r="DX48" s="295">
        <f t="shared" si="170"/>
        <v>8.7664613597943119E-6</v>
      </c>
      <c r="DY48" s="301">
        <f t="shared" si="171"/>
        <v>7.1533670741443926E-6</v>
      </c>
      <c r="DZ48" s="301">
        <f t="shared" si="172"/>
        <v>7.1311026407556996E-6</v>
      </c>
      <c r="EA48" s="296">
        <f t="shared" si="173"/>
        <v>4.77326968973747E-2</v>
      </c>
      <c r="EB48" s="304">
        <f>IFERROR(_xlfn.XLOOKUP(A48,'Pupil on roll 24-25'!E:E,'Pupil on roll 24-25'!R:R),0)</f>
        <v>20</v>
      </c>
      <c r="EC48" s="289">
        <f>IFERROR(_xlfn.XLOOKUP(A48,CFR20242025_BenchMarkDataReport!B:B,CFR20242025_BenchMarkDataReport!AK:AK),0)</f>
        <v>2185.63</v>
      </c>
      <c r="ED48" s="289">
        <f>IFERROR(_xlfn.XLOOKUP(A48,CFR20242025_BenchMarkDataReport!B:B,CFR20242025_BenchMarkDataReport!AL:AL),0)</f>
        <v>92196</v>
      </c>
    </row>
    <row r="49" spans="1:134">
      <c r="A49" s="208">
        <v>2044</v>
      </c>
      <c r="B49" s="326">
        <v>10081</v>
      </c>
      <c r="C49" s="208" t="s">
        <v>80</v>
      </c>
      <c r="D49" s="289">
        <f>IFERROR(_xlfn.XLOOKUP($A49,CFR20242025_BenchMarkDataReport!$B:$B,CFR20242025_BenchMarkDataReport!T:T),0)</f>
        <v>1861491.84</v>
      </c>
      <c r="E49" s="289">
        <f>IFERROR(_xlfn.XLOOKUP($A49,CFR20242025_BenchMarkDataReport!$B:$B,CFR20242025_BenchMarkDataReport!U:U),0)</f>
        <v>0</v>
      </c>
      <c r="F49" s="289">
        <f>IFERROR(_xlfn.XLOOKUP($A49,CFR20242025_BenchMarkDataReport!$B:$B,CFR20242025_BenchMarkDataReport!V:V),0)</f>
        <v>129768.76</v>
      </c>
      <c r="G49" s="289">
        <f>IFERROR(_xlfn.XLOOKUP($A49,CFR20242025_BenchMarkDataReport!$B:$B,CFR20242025_BenchMarkDataReport!W:W),0)</f>
        <v>0</v>
      </c>
      <c r="H49" s="289">
        <f>IFERROR(_xlfn.XLOOKUP($A49,CFR20242025_BenchMarkDataReport!$B:$B,CFR20242025_BenchMarkDataReport!X:X),0)</f>
        <v>76333.5</v>
      </c>
      <c r="I49" s="289">
        <f>IFERROR(_xlfn.XLOOKUP($A49,CFR20242025_BenchMarkDataReport!$B:$B,CFR20242025_BenchMarkDataReport!Y:Y),0)</f>
        <v>2202.2600000000002</v>
      </c>
      <c r="J49" s="289">
        <f>IFERROR(_xlfn.XLOOKUP($A49,CFR20242025_BenchMarkDataReport!$B:$B,CFR20242025_BenchMarkDataReport!Z:Z),0)</f>
        <v>0</v>
      </c>
      <c r="K49" s="289">
        <f>IFERROR(_xlfn.XLOOKUP($A49,CFR20242025_BenchMarkDataReport!$B:$B,CFR20242025_BenchMarkDataReport!AA:AA),0)</f>
        <v>40382.080000000002</v>
      </c>
      <c r="L49" s="289">
        <f>IFERROR(_xlfn.XLOOKUP($A49,CFR20242025_BenchMarkDataReport!$B:$B,CFR20242025_BenchMarkDataReport!AB:AB),0)</f>
        <v>27116.78</v>
      </c>
      <c r="M49" s="289">
        <f>IFERROR(_xlfn.XLOOKUP($A49,CFR20242025_BenchMarkDataReport!$B:$B,CFR20242025_BenchMarkDataReport!AC:AC),0)</f>
        <v>0</v>
      </c>
      <c r="N49" s="289">
        <f>IFERROR(_xlfn.XLOOKUP($A49,CFR20242025_BenchMarkDataReport!$B:$B,CFR20242025_BenchMarkDataReport!AD:AD),0)</f>
        <v>0</v>
      </c>
      <c r="O49" s="289">
        <f>IFERROR(_xlfn.XLOOKUP($A49,CFR20242025_BenchMarkDataReport!$B:$B,CFR20242025_BenchMarkDataReport!AE:AE),0)</f>
        <v>0</v>
      </c>
      <c r="P49" s="289">
        <f>IFERROR(_xlfn.XLOOKUP($A49,CFR20242025_BenchMarkDataReport!$B:$B,CFR20242025_BenchMarkDataReport!AF:AF),0)</f>
        <v>1098.6400000000001</v>
      </c>
      <c r="Q49" s="289">
        <f>IFERROR(_xlfn.XLOOKUP($A49,CFR20242025_BenchMarkDataReport!$B:$B,CFR20242025_BenchMarkDataReport!AG:AG),0)</f>
        <v>4947.8100000000004</v>
      </c>
      <c r="R49" s="289">
        <f>IFERROR(_xlfn.XLOOKUP($A49,CFR20242025_BenchMarkDataReport!$B:$B,CFR20242025_BenchMarkDataReport!AH:AH),0)</f>
        <v>0</v>
      </c>
      <c r="S49" s="289">
        <f>IFERROR(_xlfn.XLOOKUP($A49,CFR20242025_BenchMarkDataReport!$B:$B,CFR20242025_BenchMarkDataReport!AI:AI),0)</f>
        <v>0</v>
      </c>
      <c r="T49" s="289">
        <f>IFERROR(_xlfn.XLOOKUP($A49,CFR20242025_BenchMarkDataReport!$B:$B,CFR20242025_BenchMarkDataReport!AJ:AJ),0)</f>
        <v>0</v>
      </c>
      <c r="U49" s="289">
        <f>INDEX(CFR20242025_BenchMarkDataReport!$B$3:$AM$87,MATCH(A49,CFR20242025_BenchMarkDataReport!$B$3:$B$87),MATCH($U$2,CFR20242025_BenchMarkDataReport!$B$3:$AM$3,0))</f>
        <v>139699</v>
      </c>
      <c r="V49" s="289">
        <f>IFERROR(_xlfn.XLOOKUP($A49,CFR20242025_BenchMarkDataReport!$B:$B,CFR20242025_BenchMarkDataReport!AN:AN),0)</f>
        <v>943012.11</v>
      </c>
      <c r="W49" s="289">
        <f>IFERROR(_xlfn.XLOOKUP($A49,CFR20242025_BenchMarkDataReport!$B:$B,CFR20242025_BenchMarkDataReport!AO:AO),0)</f>
        <v>0</v>
      </c>
      <c r="X49" s="289">
        <f>IFERROR(_xlfn.XLOOKUP($A49,CFR20242025_BenchMarkDataReport!$B:$B,CFR20242025_BenchMarkDataReport!AP:AP),0)</f>
        <v>481513.89</v>
      </c>
      <c r="Y49" s="289">
        <f>IFERROR(_xlfn.XLOOKUP($A49,CFR20242025_BenchMarkDataReport!$B:$B,CFR20242025_BenchMarkDataReport!AQ:AQ),0)</f>
        <v>36473.550000000003</v>
      </c>
      <c r="Z49" s="289">
        <f>IFERROR(_xlfn.XLOOKUP($A49,CFR20242025_BenchMarkDataReport!$B:$B,CFR20242025_BenchMarkDataReport!AR:AR),0)</f>
        <v>117929.53</v>
      </c>
      <c r="AA49" s="289">
        <f>IFERROR(_xlfn.XLOOKUP($A49,CFR20242025_BenchMarkDataReport!$B:$B,CFR20242025_BenchMarkDataReport!AS:AS),0)</f>
        <v>0</v>
      </c>
      <c r="AB49" s="289">
        <f>IFERROR(_xlfn.XLOOKUP($A49,CFR20242025_BenchMarkDataReport!$B:$B,CFR20242025_BenchMarkDataReport!AT:AT),0)</f>
        <v>60455.29</v>
      </c>
      <c r="AC49" s="289">
        <f>IFERROR(_xlfn.XLOOKUP($A49,CFR20242025_BenchMarkDataReport!$B:$B,CFR20242025_BenchMarkDataReport!AU:AU),0)</f>
        <v>7657.09</v>
      </c>
      <c r="AD49" s="289">
        <f>IFERROR(_xlfn.XLOOKUP($A49,CFR20242025_BenchMarkDataReport!$B:$B,CFR20242025_BenchMarkDataReport!AV:AV),0)</f>
        <v>10921.5</v>
      </c>
      <c r="AE49" s="289">
        <f>IFERROR(_xlfn.XLOOKUP($A49,CFR20242025_BenchMarkDataReport!$B:$B,CFR20242025_BenchMarkDataReport!AW:AW),0)</f>
        <v>522.9</v>
      </c>
      <c r="AF49" s="289">
        <f>IFERROR(_xlfn.XLOOKUP($A49,CFR20242025_BenchMarkDataReport!$B:$B,CFR20242025_BenchMarkDataReport!AX:AX),0)</f>
        <v>0</v>
      </c>
      <c r="AG49" s="289">
        <f>IFERROR(_xlfn.XLOOKUP($A49,CFR20242025_BenchMarkDataReport!$B:$B,CFR20242025_BenchMarkDataReport!AY:AY),0)</f>
        <v>32324.45</v>
      </c>
      <c r="AH49" s="289">
        <f>IFERROR(_xlfn.XLOOKUP($A49,CFR20242025_BenchMarkDataReport!$B:$B,CFR20242025_BenchMarkDataReport!AZ:AZ),0)</f>
        <v>4620.2</v>
      </c>
      <c r="AI49" s="289">
        <f>IFERROR(_xlfn.XLOOKUP($A49,CFR20242025_BenchMarkDataReport!$B:$B,CFR20242025_BenchMarkDataReport!BA:BA),0)</f>
        <v>91653.63</v>
      </c>
      <c r="AJ49" s="289">
        <f>IFERROR(_xlfn.XLOOKUP($A49,CFR20242025_BenchMarkDataReport!$B:$B,CFR20242025_BenchMarkDataReport!BB:BB),0)</f>
        <v>9865.7099999999991</v>
      </c>
      <c r="AK49" s="289">
        <f>IFERROR(_xlfn.XLOOKUP($A49,CFR20242025_BenchMarkDataReport!$B:$B,CFR20242025_BenchMarkDataReport!BC:BC),0)</f>
        <v>84086.78</v>
      </c>
      <c r="AL49" s="289">
        <f>IFERROR(_xlfn.XLOOKUP($A49,CFR20242025_BenchMarkDataReport!$B:$B,CFR20242025_BenchMarkDataReport!BD:BD),0)</f>
        <v>19200</v>
      </c>
      <c r="AM49" s="289">
        <f>IFERROR(_xlfn.XLOOKUP($A49,CFR20242025_BenchMarkDataReport!$B:$B,CFR20242025_BenchMarkDataReport!BE:BE),0)</f>
        <v>12219.26</v>
      </c>
      <c r="AN49" s="289">
        <f>IFERROR(_xlfn.XLOOKUP($A49,CFR20242025_BenchMarkDataReport!$B:$B,CFR20242025_BenchMarkDataReport!BF:BF),0)</f>
        <v>42932.72</v>
      </c>
      <c r="AO49" s="289">
        <f>IFERROR(_xlfn.XLOOKUP($A49,CFR20242025_BenchMarkDataReport!$B:$B,CFR20242025_BenchMarkDataReport!BN:BN),0)</f>
        <v>5204.3900000000003</v>
      </c>
      <c r="AP49" s="289">
        <f>IFERROR(_xlfn.XLOOKUP($A49,CFR20242025_BenchMarkDataReport!$B:$B,CFR20242025_BenchMarkDataReport!BO:BO),0)</f>
        <v>0</v>
      </c>
      <c r="AQ49" s="289">
        <f>IFERROR(_xlfn.XLOOKUP($A49,CFR20242025_BenchMarkDataReport!$B:$B,CFR20242025_BenchMarkDataReport!BP:BP),0)</f>
        <v>24343.49</v>
      </c>
      <c r="AR49" s="289">
        <f>IFERROR(_xlfn.XLOOKUP($A49,CFR20242025_BenchMarkDataReport!$B:$B,CFR20242025_BenchMarkDataReport!BQ:BQ),0)</f>
        <v>20279.349999999999</v>
      </c>
      <c r="AS49" s="289">
        <f>IFERROR(_xlfn.XLOOKUP($A49,CFR20242025_BenchMarkDataReport!$B:$B,CFR20242025_BenchMarkDataReport!BR:BR),0)</f>
        <v>14</v>
      </c>
      <c r="AT49" s="289">
        <f>IFERROR(_xlfn.XLOOKUP($A49,CFR20242025_BenchMarkDataReport!$B:$B,CFR20242025_BenchMarkDataReport!BS:BS),0)</f>
        <v>164903.76</v>
      </c>
      <c r="AU49" s="289">
        <f>IFERROR(_xlfn.XLOOKUP($A49,CFR20242025_BenchMarkDataReport!$B:$B,CFR20242025_BenchMarkDataReport!BT:BT),0)</f>
        <v>54581.63</v>
      </c>
      <c r="AV49" s="289">
        <f>IFERROR(_xlfn.XLOOKUP($A49,CFR20242025_BenchMarkDataReport!$B:$B,CFR20242025_BenchMarkDataReport!BU:BU),0)</f>
        <v>228147.88</v>
      </c>
      <c r="AW49" s="289">
        <f>IFERROR(_xlfn.XLOOKUP($A49,CFR20242025_BenchMarkDataReport!$B:$B,CFR20242025_BenchMarkDataReport!BV:BV),0)</f>
        <v>25709.38</v>
      </c>
      <c r="AX49" s="289">
        <f>IFERROR(_xlfn.XLOOKUP($A49,CFR20242025_BenchMarkDataReport!$B:$B,CFR20242025_BenchMarkDataReport!BW:BW),0)</f>
        <v>0</v>
      </c>
      <c r="AY49" s="289">
        <f>IFERROR(_xlfn.XLOOKUP($A49,CFR20242025_BenchMarkDataReport!$B:$B,CFR20242025_BenchMarkDataReport!BX:BX),0)</f>
        <v>0</v>
      </c>
      <c r="AZ49" s="289">
        <f>IFERROR(_xlfn.XLOOKUP($A49,CFR20242025_BenchMarkDataReport!$B:$B,CFR20242025_BenchMarkDataReport!BY:BY),0)</f>
        <v>0</v>
      </c>
      <c r="BA49" s="289">
        <f>IFERROR(_xlfn.XLOOKUP($A49,CFR20242025_BenchMarkDataReport!$B:$B,CFR20242025_BenchMarkDataReport!BZ:BZ),0)</f>
        <v>0</v>
      </c>
      <c r="BB49" s="289">
        <f>IFERROR(_xlfn.XLOOKUP($A49,CFR20242025_BenchMarkDataReport!$B:$B,CFR20242025_BenchMarkDataReport!CA:CA),0)</f>
        <v>0</v>
      </c>
      <c r="BC49" s="290">
        <f t="shared" si="106"/>
        <v>2283040.67</v>
      </c>
      <c r="BD49" s="291">
        <f t="shared" si="104"/>
        <v>2478572.4899999998</v>
      </c>
      <c r="BE49" s="327">
        <f t="shared" si="105"/>
        <v>-195531.81999999983</v>
      </c>
      <c r="BF49" s="289">
        <f>IFERROR(_xlfn.XLOOKUP(A49,CFR20242025_BenchMarkDataReport!B:B,CFR20242025_BenchMarkDataReport!Q:Q),0)</f>
        <v>116600.92</v>
      </c>
      <c r="BG49" s="290">
        <f t="shared" si="0"/>
        <v>-78930.899999999834</v>
      </c>
      <c r="BH49" s="292">
        <f>_xlfn.XLOOKUP(A49,'Pupil on roll 24-25'!E:E,'Pupil on roll 24-25'!I:I)</f>
        <v>315</v>
      </c>
      <c r="BI49" s="291">
        <f t="shared" si="1"/>
        <v>1991260.6</v>
      </c>
      <c r="BJ49" t="s">
        <v>190</v>
      </c>
      <c r="BK49" s="293">
        <f t="shared" si="107"/>
        <v>0.81535640799600828</v>
      </c>
      <c r="BL49" s="294">
        <f t="shared" si="108"/>
        <v>5909.4979047619054</v>
      </c>
      <c r="BM49" s="295">
        <f t="shared" si="109"/>
        <v>0</v>
      </c>
      <c r="BN49" s="296">
        <f t="shared" si="110"/>
        <v>0</v>
      </c>
      <c r="BO49" s="293">
        <f t="shared" si="111"/>
        <v>5.684031901192544E-2</v>
      </c>
      <c r="BP49" s="294">
        <f t="shared" si="112"/>
        <v>411.96431746031743</v>
      </c>
      <c r="BQ49" s="295">
        <f t="shared" si="113"/>
        <v>0</v>
      </c>
      <c r="BR49" s="296">
        <f t="shared" si="114"/>
        <v>0</v>
      </c>
      <c r="BS49" s="293">
        <f t="shared" si="115"/>
        <v>3.3435015417399468E-2</v>
      </c>
      <c r="BT49" s="294">
        <f t="shared" si="116"/>
        <v>242.32857142857142</v>
      </c>
      <c r="BU49" s="295">
        <f t="shared" si="117"/>
        <v>9.6461706921760633E-4</v>
      </c>
      <c r="BV49" s="296">
        <f t="shared" si="118"/>
        <v>6.9913015873015878</v>
      </c>
      <c r="BW49" s="293">
        <f t="shared" si="119"/>
        <v>0</v>
      </c>
      <c r="BX49" s="294">
        <f t="shared" si="120"/>
        <v>0</v>
      </c>
      <c r="BY49" s="295">
        <f t="shared" si="121"/>
        <v>2.9565334024470095E-2</v>
      </c>
      <c r="BZ49" s="297">
        <f t="shared" si="122"/>
        <v>214.28209523809525</v>
      </c>
      <c r="CA49" s="298">
        <f t="shared" si="123"/>
        <v>4.8121788386713241E-4</v>
      </c>
      <c r="CB49" s="299">
        <f t="shared" si="124"/>
        <v>3.487746031746032</v>
      </c>
      <c r="CC49" s="295">
        <f t="shared" si="125"/>
        <v>2.167201865922082E-3</v>
      </c>
      <c r="CD49" s="296">
        <f t="shared" si="126"/>
        <v>15.707333333333334</v>
      </c>
      <c r="CE49" s="300">
        <f t="shared" si="127"/>
        <v>0.50098602864938924</v>
      </c>
      <c r="CF49" s="298">
        <f t="shared" si="128"/>
        <v>0.43695837446470021</v>
      </c>
      <c r="CG49" s="298">
        <f t="shared" si="129"/>
        <v>0.40248721553429334</v>
      </c>
      <c r="CH49" s="299">
        <f t="shared" si="130"/>
        <v>3166.9642539682541</v>
      </c>
      <c r="CI49" s="295">
        <f t="shared" si="131"/>
        <v>0.24181359787865034</v>
      </c>
      <c r="CJ49" s="301">
        <f t="shared" si="132"/>
        <v>0.21090902861577146</v>
      </c>
      <c r="CK49" s="301">
        <f t="shared" si="133"/>
        <v>0.19427065052271281</v>
      </c>
      <c r="CL49" s="302">
        <f t="shared" si="134"/>
        <v>1528.6155238095239</v>
      </c>
      <c r="CM49" s="300">
        <f t="shared" si="135"/>
        <v>1.8316813982057398E-2</v>
      </c>
      <c r="CN49" s="298">
        <f t="shared" si="136"/>
        <v>1.5975865204363619E-2</v>
      </c>
      <c r="CO49" s="298">
        <f t="shared" si="137"/>
        <v>1.4715547012304655E-2</v>
      </c>
      <c r="CP49" s="299">
        <f t="shared" si="138"/>
        <v>115.78904761904762</v>
      </c>
      <c r="CQ49" s="295">
        <f t="shared" si="139"/>
        <v>5.9223554164633194E-2</v>
      </c>
      <c r="CR49" s="301">
        <f t="shared" si="140"/>
        <v>5.1654590104170159E-2</v>
      </c>
      <c r="CS49" s="301">
        <f t="shared" si="141"/>
        <v>4.7579617088383E-2</v>
      </c>
      <c r="CT49" s="296">
        <f t="shared" si="142"/>
        <v>374.37946031746031</v>
      </c>
      <c r="CU49" s="300">
        <f t="shared" si="143"/>
        <v>0.82328971406354345</v>
      </c>
      <c r="CV49" s="298">
        <f t="shared" si="144"/>
        <v>0.71807059398552031</v>
      </c>
      <c r="CW49" s="298">
        <f t="shared" si="145"/>
        <v>0.66142280551173238</v>
      </c>
      <c r="CX49" s="299">
        <f t="shared" si="146"/>
        <v>5204.3948253968256</v>
      </c>
      <c r="CY49" s="295">
        <f t="shared" si="147"/>
        <v>1.6233159035035395E-2</v>
      </c>
      <c r="CZ49" s="301">
        <f t="shared" si="148"/>
        <v>1.3041559256554165E-2</v>
      </c>
      <c r="DA49" s="296">
        <f t="shared" si="149"/>
        <v>102.61730158730158</v>
      </c>
      <c r="DB49" s="300">
        <f t="shared" si="150"/>
        <v>3.9804000245318629E-3</v>
      </c>
      <c r="DC49" s="299">
        <f t="shared" si="151"/>
        <v>31.319714285714284</v>
      </c>
      <c r="DD49" s="295">
        <f t="shared" si="152"/>
        <v>4.2227913312802949E-2</v>
      </c>
      <c r="DE49" s="301">
        <f t="shared" si="153"/>
        <v>3.3925487488969917E-2</v>
      </c>
      <c r="DF49" s="296">
        <f t="shared" si="154"/>
        <v>266.94215873015872</v>
      </c>
      <c r="DG49" s="300">
        <f t="shared" si="155"/>
        <v>6.1364444211872617E-3</v>
      </c>
      <c r="DH49" s="298">
        <f t="shared" si="156"/>
        <v>4.9299586957006862E-3</v>
      </c>
      <c r="DI49" s="303">
        <f t="shared" si="157"/>
        <v>38.791301587301589</v>
      </c>
      <c r="DJ49" s="295">
        <f t="shared" si="158"/>
        <v>2.1560573236873163E-2</v>
      </c>
      <c r="DK49" s="301">
        <f t="shared" si="159"/>
        <v>1.8805061409615624E-2</v>
      </c>
      <c r="DL49" s="301">
        <f t="shared" si="160"/>
        <v>1.7321551083623949E-2</v>
      </c>
      <c r="DM49" s="296">
        <f t="shared" si="161"/>
        <v>136.29434920634921</v>
      </c>
      <c r="DN49" s="300">
        <f t="shared" si="162"/>
        <v>1.2225165304832527E-2</v>
      </c>
      <c r="DO49" s="298">
        <f t="shared" si="163"/>
        <v>9.8215767738146741E-3</v>
      </c>
      <c r="DP49" s="299">
        <f t="shared" si="164"/>
        <v>77.280920634920633</v>
      </c>
      <c r="DQ49" s="295">
        <f t="shared" si="165"/>
        <v>0.11457459661482781</v>
      </c>
      <c r="DR49" s="301">
        <f t="shared" si="166"/>
        <v>9.2048096604186877E-2</v>
      </c>
      <c r="DS49" s="296">
        <f t="shared" si="167"/>
        <v>724.27898412698414</v>
      </c>
      <c r="DT49" s="300">
        <f t="shared" si="168"/>
        <v>6.6531747877182329E-2</v>
      </c>
      <c r="DU49" s="299">
        <f t="shared" si="169"/>
        <v>523.50400000000002</v>
      </c>
      <c r="DV49" s="295">
        <f t="shared" si="25"/>
        <v>3.697839396256674E-2</v>
      </c>
      <c r="DW49" s="296">
        <f t="shared" si="97"/>
        <v>290.96390476190476</v>
      </c>
      <c r="DX49" s="295">
        <f t="shared" si="170"/>
        <v>2.4105333073933164E-5</v>
      </c>
      <c r="DY49" s="301">
        <f t="shared" si="171"/>
        <v>2.10245926105206E-5</v>
      </c>
      <c r="DZ49" s="301">
        <f t="shared" si="172"/>
        <v>1.9365985942981237E-5</v>
      </c>
      <c r="EA49" s="296">
        <f t="shared" si="173"/>
        <v>0.15238095238095239</v>
      </c>
      <c r="EB49" s="304">
        <f>IFERROR(_xlfn.XLOOKUP(A49,'Pupil on roll 24-25'!E:E,'Pupil on roll 24-25'!R:R),0)</f>
        <v>48</v>
      </c>
      <c r="EC49" s="289">
        <f>IFERROR(_xlfn.XLOOKUP(A49,CFR20242025_BenchMarkDataReport!B:B,CFR20242025_BenchMarkDataReport!AK:AK),0)</f>
        <v>4545</v>
      </c>
      <c r="ED49" s="289">
        <f>IFERROR(_xlfn.XLOOKUP(A49,CFR20242025_BenchMarkDataReport!B:B,CFR20242025_BenchMarkDataReport!AL:AL),0)</f>
        <v>135154</v>
      </c>
    </row>
    <row r="50" spans="1:134">
      <c r="A50" s="208">
        <v>2043</v>
      </c>
      <c r="B50" s="326">
        <v>10080</v>
      </c>
      <c r="C50" s="208" t="s">
        <v>81</v>
      </c>
      <c r="D50" s="289">
        <f>IFERROR(_xlfn.XLOOKUP($A50,CFR20242025_BenchMarkDataReport!$B:$B,CFR20242025_BenchMarkDataReport!T:T),0)</f>
        <v>2605779.79</v>
      </c>
      <c r="E50" s="289">
        <f>IFERROR(_xlfn.XLOOKUP($A50,CFR20242025_BenchMarkDataReport!$B:$B,CFR20242025_BenchMarkDataReport!U:U),0)</f>
        <v>0</v>
      </c>
      <c r="F50" s="289">
        <f>IFERROR(_xlfn.XLOOKUP($A50,CFR20242025_BenchMarkDataReport!$B:$B,CFR20242025_BenchMarkDataReport!V:V),0)</f>
        <v>140615.89000000001</v>
      </c>
      <c r="G50" s="289">
        <f>IFERROR(_xlfn.XLOOKUP($A50,CFR20242025_BenchMarkDataReport!$B:$B,CFR20242025_BenchMarkDataReport!W:W),0)</f>
        <v>0</v>
      </c>
      <c r="H50" s="289">
        <f>IFERROR(_xlfn.XLOOKUP($A50,CFR20242025_BenchMarkDataReport!$B:$B,CFR20242025_BenchMarkDataReport!X:X),0)</f>
        <v>125800</v>
      </c>
      <c r="I50" s="289">
        <f>IFERROR(_xlfn.XLOOKUP($A50,CFR20242025_BenchMarkDataReport!$B:$B,CFR20242025_BenchMarkDataReport!Y:Y),0)</f>
        <v>0</v>
      </c>
      <c r="J50" s="289">
        <f>IFERROR(_xlfn.XLOOKUP($A50,CFR20242025_BenchMarkDataReport!$B:$B,CFR20242025_BenchMarkDataReport!Z:Z),0)</f>
        <v>6549</v>
      </c>
      <c r="K50" s="289">
        <f>IFERROR(_xlfn.XLOOKUP($A50,CFR20242025_BenchMarkDataReport!$B:$B,CFR20242025_BenchMarkDataReport!AA:AA),0)</f>
        <v>83705.39</v>
      </c>
      <c r="L50" s="289">
        <f>IFERROR(_xlfn.XLOOKUP($A50,CFR20242025_BenchMarkDataReport!$B:$B,CFR20242025_BenchMarkDataReport!AB:AB),0)</f>
        <v>38303.54</v>
      </c>
      <c r="M50" s="289">
        <f>IFERROR(_xlfn.XLOOKUP($A50,CFR20242025_BenchMarkDataReport!$B:$B,CFR20242025_BenchMarkDataReport!AC:AC),0)</f>
        <v>0</v>
      </c>
      <c r="N50" s="289">
        <f>IFERROR(_xlfn.XLOOKUP($A50,CFR20242025_BenchMarkDataReport!$B:$B,CFR20242025_BenchMarkDataReport!AD:AD),0)</f>
        <v>0</v>
      </c>
      <c r="O50" s="289">
        <f>IFERROR(_xlfn.XLOOKUP($A50,CFR20242025_BenchMarkDataReport!$B:$B,CFR20242025_BenchMarkDataReport!AE:AE),0)</f>
        <v>0</v>
      </c>
      <c r="P50" s="289">
        <f>IFERROR(_xlfn.XLOOKUP($A50,CFR20242025_BenchMarkDataReport!$B:$B,CFR20242025_BenchMarkDataReport!AF:AF),0)</f>
        <v>29545.25</v>
      </c>
      <c r="Q50" s="289">
        <f>IFERROR(_xlfn.XLOOKUP($A50,CFR20242025_BenchMarkDataReport!$B:$B,CFR20242025_BenchMarkDataReport!AG:AG),0)</f>
        <v>34299.879999999997</v>
      </c>
      <c r="R50" s="289">
        <f>IFERROR(_xlfn.XLOOKUP($A50,CFR20242025_BenchMarkDataReport!$B:$B,CFR20242025_BenchMarkDataReport!AH:AH),0)</f>
        <v>0</v>
      </c>
      <c r="S50" s="289">
        <f>IFERROR(_xlfn.XLOOKUP($A50,CFR20242025_BenchMarkDataReport!$B:$B,CFR20242025_BenchMarkDataReport!AI:AI),0)</f>
        <v>0</v>
      </c>
      <c r="T50" s="289">
        <f>IFERROR(_xlfn.XLOOKUP($A50,CFR20242025_BenchMarkDataReport!$B:$B,CFR20242025_BenchMarkDataReport!AJ:AJ),0)</f>
        <v>0</v>
      </c>
      <c r="U50" s="289">
        <f>INDEX(CFR20242025_BenchMarkDataReport!$B$3:$AM$87,MATCH(A50,CFR20242025_BenchMarkDataReport!$B$3:$B$87),MATCH($U$2,CFR20242025_BenchMarkDataReport!$B$3:$AM$3,0))</f>
        <v>29742.5</v>
      </c>
      <c r="V50" s="289">
        <f>IFERROR(_xlfn.XLOOKUP($A50,CFR20242025_BenchMarkDataReport!$B:$B,CFR20242025_BenchMarkDataReport!AN:AN),0)</f>
        <v>1343513.48</v>
      </c>
      <c r="W50" s="289">
        <f>IFERROR(_xlfn.XLOOKUP($A50,CFR20242025_BenchMarkDataReport!$B:$B,CFR20242025_BenchMarkDataReport!AO:AO),0)</f>
        <v>0</v>
      </c>
      <c r="X50" s="289">
        <f>IFERROR(_xlfn.XLOOKUP($A50,CFR20242025_BenchMarkDataReport!$B:$B,CFR20242025_BenchMarkDataReport!AP:AP),0)</f>
        <v>472515.97</v>
      </c>
      <c r="Y50" s="289">
        <f>IFERROR(_xlfn.XLOOKUP($A50,CFR20242025_BenchMarkDataReport!$B:$B,CFR20242025_BenchMarkDataReport!AQ:AQ),0)</f>
        <v>29156.57</v>
      </c>
      <c r="Z50" s="289">
        <f>IFERROR(_xlfn.XLOOKUP($A50,CFR20242025_BenchMarkDataReport!$B:$B,CFR20242025_BenchMarkDataReport!AR:AR),0)</f>
        <v>104151.47</v>
      </c>
      <c r="AA50" s="289">
        <f>IFERROR(_xlfn.XLOOKUP($A50,CFR20242025_BenchMarkDataReport!$B:$B,CFR20242025_BenchMarkDataReport!AS:AS),0)</f>
        <v>0</v>
      </c>
      <c r="AB50" s="289">
        <f>IFERROR(_xlfn.XLOOKUP($A50,CFR20242025_BenchMarkDataReport!$B:$B,CFR20242025_BenchMarkDataReport!AT:AT),0)</f>
        <v>27305.29</v>
      </c>
      <c r="AC50" s="289">
        <f>IFERROR(_xlfn.XLOOKUP($A50,CFR20242025_BenchMarkDataReport!$B:$B,CFR20242025_BenchMarkDataReport!AU:AU),0)</f>
        <v>11273.66</v>
      </c>
      <c r="AD50" s="289">
        <f>IFERROR(_xlfn.XLOOKUP($A50,CFR20242025_BenchMarkDataReport!$B:$B,CFR20242025_BenchMarkDataReport!AV:AV),0)</f>
        <v>6404.29</v>
      </c>
      <c r="AE50" s="289">
        <f>IFERROR(_xlfn.XLOOKUP($A50,CFR20242025_BenchMarkDataReport!$B:$B,CFR20242025_BenchMarkDataReport!AW:AW),0)</f>
        <v>747</v>
      </c>
      <c r="AF50" s="289">
        <f>IFERROR(_xlfn.XLOOKUP($A50,CFR20242025_BenchMarkDataReport!$B:$B,CFR20242025_BenchMarkDataReport!AX:AX),0)</f>
        <v>0</v>
      </c>
      <c r="AG50" s="289">
        <f>IFERROR(_xlfn.XLOOKUP($A50,CFR20242025_BenchMarkDataReport!$B:$B,CFR20242025_BenchMarkDataReport!AY:AY),0)</f>
        <v>52072.57</v>
      </c>
      <c r="AH50" s="289">
        <f>IFERROR(_xlfn.XLOOKUP($A50,CFR20242025_BenchMarkDataReport!$B:$B,CFR20242025_BenchMarkDataReport!AZ:AZ),0)</f>
        <v>10173.43</v>
      </c>
      <c r="AI50" s="289">
        <f>IFERROR(_xlfn.XLOOKUP($A50,CFR20242025_BenchMarkDataReport!$B:$B,CFR20242025_BenchMarkDataReport!BA:BA),0)</f>
        <v>88182.52</v>
      </c>
      <c r="AJ50" s="289">
        <f>IFERROR(_xlfn.XLOOKUP($A50,CFR20242025_BenchMarkDataReport!$B:$B,CFR20242025_BenchMarkDataReport!BB:BB),0)</f>
        <v>1562.23</v>
      </c>
      <c r="AK50" s="289">
        <f>IFERROR(_xlfn.XLOOKUP($A50,CFR20242025_BenchMarkDataReport!$B:$B,CFR20242025_BenchMarkDataReport!BC:BC),0)</f>
        <v>52565.14</v>
      </c>
      <c r="AL50" s="289">
        <f>IFERROR(_xlfn.XLOOKUP($A50,CFR20242025_BenchMarkDataReport!$B:$B,CFR20242025_BenchMarkDataReport!BD:BD),0)</f>
        <v>19200</v>
      </c>
      <c r="AM50" s="289">
        <f>IFERROR(_xlfn.XLOOKUP($A50,CFR20242025_BenchMarkDataReport!$B:$B,CFR20242025_BenchMarkDataReport!BE:BE),0)</f>
        <v>12941.13</v>
      </c>
      <c r="AN50" s="289">
        <f>IFERROR(_xlfn.XLOOKUP($A50,CFR20242025_BenchMarkDataReport!$B:$B,CFR20242025_BenchMarkDataReport!BF:BF),0)</f>
        <v>97687.7</v>
      </c>
      <c r="AO50" s="289">
        <f>IFERROR(_xlfn.XLOOKUP($A50,CFR20242025_BenchMarkDataReport!$B:$B,CFR20242025_BenchMarkDataReport!BN:BN),0)</f>
        <v>6005.28</v>
      </c>
      <c r="AP50" s="289">
        <f>IFERROR(_xlfn.XLOOKUP($A50,CFR20242025_BenchMarkDataReport!$B:$B,CFR20242025_BenchMarkDataReport!BO:BO),0)</f>
        <v>0</v>
      </c>
      <c r="AQ50" s="289">
        <f>IFERROR(_xlfn.XLOOKUP($A50,CFR20242025_BenchMarkDataReport!$B:$B,CFR20242025_BenchMarkDataReport!BP:BP),0)</f>
        <v>36567.75</v>
      </c>
      <c r="AR50" s="289">
        <f>IFERROR(_xlfn.XLOOKUP($A50,CFR20242025_BenchMarkDataReport!$B:$B,CFR20242025_BenchMarkDataReport!BQ:BQ),0)</f>
        <v>17132.5</v>
      </c>
      <c r="AS50" s="289">
        <f>IFERROR(_xlfn.XLOOKUP($A50,CFR20242025_BenchMarkDataReport!$B:$B,CFR20242025_BenchMarkDataReport!BR:BR),0)</f>
        <v>1667.54</v>
      </c>
      <c r="AT50" s="289">
        <f>IFERROR(_xlfn.XLOOKUP($A50,CFR20242025_BenchMarkDataReport!$B:$B,CFR20242025_BenchMarkDataReport!BS:BS),0)</f>
        <v>179120.03</v>
      </c>
      <c r="AU50" s="289">
        <f>IFERROR(_xlfn.XLOOKUP($A50,CFR20242025_BenchMarkDataReport!$B:$B,CFR20242025_BenchMarkDataReport!BT:BT),0)</f>
        <v>65618.81</v>
      </c>
      <c r="AV50" s="289">
        <f>IFERROR(_xlfn.XLOOKUP($A50,CFR20242025_BenchMarkDataReport!$B:$B,CFR20242025_BenchMarkDataReport!BU:BU),0)</f>
        <v>168976.99</v>
      </c>
      <c r="AW50" s="289">
        <f>IFERROR(_xlfn.XLOOKUP($A50,CFR20242025_BenchMarkDataReport!$B:$B,CFR20242025_BenchMarkDataReport!BV:BV),0)</f>
        <v>41027.29</v>
      </c>
      <c r="AX50" s="289">
        <f>IFERROR(_xlfn.XLOOKUP($A50,CFR20242025_BenchMarkDataReport!$B:$B,CFR20242025_BenchMarkDataReport!BW:BW),0)</f>
        <v>0</v>
      </c>
      <c r="AY50" s="289">
        <f>IFERROR(_xlfn.XLOOKUP($A50,CFR20242025_BenchMarkDataReport!$B:$B,CFR20242025_BenchMarkDataReport!BX:BX),0)</f>
        <v>0</v>
      </c>
      <c r="AZ50" s="289">
        <f>IFERROR(_xlfn.XLOOKUP($A50,CFR20242025_BenchMarkDataReport!$B:$B,CFR20242025_BenchMarkDataReport!BY:BY),0)</f>
        <v>0</v>
      </c>
      <c r="BA50" s="289">
        <f>IFERROR(_xlfn.XLOOKUP($A50,CFR20242025_BenchMarkDataReport!$B:$B,CFR20242025_BenchMarkDataReport!BZ:BZ),0)</f>
        <v>0</v>
      </c>
      <c r="BB50" s="289">
        <f>IFERROR(_xlfn.XLOOKUP($A50,CFR20242025_BenchMarkDataReport!$B:$B,CFR20242025_BenchMarkDataReport!CA:CA),0)</f>
        <v>0</v>
      </c>
      <c r="BC50" s="290">
        <f t="shared" si="106"/>
        <v>3094341.24</v>
      </c>
      <c r="BD50" s="291">
        <f t="shared" si="104"/>
        <v>2845568.6399999997</v>
      </c>
      <c r="BE50" s="327">
        <f t="shared" si="105"/>
        <v>248772.60000000056</v>
      </c>
      <c r="BF50" s="289">
        <f>IFERROR(_xlfn.XLOOKUP(A50,CFR20242025_BenchMarkDataReport!B:B,CFR20242025_BenchMarkDataReport!Q:Q),0)</f>
        <v>123126.92</v>
      </c>
      <c r="BG50" s="290">
        <f t="shared" si="0"/>
        <v>371899.52000000054</v>
      </c>
      <c r="BH50" s="292">
        <f>_xlfn.XLOOKUP(A50,'Pupil on roll 24-25'!E:E,'Pupil on roll 24-25'!I:I)</f>
        <v>450</v>
      </c>
      <c r="BI50" s="291">
        <f t="shared" si="1"/>
        <v>2746395.68</v>
      </c>
      <c r="BJ50" t="s">
        <v>190</v>
      </c>
      <c r="BK50" s="293">
        <f t="shared" si="107"/>
        <v>0.84211132124522892</v>
      </c>
      <c r="BL50" s="294">
        <f t="shared" si="108"/>
        <v>5790.6217555555559</v>
      </c>
      <c r="BM50" s="295">
        <f t="shared" si="109"/>
        <v>0</v>
      </c>
      <c r="BN50" s="296">
        <f t="shared" si="110"/>
        <v>0</v>
      </c>
      <c r="BO50" s="293">
        <f t="shared" si="111"/>
        <v>4.5442916308739111E-2</v>
      </c>
      <c r="BP50" s="294">
        <f t="shared" si="112"/>
        <v>312.47975555555558</v>
      </c>
      <c r="BQ50" s="295">
        <f t="shared" si="113"/>
        <v>0</v>
      </c>
      <c r="BR50" s="296">
        <f t="shared" si="114"/>
        <v>0</v>
      </c>
      <c r="BS50" s="293">
        <f t="shared" si="115"/>
        <v>4.065485679918094E-2</v>
      </c>
      <c r="BT50" s="294">
        <f t="shared" si="116"/>
        <v>279.55555555555554</v>
      </c>
      <c r="BU50" s="295">
        <f t="shared" si="117"/>
        <v>0</v>
      </c>
      <c r="BV50" s="296">
        <f t="shared" si="118"/>
        <v>0</v>
      </c>
      <c r="BW50" s="293">
        <f t="shared" si="119"/>
        <v>2.1164440157220668E-3</v>
      </c>
      <c r="BX50" s="294">
        <f t="shared" si="120"/>
        <v>14.553333333333333</v>
      </c>
      <c r="BY50" s="295">
        <f t="shared" si="121"/>
        <v>3.9429694573698659E-2</v>
      </c>
      <c r="BZ50" s="297">
        <f t="shared" si="122"/>
        <v>271.13095555555554</v>
      </c>
      <c r="CA50" s="298">
        <f t="shared" si="123"/>
        <v>9.5481550703179711E-3</v>
      </c>
      <c r="CB50" s="299">
        <f t="shared" si="124"/>
        <v>65.656111111111116</v>
      </c>
      <c r="CC50" s="295">
        <f t="shared" si="125"/>
        <v>1.1084711523283707E-2</v>
      </c>
      <c r="CD50" s="296">
        <f t="shared" si="126"/>
        <v>76.221955555555553</v>
      </c>
      <c r="CE50" s="300">
        <f t="shared" si="127"/>
        <v>0.51308422171709789</v>
      </c>
      <c r="CF50" s="298">
        <f t="shared" si="128"/>
        <v>0.45539007520708996</v>
      </c>
      <c r="CG50" s="298">
        <f t="shared" si="129"/>
        <v>0.49520235435262605</v>
      </c>
      <c r="CH50" s="299">
        <f t="shared" si="130"/>
        <v>3131.4050888888892</v>
      </c>
      <c r="CI50" s="295">
        <f t="shared" si="131"/>
        <v>0.17204948778538712</v>
      </c>
      <c r="CJ50" s="301">
        <f t="shared" si="132"/>
        <v>0.15270325195290999</v>
      </c>
      <c r="CK50" s="301">
        <f t="shared" si="133"/>
        <v>0.16605326730055614</v>
      </c>
      <c r="CL50" s="302">
        <f t="shared" si="134"/>
        <v>1050.0354888888887</v>
      </c>
      <c r="CM50" s="300">
        <f t="shared" si="135"/>
        <v>1.0616303474523379E-2</v>
      </c>
      <c r="CN50" s="298">
        <f t="shared" si="136"/>
        <v>9.422545135972139E-3</v>
      </c>
      <c r="CO50" s="298">
        <f t="shared" si="137"/>
        <v>1.0246307043923566E-2</v>
      </c>
      <c r="CP50" s="299">
        <f t="shared" si="138"/>
        <v>64.792377777777773</v>
      </c>
      <c r="CQ50" s="295">
        <f t="shared" si="139"/>
        <v>3.7922966001752517E-2</v>
      </c>
      <c r="CR50" s="301">
        <f t="shared" si="140"/>
        <v>3.3658689175470512E-2</v>
      </c>
      <c r="CS50" s="301">
        <f t="shared" si="141"/>
        <v>3.660128542884139E-2</v>
      </c>
      <c r="CT50" s="296">
        <f t="shared" si="142"/>
        <v>231.44771111111112</v>
      </c>
      <c r="CU50" s="300">
        <f t="shared" si="143"/>
        <v>0.71972250553496353</v>
      </c>
      <c r="CV50" s="298">
        <f t="shared" si="144"/>
        <v>0.63879275965051607</v>
      </c>
      <c r="CW50" s="298">
        <f t="shared" si="145"/>
        <v>0.69463893866921456</v>
      </c>
      <c r="CX50" s="299">
        <f t="shared" si="146"/>
        <v>4392.5395111111111</v>
      </c>
      <c r="CY50" s="295">
        <f t="shared" si="147"/>
        <v>1.8960330581353085E-2</v>
      </c>
      <c r="CZ50" s="301">
        <f t="shared" si="148"/>
        <v>1.8299530458699462E-2</v>
      </c>
      <c r="DA50" s="296">
        <f t="shared" si="149"/>
        <v>115.71682222222222</v>
      </c>
      <c r="DB50" s="300">
        <f t="shared" si="150"/>
        <v>5.4900450406987901E-4</v>
      </c>
      <c r="DC50" s="299">
        <f t="shared" si="151"/>
        <v>3.4716222222222224</v>
      </c>
      <c r="DD50" s="295">
        <f t="shared" si="152"/>
        <v>1.9139682014064338E-2</v>
      </c>
      <c r="DE50" s="301">
        <f t="shared" si="153"/>
        <v>1.8472631185589679E-2</v>
      </c>
      <c r="DF50" s="296">
        <f t="shared" si="154"/>
        <v>116.81142222222222</v>
      </c>
      <c r="DG50" s="300">
        <f t="shared" si="155"/>
        <v>4.7120413472249555E-3</v>
      </c>
      <c r="DH50" s="298">
        <f t="shared" si="156"/>
        <v>4.5478186040172272E-3</v>
      </c>
      <c r="DI50" s="303">
        <f t="shared" si="157"/>
        <v>28.758066666666664</v>
      </c>
      <c r="DJ50" s="295">
        <f t="shared" si="158"/>
        <v>3.5569419480007337E-2</v>
      </c>
      <c r="DK50" s="301">
        <f t="shared" si="159"/>
        <v>3.1569788986815166E-2</v>
      </c>
      <c r="DL50" s="301">
        <f t="shared" si="160"/>
        <v>3.4329764050253245E-2</v>
      </c>
      <c r="DM50" s="296">
        <f t="shared" si="161"/>
        <v>217.08377777777778</v>
      </c>
      <c r="DN50" s="300">
        <f t="shared" si="162"/>
        <v>1.3314814855811307E-2</v>
      </c>
      <c r="DO50" s="298">
        <f t="shared" si="163"/>
        <v>1.2850770663539504E-2</v>
      </c>
      <c r="DP50" s="299">
        <f t="shared" si="164"/>
        <v>81.26166666666667</v>
      </c>
      <c r="DQ50" s="295">
        <f t="shared" si="165"/>
        <v>6.152681903432064E-2</v>
      </c>
      <c r="DR50" s="301">
        <f t="shared" si="166"/>
        <v>5.9382503596890922E-2</v>
      </c>
      <c r="DS50" s="296">
        <f t="shared" si="167"/>
        <v>375.50442222222222</v>
      </c>
      <c r="DT50" s="300">
        <f t="shared" si="168"/>
        <v>6.2947007315908576E-2</v>
      </c>
      <c r="DU50" s="299">
        <f t="shared" si="169"/>
        <v>398.04451111111109</v>
      </c>
      <c r="DV50" s="295">
        <f t="shared" si="25"/>
        <v>3.0989419394219925E-2</v>
      </c>
      <c r="DW50" s="296">
        <f t="shared" si="97"/>
        <v>195.96115555555556</v>
      </c>
      <c r="DX50" s="295">
        <f t="shared" si="170"/>
        <v>3.0949655440762996E-5</v>
      </c>
      <c r="DY50" s="301">
        <f t="shared" si="171"/>
        <v>2.7469497837284422E-5</v>
      </c>
      <c r="DZ50" s="301">
        <f t="shared" si="172"/>
        <v>2.98710067313646E-5</v>
      </c>
      <c r="EA50" s="296">
        <f t="shared" si="173"/>
        <v>0.18888888888888888</v>
      </c>
      <c r="EB50" s="304">
        <f>IFERROR(_xlfn.XLOOKUP(A50,'Pupil on roll 24-25'!E:E,'Pupil on roll 24-25'!R:R),0)</f>
        <v>85</v>
      </c>
      <c r="EC50" s="289">
        <f>IFERROR(_xlfn.XLOOKUP(A50,CFR20242025_BenchMarkDataReport!B:B,CFR20242025_BenchMarkDataReport!AK:AK),0)</f>
        <v>9297.5</v>
      </c>
      <c r="ED50" s="289">
        <f>IFERROR(_xlfn.XLOOKUP(A50,CFR20242025_BenchMarkDataReport!B:B,CFR20242025_BenchMarkDataReport!AL:AL),0)</f>
        <v>20445</v>
      </c>
    </row>
    <row r="51" spans="1:134">
      <c r="A51" s="15">
        <v>2053</v>
      </c>
      <c r="B51" s="326">
        <v>10113</v>
      </c>
      <c r="C51" s="329" t="s">
        <v>519</v>
      </c>
      <c r="D51" s="289">
        <f>IFERROR(_xlfn.XLOOKUP($A51,CFR20242025_BenchMarkDataReport!$B:$B,CFR20242025_BenchMarkDataReport!T:T),0)</f>
        <v>1285970.47</v>
      </c>
      <c r="E51" s="289">
        <f>IFERROR(_xlfn.XLOOKUP($A51,CFR20242025_BenchMarkDataReport!$B:$B,CFR20242025_BenchMarkDataReport!U:U),0)</f>
        <v>0</v>
      </c>
      <c r="F51" s="289">
        <f>IFERROR(_xlfn.XLOOKUP($A51,CFR20242025_BenchMarkDataReport!$B:$B,CFR20242025_BenchMarkDataReport!V:V),0)</f>
        <v>84630.64</v>
      </c>
      <c r="G51" s="289">
        <f>IFERROR(_xlfn.XLOOKUP($A51,CFR20242025_BenchMarkDataReport!$B:$B,CFR20242025_BenchMarkDataReport!W:W),0)</f>
        <v>0</v>
      </c>
      <c r="H51" s="289">
        <f>IFERROR(_xlfn.XLOOKUP($A51,CFR20242025_BenchMarkDataReport!$B:$B,CFR20242025_BenchMarkDataReport!X:X),0)</f>
        <v>7400</v>
      </c>
      <c r="I51" s="289">
        <f>IFERROR(_xlfn.XLOOKUP($A51,CFR20242025_BenchMarkDataReport!$B:$B,CFR20242025_BenchMarkDataReport!Y:Y),0)</f>
        <v>57613.08</v>
      </c>
      <c r="J51" s="289">
        <f>IFERROR(_xlfn.XLOOKUP($A51,CFR20242025_BenchMarkDataReport!$B:$B,CFR20242025_BenchMarkDataReport!Z:Z),0)</f>
        <v>178887.7</v>
      </c>
      <c r="K51" s="289">
        <f>IFERROR(_xlfn.XLOOKUP($A51,CFR20242025_BenchMarkDataReport!$B:$B,CFR20242025_BenchMarkDataReport!AA:AA),0)</f>
        <v>0</v>
      </c>
      <c r="L51" s="289">
        <f>IFERROR(_xlfn.XLOOKUP($A51,CFR20242025_BenchMarkDataReport!$B:$B,CFR20242025_BenchMarkDataReport!AB:AB),0)</f>
        <v>4448.54</v>
      </c>
      <c r="M51" s="289">
        <f>IFERROR(_xlfn.XLOOKUP($A51,CFR20242025_BenchMarkDataReport!$B:$B,CFR20242025_BenchMarkDataReport!AC:AC),0)</f>
        <v>0</v>
      </c>
      <c r="N51" s="289">
        <f>IFERROR(_xlfn.XLOOKUP($A51,CFR20242025_BenchMarkDataReport!$B:$B,CFR20242025_BenchMarkDataReport!AD:AD),0)</f>
        <v>0</v>
      </c>
      <c r="O51" s="289">
        <f>IFERROR(_xlfn.XLOOKUP($A51,CFR20242025_BenchMarkDataReport!$B:$B,CFR20242025_BenchMarkDataReport!AE:AE),0)</f>
        <v>0</v>
      </c>
      <c r="P51" s="289">
        <f>IFERROR(_xlfn.XLOOKUP($A51,CFR20242025_BenchMarkDataReport!$B:$B,CFR20242025_BenchMarkDataReport!AF:AF),0)</f>
        <v>12415.66</v>
      </c>
      <c r="Q51" s="289">
        <f>IFERROR(_xlfn.XLOOKUP($A51,CFR20242025_BenchMarkDataReport!$B:$B,CFR20242025_BenchMarkDataReport!AG:AG),0)</f>
        <v>528071.65</v>
      </c>
      <c r="R51" s="289">
        <f>IFERROR(_xlfn.XLOOKUP($A51,CFR20242025_BenchMarkDataReport!$B:$B,CFR20242025_BenchMarkDataReport!AH:AH),0)</f>
        <v>0</v>
      </c>
      <c r="S51" s="289">
        <f>IFERROR(_xlfn.XLOOKUP($A51,CFR20242025_BenchMarkDataReport!$B:$B,CFR20242025_BenchMarkDataReport!AI:AI),0)</f>
        <v>0</v>
      </c>
      <c r="T51" s="289">
        <f>IFERROR(_xlfn.XLOOKUP($A51,CFR20242025_BenchMarkDataReport!$B:$B,CFR20242025_BenchMarkDataReport!AJ:AJ),0)</f>
        <v>0</v>
      </c>
      <c r="U51" s="289">
        <f>INDEX(CFR20242025_BenchMarkDataReport!$B$3:$AM$87,MATCH(A51,CFR20242025_BenchMarkDataReport!$B$3:$B$87),MATCH($U$2,CFR20242025_BenchMarkDataReport!$B$3:$AM$3,0))</f>
        <v>58976.5</v>
      </c>
      <c r="V51" s="289">
        <f>IFERROR(_xlfn.XLOOKUP($A51,CFR20242025_BenchMarkDataReport!$B:$B,CFR20242025_BenchMarkDataReport!AN:AN),0)</f>
        <v>731395.37</v>
      </c>
      <c r="W51" s="289">
        <f>IFERROR(_xlfn.XLOOKUP($A51,CFR20242025_BenchMarkDataReport!$B:$B,CFR20242025_BenchMarkDataReport!AO:AO),0)</f>
        <v>7464.43</v>
      </c>
      <c r="X51" s="289">
        <f>IFERROR(_xlfn.XLOOKUP($A51,CFR20242025_BenchMarkDataReport!$B:$B,CFR20242025_BenchMarkDataReport!AP:AP),0)</f>
        <v>817799.28</v>
      </c>
      <c r="Y51" s="289">
        <f>IFERROR(_xlfn.XLOOKUP($A51,CFR20242025_BenchMarkDataReport!$B:$B,CFR20242025_BenchMarkDataReport!AQ:AQ),0)</f>
        <v>33558.83</v>
      </c>
      <c r="Z51" s="289">
        <f>IFERROR(_xlfn.XLOOKUP($A51,CFR20242025_BenchMarkDataReport!$B:$B,CFR20242025_BenchMarkDataReport!AR:AR),0)</f>
        <v>119523.3</v>
      </c>
      <c r="AA51" s="289">
        <f>IFERROR(_xlfn.XLOOKUP($A51,CFR20242025_BenchMarkDataReport!$B:$B,CFR20242025_BenchMarkDataReport!AS:AS),0)</f>
        <v>0</v>
      </c>
      <c r="AB51" s="289">
        <f>IFERROR(_xlfn.XLOOKUP($A51,CFR20242025_BenchMarkDataReport!$B:$B,CFR20242025_BenchMarkDataReport!AT:AT),0)</f>
        <v>0</v>
      </c>
      <c r="AC51" s="289">
        <f>IFERROR(_xlfn.XLOOKUP($A51,CFR20242025_BenchMarkDataReport!$B:$B,CFR20242025_BenchMarkDataReport!AU:AU),0)</f>
        <v>11515.25</v>
      </c>
      <c r="AD51" s="289">
        <f>IFERROR(_xlfn.XLOOKUP($A51,CFR20242025_BenchMarkDataReport!$B:$B,CFR20242025_BenchMarkDataReport!AV:AV),0)</f>
        <v>13563.76</v>
      </c>
      <c r="AE51" s="289">
        <f>IFERROR(_xlfn.XLOOKUP($A51,CFR20242025_BenchMarkDataReport!$B:$B,CFR20242025_BenchMarkDataReport!AW:AW),0)</f>
        <v>343.63</v>
      </c>
      <c r="AF51" s="289">
        <f>IFERROR(_xlfn.XLOOKUP($A51,CFR20242025_BenchMarkDataReport!$B:$B,CFR20242025_BenchMarkDataReport!AX:AX),0)</f>
        <v>0</v>
      </c>
      <c r="AG51" s="289">
        <f>IFERROR(_xlfn.XLOOKUP($A51,CFR20242025_BenchMarkDataReport!$B:$B,CFR20242025_BenchMarkDataReport!AY:AY),0)</f>
        <v>11667.72</v>
      </c>
      <c r="AH51" s="289">
        <f>IFERROR(_xlfn.XLOOKUP($A51,CFR20242025_BenchMarkDataReport!$B:$B,CFR20242025_BenchMarkDataReport!AZ:AZ),0)</f>
        <v>0</v>
      </c>
      <c r="AI51" s="289">
        <f>IFERROR(_xlfn.XLOOKUP($A51,CFR20242025_BenchMarkDataReport!$B:$B,CFR20242025_BenchMarkDataReport!BA:BA),0)</f>
        <v>42700.75</v>
      </c>
      <c r="AJ51" s="289">
        <f>IFERROR(_xlfn.XLOOKUP($A51,CFR20242025_BenchMarkDataReport!$B:$B,CFR20242025_BenchMarkDataReport!BB:BB),0)</f>
        <v>1896.38</v>
      </c>
      <c r="AK51" s="289">
        <f>IFERROR(_xlfn.XLOOKUP($A51,CFR20242025_BenchMarkDataReport!$B:$B,CFR20242025_BenchMarkDataReport!BC:BC),0)</f>
        <v>27218.67</v>
      </c>
      <c r="AL51" s="289">
        <f>IFERROR(_xlfn.XLOOKUP($A51,CFR20242025_BenchMarkDataReport!$B:$B,CFR20242025_BenchMarkDataReport!BD:BD),0)</f>
        <v>5406.05</v>
      </c>
      <c r="AM51" s="289">
        <f>IFERROR(_xlfn.XLOOKUP($A51,CFR20242025_BenchMarkDataReport!$B:$B,CFR20242025_BenchMarkDataReport!BE:BE),0)</f>
        <v>70395.89</v>
      </c>
      <c r="AN51" s="289">
        <f>IFERROR(_xlfn.XLOOKUP($A51,CFR20242025_BenchMarkDataReport!$B:$B,CFR20242025_BenchMarkDataReport!BF:BF),0)</f>
        <v>65281.85</v>
      </c>
      <c r="AO51" s="289">
        <f>IFERROR(_xlfn.XLOOKUP($A51,CFR20242025_BenchMarkDataReport!$B:$B,CFR20242025_BenchMarkDataReport!BN:BN),0)</f>
        <v>5353.8099999999995</v>
      </c>
      <c r="AP51" s="289">
        <f>IFERROR(_xlfn.XLOOKUP($A51,CFR20242025_BenchMarkDataReport!$B:$B,CFR20242025_BenchMarkDataReport!BO:BO),0)</f>
        <v>0</v>
      </c>
      <c r="AQ51" s="289">
        <f>IFERROR(_xlfn.XLOOKUP($A51,CFR20242025_BenchMarkDataReport!$B:$B,CFR20242025_BenchMarkDataReport!BP:BP),0)</f>
        <v>16771.25</v>
      </c>
      <c r="AR51" s="289">
        <f>IFERROR(_xlfn.XLOOKUP($A51,CFR20242025_BenchMarkDataReport!$B:$B,CFR20242025_BenchMarkDataReport!BQ:BQ),0)</f>
        <v>13310.25</v>
      </c>
      <c r="AS51" s="289">
        <f>IFERROR(_xlfn.XLOOKUP($A51,CFR20242025_BenchMarkDataReport!$B:$B,CFR20242025_BenchMarkDataReport!BR:BR),0)</f>
        <v>486.08</v>
      </c>
      <c r="AT51" s="289">
        <f>IFERROR(_xlfn.XLOOKUP($A51,CFR20242025_BenchMarkDataReport!$B:$B,CFR20242025_BenchMarkDataReport!BS:BS),0)</f>
        <v>82322.44</v>
      </c>
      <c r="AU51" s="289">
        <f>IFERROR(_xlfn.XLOOKUP($A51,CFR20242025_BenchMarkDataReport!$B:$B,CFR20242025_BenchMarkDataReport!BT:BT),0)</f>
        <v>21895</v>
      </c>
      <c r="AV51" s="289">
        <f>IFERROR(_xlfn.XLOOKUP($A51,CFR20242025_BenchMarkDataReport!$B:$B,CFR20242025_BenchMarkDataReport!BU:BU),0)</f>
        <v>28584.400000000001</v>
      </c>
      <c r="AW51" s="289">
        <f>IFERROR(_xlfn.XLOOKUP($A51,CFR20242025_BenchMarkDataReport!$B:$B,CFR20242025_BenchMarkDataReport!BV:BV),0)</f>
        <v>47815.41</v>
      </c>
      <c r="AX51" s="289">
        <f>IFERROR(_xlfn.XLOOKUP($A51,CFR20242025_BenchMarkDataReport!$B:$B,CFR20242025_BenchMarkDataReport!BW:BW),0)</f>
        <v>0</v>
      </c>
      <c r="AY51" s="289">
        <f>IFERROR(_xlfn.XLOOKUP($A51,CFR20242025_BenchMarkDataReport!$B:$B,CFR20242025_BenchMarkDataReport!BX:BX),0)</f>
        <v>0</v>
      </c>
      <c r="AZ51" s="289">
        <f>IFERROR(_xlfn.XLOOKUP($A51,CFR20242025_BenchMarkDataReport!$B:$B,CFR20242025_BenchMarkDataReport!BY:BY),0)</f>
        <v>0</v>
      </c>
      <c r="BA51" s="289">
        <f>IFERROR(_xlfn.XLOOKUP($A51,CFR20242025_BenchMarkDataReport!$B:$B,CFR20242025_BenchMarkDataReport!BZ:BZ),0)</f>
        <v>0</v>
      </c>
      <c r="BB51" s="289">
        <f>IFERROR(_xlfn.XLOOKUP($A51,CFR20242025_BenchMarkDataReport!$B:$B,CFR20242025_BenchMarkDataReport!CA:CA),0)</f>
        <v>0</v>
      </c>
      <c r="BC51" s="290">
        <f t="shared" si="106"/>
        <v>2218414.2399999998</v>
      </c>
      <c r="BD51" s="291">
        <f t="shared" si="104"/>
        <v>2176269.8000000003</v>
      </c>
      <c r="BE51" s="327">
        <f t="shared" si="105"/>
        <v>42144.439999999478</v>
      </c>
      <c r="BF51" s="289">
        <f>IFERROR(_xlfn.XLOOKUP(A51,CFR20242025_BenchMarkDataReport!B:B,CFR20242025_BenchMarkDataReport!Q:Q),0)</f>
        <v>-31184.44</v>
      </c>
      <c r="BG51" s="290">
        <f t="shared" si="0"/>
        <v>10959.99999999948</v>
      </c>
      <c r="BH51" s="292">
        <f>_xlfn.XLOOKUP(A51,'Pupil on roll 24-25'!E:E,'Pupil on roll 24-25'!I:I)</f>
        <v>207</v>
      </c>
      <c r="BI51" s="291">
        <f t="shared" si="1"/>
        <v>1370601.1099999999</v>
      </c>
      <c r="BJ51" t="s">
        <v>190</v>
      </c>
      <c r="BK51" s="293">
        <f t="shared" si="107"/>
        <v>0.57968004659039696</v>
      </c>
      <c r="BL51" s="294">
        <f t="shared" si="108"/>
        <v>6212.4177294685987</v>
      </c>
      <c r="BM51" s="295">
        <f t="shared" si="109"/>
        <v>0</v>
      </c>
      <c r="BN51" s="296">
        <f t="shared" si="110"/>
        <v>0</v>
      </c>
      <c r="BO51" s="293">
        <f t="shared" si="111"/>
        <v>3.8149160095546454E-2</v>
      </c>
      <c r="BP51" s="294">
        <f t="shared" si="112"/>
        <v>408.84367149758452</v>
      </c>
      <c r="BQ51" s="295">
        <f t="shared" si="113"/>
        <v>0</v>
      </c>
      <c r="BR51" s="296">
        <f t="shared" si="114"/>
        <v>0</v>
      </c>
      <c r="BS51" s="293">
        <f t="shared" si="115"/>
        <v>3.3357160563484306E-3</v>
      </c>
      <c r="BT51" s="294">
        <f t="shared" si="116"/>
        <v>35.748792270531403</v>
      </c>
      <c r="BU51" s="295">
        <f t="shared" si="117"/>
        <v>2.5970388650227924E-2</v>
      </c>
      <c r="BV51" s="296">
        <f t="shared" si="118"/>
        <v>278.3240579710145</v>
      </c>
      <c r="BW51" s="293">
        <f t="shared" si="119"/>
        <v>8.0637645023410975E-2</v>
      </c>
      <c r="BX51" s="294">
        <f t="shared" si="120"/>
        <v>864.19178743961356</v>
      </c>
      <c r="BY51" s="295">
        <f t="shared" si="121"/>
        <v>2.0052792304470603E-3</v>
      </c>
      <c r="BZ51" s="297">
        <f t="shared" si="122"/>
        <v>21.490531400966184</v>
      </c>
      <c r="CA51" s="298">
        <f t="shared" si="123"/>
        <v>5.5966373529949941E-3</v>
      </c>
      <c r="CB51" s="299">
        <f t="shared" si="124"/>
        <v>59.979033816425122</v>
      </c>
      <c r="CC51" s="295">
        <f t="shared" si="125"/>
        <v>0.23804014619019037</v>
      </c>
      <c r="CD51" s="296">
        <f t="shared" si="126"/>
        <v>2551.07077294686</v>
      </c>
      <c r="CE51" s="300">
        <f t="shared" si="127"/>
        <v>0.55505193629968685</v>
      </c>
      <c r="CF51" s="298">
        <f t="shared" si="128"/>
        <v>0.34292729747353234</v>
      </c>
      <c r="CG51" s="298">
        <f t="shared" si="129"/>
        <v>0.34956823827633871</v>
      </c>
      <c r="CH51" s="299">
        <f t="shared" si="130"/>
        <v>3675.1439613526572</v>
      </c>
      <c r="CI51" s="295">
        <f t="shared" si="131"/>
        <v>0.59667198139070532</v>
      </c>
      <c r="CJ51" s="301">
        <f t="shared" si="132"/>
        <v>0.36864137691434945</v>
      </c>
      <c r="CK51" s="301">
        <f t="shared" si="133"/>
        <v>0.37578028238961914</v>
      </c>
      <c r="CL51" s="302">
        <f t="shared" si="134"/>
        <v>3950.72115942029</v>
      </c>
      <c r="CM51" s="300">
        <f t="shared" si="135"/>
        <v>2.4484753262749077E-2</v>
      </c>
      <c r="CN51" s="298">
        <f t="shared" si="136"/>
        <v>1.5127395684225326E-2</v>
      </c>
      <c r="CO51" s="298">
        <f t="shared" si="137"/>
        <v>1.542034448118519E-2</v>
      </c>
      <c r="CP51" s="299">
        <f t="shared" si="138"/>
        <v>162.11995169082127</v>
      </c>
      <c r="CQ51" s="295">
        <f t="shared" si="139"/>
        <v>8.7205022035915333E-2</v>
      </c>
      <c r="CR51" s="301">
        <f t="shared" si="140"/>
        <v>5.3877809583479784E-2</v>
      </c>
      <c r="CS51" s="301">
        <f t="shared" si="141"/>
        <v>5.4921177512089719E-2</v>
      </c>
      <c r="CT51" s="296">
        <f t="shared" si="142"/>
        <v>577.4072463768116</v>
      </c>
      <c r="CU51" s="300">
        <f t="shared" si="143"/>
        <v>1.2474389503449332</v>
      </c>
      <c r="CV51" s="298">
        <f t="shared" si="144"/>
        <v>0.77070421708075598</v>
      </c>
      <c r="CW51" s="298">
        <f t="shared" si="145"/>
        <v>0.78562924964542535</v>
      </c>
      <c r="CX51" s="299">
        <f t="shared" si="146"/>
        <v>8259.6193719806779</v>
      </c>
      <c r="CY51" s="295">
        <f t="shared" si="147"/>
        <v>8.5128487893899353E-3</v>
      </c>
      <c r="CZ51" s="301">
        <f t="shared" si="148"/>
        <v>5.3613389295757343E-3</v>
      </c>
      <c r="DA51" s="296">
        <f t="shared" si="149"/>
        <v>56.365797101449274</v>
      </c>
      <c r="DB51" s="300">
        <f t="shared" si="150"/>
        <v>8.7139011900087013E-4</v>
      </c>
      <c r="DC51" s="299">
        <f t="shared" si="151"/>
        <v>9.1612560386473429</v>
      </c>
      <c r="DD51" s="295">
        <f t="shared" si="152"/>
        <v>1.9858928904559255E-2</v>
      </c>
      <c r="DE51" s="301">
        <f t="shared" si="153"/>
        <v>1.2507029229556002E-2</v>
      </c>
      <c r="DF51" s="296">
        <f t="shared" si="154"/>
        <v>131.49115942028985</v>
      </c>
      <c r="DG51" s="300">
        <f t="shared" si="155"/>
        <v>5.1361325688697279E-2</v>
      </c>
      <c r="DH51" s="298">
        <f t="shared" si="156"/>
        <v>3.2347041713302271E-2</v>
      </c>
      <c r="DI51" s="303">
        <f t="shared" si="157"/>
        <v>340.07676328502413</v>
      </c>
      <c r="DJ51" s="295">
        <f t="shared" si="158"/>
        <v>4.7630086918578375E-2</v>
      </c>
      <c r="DK51" s="301">
        <f t="shared" si="159"/>
        <v>2.9427258815287811E-2</v>
      </c>
      <c r="DL51" s="301">
        <f t="shared" si="160"/>
        <v>2.9997130870446299E-2</v>
      </c>
      <c r="DM51" s="296">
        <f t="shared" si="161"/>
        <v>315.37125603864735</v>
      </c>
      <c r="DN51" s="300">
        <f t="shared" si="162"/>
        <v>1.2236419391196905E-2</v>
      </c>
      <c r="DO51" s="298">
        <f t="shared" si="163"/>
        <v>7.7064204079843402E-3</v>
      </c>
      <c r="DP51" s="299">
        <f t="shared" si="164"/>
        <v>81.020531400966178</v>
      </c>
      <c r="DQ51" s="295">
        <f t="shared" si="165"/>
        <v>2.0855374909188571E-2</v>
      </c>
      <c r="DR51" s="301">
        <f t="shared" si="166"/>
        <v>1.3134584691659094E-2</v>
      </c>
      <c r="DS51" s="296">
        <f t="shared" si="167"/>
        <v>138.0888888888889</v>
      </c>
      <c r="DT51" s="300">
        <f t="shared" si="168"/>
        <v>3.7827313506808756E-2</v>
      </c>
      <c r="DU51" s="299">
        <f t="shared" si="169"/>
        <v>397.69294685990337</v>
      </c>
      <c r="DV51" s="295">
        <f t="shared" si="25"/>
        <v>1.9621073637101426E-2</v>
      </c>
      <c r="DW51" s="296">
        <f t="shared" si="97"/>
        <v>206.28381642512076</v>
      </c>
      <c r="DX51" s="295">
        <f t="shared" si="170"/>
        <v>3.6480344014897233E-6</v>
      </c>
      <c r="DY51" s="301">
        <f t="shared" si="171"/>
        <v>2.2538622002354263E-6</v>
      </c>
      <c r="DZ51" s="301">
        <f t="shared" si="172"/>
        <v>2.2975092518400058E-6</v>
      </c>
      <c r="EA51" s="296">
        <f t="shared" si="173"/>
        <v>2.4154589371980676E-2</v>
      </c>
      <c r="EB51" s="304">
        <f>IFERROR(_xlfn.XLOOKUP(A51,'Pupil on roll 24-25'!E:E,'Pupil on roll 24-25'!R:R),0)</f>
        <v>5</v>
      </c>
      <c r="EC51" s="289">
        <f>IFERROR(_xlfn.XLOOKUP(A51,CFR20242025_BenchMarkDataReport!B:B,CFR20242025_BenchMarkDataReport!AK:AK),0)</f>
        <v>842.5</v>
      </c>
      <c r="ED51" s="289">
        <f>IFERROR(_xlfn.XLOOKUP(A51,CFR20242025_BenchMarkDataReport!B:B,CFR20242025_BenchMarkDataReport!AL:AL),0)</f>
        <v>58134</v>
      </c>
    </row>
    <row r="52" spans="1:134">
      <c r="A52" s="208">
        <v>2045</v>
      </c>
      <c r="B52" s="326">
        <v>10082</v>
      </c>
      <c r="C52" s="208" t="s">
        <v>82</v>
      </c>
      <c r="D52" s="289">
        <f>IFERROR(_xlfn.XLOOKUP($A52,CFR20242025_BenchMarkDataReport!$B:$B,CFR20242025_BenchMarkDataReport!T:T),0)</f>
        <v>1556149.9</v>
      </c>
      <c r="E52" s="289">
        <f>IFERROR(_xlfn.XLOOKUP($A52,CFR20242025_BenchMarkDataReport!$B:$B,CFR20242025_BenchMarkDataReport!U:U),0)</f>
        <v>0</v>
      </c>
      <c r="F52" s="289">
        <f>IFERROR(_xlfn.XLOOKUP($A52,CFR20242025_BenchMarkDataReport!$B:$B,CFR20242025_BenchMarkDataReport!V:V),0)</f>
        <v>109850.39</v>
      </c>
      <c r="G52" s="289">
        <f>IFERROR(_xlfn.XLOOKUP($A52,CFR20242025_BenchMarkDataReport!$B:$B,CFR20242025_BenchMarkDataReport!W:W),0)</f>
        <v>0</v>
      </c>
      <c r="H52" s="289">
        <f>IFERROR(_xlfn.XLOOKUP($A52,CFR20242025_BenchMarkDataReport!$B:$B,CFR20242025_BenchMarkDataReport!X:X),0)</f>
        <v>58280</v>
      </c>
      <c r="I52" s="289">
        <f>IFERROR(_xlfn.XLOOKUP($A52,CFR20242025_BenchMarkDataReport!$B:$B,CFR20242025_BenchMarkDataReport!Y:Y),0)</f>
        <v>9205.42</v>
      </c>
      <c r="J52" s="289">
        <f>IFERROR(_xlfn.XLOOKUP($A52,CFR20242025_BenchMarkDataReport!$B:$B,CFR20242025_BenchMarkDataReport!Z:Z),0)</f>
        <v>100680.4</v>
      </c>
      <c r="K52" s="289">
        <f>IFERROR(_xlfn.XLOOKUP($A52,CFR20242025_BenchMarkDataReport!$B:$B,CFR20242025_BenchMarkDataReport!AA:AA),0)</f>
        <v>10381.85</v>
      </c>
      <c r="L52" s="289">
        <f>IFERROR(_xlfn.XLOOKUP($A52,CFR20242025_BenchMarkDataReport!$B:$B,CFR20242025_BenchMarkDataReport!AB:AB),0)</f>
        <v>84077.69</v>
      </c>
      <c r="M52" s="289">
        <f>IFERROR(_xlfn.XLOOKUP($A52,CFR20242025_BenchMarkDataReport!$B:$B,CFR20242025_BenchMarkDataReport!AC:AC),0)</f>
        <v>2466.63</v>
      </c>
      <c r="N52" s="289">
        <f>IFERROR(_xlfn.XLOOKUP($A52,CFR20242025_BenchMarkDataReport!$B:$B,CFR20242025_BenchMarkDataReport!AD:AD),0)</f>
        <v>0</v>
      </c>
      <c r="O52" s="289">
        <f>IFERROR(_xlfn.XLOOKUP($A52,CFR20242025_BenchMarkDataReport!$B:$B,CFR20242025_BenchMarkDataReport!AE:AE),0)</f>
        <v>0</v>
      </c>
      <c r="P52" s="289">
        <f>IFERROR(_xlfn.XLOOKUP($A52,CFR20242025_BenchMarkDataReport!$B:$B,CFR20242025_BenchMarkDataReport!AF:AF),0)</f>
        <v>96323.44</v>
      </c>
      <c r="Q52" s="289">
        <f>IFERROR(_xlfn.XLOOKUP($A52,CFR20242025_BenchMarkDataReport!$B:$B,CFR20242025_BenchMarkDataReport!AG:AG),0)</f>
        <v>21683.65</v>
      </c>
      <c r="R52" s="289">
        <f>IFERROR(_xlfn.XLOOKUP($A52,CFR20242025_BenchMarkDataReport!$B:$B,CFR20242025_BenchMarkDataReport!AH:AH),0)</f>
        <v>0</v>
      </c>
      <c r="S52" s="289">
        <f>IFERROR(_xlfn.XLOOKUP($A52,CFR20242025_BenchMarkDataReport!$B:$B,CFR20242025_BenchMarkDataReport!AI:AI),0)</f>
        <v>0</v>
      </c>
      <c r="T52" s="289">
        <f>IFERROR(_xlfn.XLOOKUP($A52,CFR20242025_BenchMarkDataReport!$B:$B,CFR20242025_BenchMarkDataReport!AJ:AJ),0)</f>
        <v>0</v>
      </c>
      <c r="U52" s="289">
        <f>INDEX(CFR20242025_BenchMarkDataReport!$B$3:$AM$87,MATCH(A52,CFR20242025_BenchMarkDataReport!$B$3:$B$87),MATCH($U$2,CFR20242025_BenchMarkDataReport!$B$3:$AM$3,0))</f>
        <v>53415.75</v>
      </c>
      <c r="V52" s="289">
        <f>IFERROR(_xlfn.XLOOKUP($A52,CFR20242025_BenchMarkDataReport!$B:$B,CFR20242025_BenchMarkDataReport!AN:AN),0)</f>
        <v>808247.41</v>
      </c>
      <c r="W52" s="289">
        <f>IFERROR(_xlfn.XLOOKUP($A52,CFR20242025_BenchMarkDataReport!$B:$B,CFR20242025_BenchMarkDataReport!AO:AO),0)</f>
        <v>0</v>
      </c>
      <c r="X52" s="289">
        <f>IFERROR(_xlfn.XLOOKUP($A52,CFR20242025_BenchMarkDataReport!$B:$B,CFR20242025_BenchMarkDataReport!AP:AP),0)</f>
        <v>493825.71</v>
      </c>
      <c r="Y52" s="289">
        <f>IFERROR(_xlfn.XLOOKUP($A52,CFR20242025_BenchMarkDataReport!$B:$B,CFR20242025_BenchMarkDataReport!AQ:AQ),0)</f>
        <v>70971.5</v>
      </c>
      <c r="Z52" s="289">
        <f>IFERROR(_xlfn.XLOOKUP($A52,CFR20242025_BenchMarkDataReport!$B:$B,CFR20242025_BenchMarkDataReport!AR:AR),0)</f>
        <v>61772.23</v>
      </c>
      <c r="AA52" s="289">
        <f>IFERROR(_xlfn.XLOOKUP($A52,CFR20242025_BenchMarkDataReport!$B:$B,CFR20242025_BenchMarkDataReport!AS:AS),0)</f>
        <v>0</v>
      </c>
      <c r="AB52" s="289">
        <f>IFERROR(_xlfn.XLOOKUP($A52,CFR20242025_BenchMarkDataReport!$B:$B,CFR20242025_BenchMarkDataReport!AT:AT),0)</f>
        <v>77166.66</v>
      </c>
      <c r="AC52" s="289">
        <f>IFERROR(_xlfn.XLOOKUP($A52,CFR20242025_BenchMarkDataReport!$B:$B,CFR20242025_BenchMarkDataReport!AU:AU),0)</f>
        <v>7654.64</v>
      </c>
      <c r="AD52" s="289">
        <f>IFERROR(_xlfn.XLOOKUP($A52,CFR20242025_BenchMarkDataReport!$B:$B,CFR20242025_BenchMarkDataReport!AV:AV),0)</f>
        <v>1840</v>
      </c>
      <c r="AE52" s="289">
        <f>IFERROR(_xlfn.XLOOKUP($A52,CFR20242025_BenchMarkDataReport!$B:$B,CFR20242025_BenchMarkDataReport!AW:AW),0)</f>
        <v>348.6</v>
      </c>
      <c r="AF52" s="289">
        <f>IFERROR(_xlfn.XLOOKUP($A52,CFR20242025_BenchMarkDataReport!$B:$B,CFR20242025_BenchMarkDataReport!AX:AX),0)</f>
        <v>0</v>
      </c>
      <c r="AG52" s="289">
        <f>IFERROR(_xlfn.XLOOKUP($A52,CFR20242025_BenchMarkDataReport!$B:$B,CFR20242025_BenchMarkDataReport!AY:AY),0)</f>
        <v>20115.400000000001</v>
      </c>
      <c r="AH52" s="289">
        <f>IFERROR(_xlfn.XLOOKUP($A52,CFR20242025_BenchMarkDataReport!$B:$B,CFR20242025_BenchMarkDataReport!AZ:AZ),0)</f>
        <v>2740</v>
      </c>
      <c r="AI52" s="289">
        <f>IFERROR(_xlfn.XLOOKUP($A52,CFR20242025_BenchMarkDataReport!$B:$B,CFR20242025_BenchMarkDataReport!BA:BA),0)</f>
        <v>495.04</v>
      </c>
      <c r="AJ52" s="289">
        <f>IFERROR(_xlfn.XLOOKUP($A52,CFR20242025_BenchMarkDataReport!$B:$B,CFR20242025_BenchMarkDataReport!BB:BB),0)</f>
        <v>4938.07</v>
      </c>
      <c r="AK52" s="289">
        <f>IFERROR(_xlfn.XLOOKUP($A52,CFR20242025_BenchMarkDataReport!$B:$B,CFR20242025_BenchMarkDataReport!BC:BC),0)</f>
        <v>52444.23</v>
      </c>
      <c r="AL52" s="289">
        <f>IFERROR(_xlfn.XLOOKUP($A52,CFR20242025_BenchMarkDataReport!$B:$B,CFR20242025_BenchMarkDataReport!BD:BD),0)</f>
        <v>36556.81</v>
      </c>
      <c r="AM52" s="289">
        <f>IFERROR(_xlfn.XLOOKUP($A52,CFR20242025_BenchMarkDataReport!$B:$B,CFR20242025_BenchMarkDataReport!BE:BE),0)</f>
        <v>10158.68</v>
      </c>
      <c r="AN52" s="289">
        <f>IFERROR(_xlfn.XLOOKUP($A52,CFR20242025_BenchMarkDataReport!$B:$B,CFR20242025_BenchMarkDataReport!BF:BF),0)</f>
        <v>138469.98000000001</v>
      </c>
      <c r="AO52" s="289">
        <f>IFERROR(_xlfn.XLOOKUP($A52,CFR20242025_BenchMarkDataReport!$B:$B,CFR20242025_BenchMarkDataReport!BN:BN),0)</f>
        <v>29884</v>
      </c>
      <c r="AP52" s="289">
        <f>IFERROR(_xlfn.XLOOKUP($A52,CFR20242025_BenchMarkDataReport!$B:$B,CFR20242025_BenchMarkDataReport!BO:BO),0)</f>
        <v>0</v>
      </c>
      <c r="AQ52" s="289">
        <f>IFERROR(_xlfn.XLOOKUP($A52,CFR20242025_BenchMarkDataReport!$B:$B,CFR20242025_BenchMarkDataReport!BP:BP),0)</f>
        <v>629.66999999999996</v>
      </c>
      <c r="AR52" s="289">
        <f>IFERROR(_xlfn.XLOOKUP($A52,CFR20242025_BenchMarkDataReport!$B:$B,CFR20242025_BenchMarkDataReport!BQ:BQ),0)</f>
        <v>7416.9</v>
      </c>
      <c r="AS52" s="289">
        <f>IFERROR(_xlfn.XLOOKUP($A52,CFR20242025_BenchMarkDataReport!$B:$B,CFR20242025_BenchMarkDataReport!BR:BR),0)</f>
        <v>26020.99</v>
      </c>
      <c r="AT52" s="289">
        <f>IFERROR(_xlfn.XLOOKUP($A52,CFR20242025_BenchMarkDataReport!$B:$B,CFR20242025_BenchMarkDataReport!BS:BS),0)</f>
        <v>81343.37</v>
      </c>
      <c r="AU52" s="289">
        <f>IFERROR(_xlfn.XLOOKUP($A52,CFR20242025_BenchMarkDataReport!$B:$B,CFR20242025_BenchMarkDataReport!BT:BT),0)</f>
        <v>70659.63</v>
      </c>
      <c r="AV52" s="289">
        <f>IFERROR(_xlfn.XLOOKUP($A52,CFR20242025_BenchMarkDataReport!$B:$B,CFR20242025_BenchMarkDataReport!BU:BU),0)</f>
        <v>69001.509999999995</v>
      </c>
      <c r="AW52" s="289">
        <f>IFERROR(_xlfn.XLOOKUP($A52,CFR20242025_BenchMarkDataReport!$B:$B,CFR20242025_BenchMarkDataReport!BV:BV),0)</f>
        <v>27263.27</v>
      </c>
      <c r="AX52" s="289">
        <f>IFERROR(_xlfn.XLOOKUP($A52,CFR20242025_BenchMarkDataReport!$B:$B,CFR20242025_BenchMarkDataReport!BW:BW),0)</f>
        <v>0</v>
      </c>
      <c r="AY52" s="289">
        <f>IFERROR(_xlfn.XLOOKUP($A52,CFR20242025_BenchMarkDataReport!$B:$B,CFR20242025_BenchMarkDataReport!BX:BX),0)</f>
        <v>0</v>
      </c>
      <c r="AZ52" s="289">
        <f>IFERROR(_xlfn.XLOOKUP($A52,CFR20242025_BenchMarkDataReport!$B:$B,CFR20242025_BenchMarkDataReport!BY:BY),0)</f>
        <v>0</v>
      </c>
      <c r="BA52" s="289">
        <f>IFERROR(_xlfn.XLOOKUP($A52,CFR20242025_BenchMarkDataReport!$B:$B,CFR20242025_BenchMarkDataReport!BZ:BZ),0)</f>
        <v>0</v>
      </c>
      <c r="BB52" s="289">
        <f>IFERROR(_xlfn.XLOOKUP($A52,CFR20242025_BenchMarkDataReport!$B:$B,CFR20242025_BenchMarkDataReport!CA:CA),0)</f>
        <v>0</v>
      </c>
      <c r="BC52" s="290">
        <f t="shared" si="106"/>
        <v>2102515.1199999992</v>
      </c>
      <c r="BD52" s="291">
        <f t="shared" si="104"/>
        <v>2099964.2999999993</v>
      </c>
      <c r="BE52" s="327">
        <f t="shared" si="105"/>
        <v>2550.8199999998324</v>
      </c>
      <c r="BF52" s="289">
        <f>IFERROR(_xlfn.XLOOKUP(A52,CFR20242025_BenchMarkDataReport!B:B,CFR20242025_BenchMarkDataReport!Q:Q),0)</f>
        <v>-4517.82</v>
      </c>
      <c r="BG52" s="290">
        <f t="shared" si="0"/>
        <v>-1967.0000000001673</v>
      </c>
      <c r="BH52" s="292">
        <f>_xlfn.XLOOKUP(A52,'Pupil on roll 24-25'!E:E,'Pupil on roll 24-25'!I:I)</f>
        <v>210</v>
      </c>
      <c r="BI52" s="291">
        <f t="shared" si="1"/>
        <v>1666000.2899999998</v>
      </c>
      <c r="BJ52" t="s">
        <v>190</v>
      </c>
      <c r="BK52" s="293">
        <f t="shared" si="107"/>
        <v>0.74013731706243358</v>
      </c>
      <c r="BL52" s="294">
        <f t="shared" si="108"/>
        <v>7410.2376190476189</v>
      </c>
      <c r="BM52" s="295">
        <f t="shared" si="109"/>
        <v>0</v>
      </c>
      <c r="BN52" s="296">
        <f t="shared" si="110"/>
        <v>0</v>
      </c>
      <c r="BO52" s="293">
        <f t="shared" si="111"/>
        <v>5.2247134374948059E-2</v>
      </c>
      <c r="BP52" s="294">
        <f t="shared" si="112"/>
        <v>523.09709523809522</v>
      </c>
      <c r="BQ52" s="295">
        <f t="shared" si="113"/>
        <v>0</v>
      </c>
      <c r="BR52" s="296">
        <f t="shared" si="114"/>
        <v>0</v>
      </c>
      <c r="BS52" s="293">
        <f t="shared" si="115"/>
        <v>2.7719182347663698E-2</v>
      </c>
      <c r="BT52" s="294">
        <f t="shared" si="116"/>
        <v>277.52380952380952</v>
      </c>
      <c r="BU52" s="295">
        <f t="shared" si="117"/>
        <v>4.3782895601721062E-3</v>
      </c>
      <c r="BV52" s="296">
        <f t="shared" si="118"/>
        <v>43.835333333333331</v>
      </c>
      <c r="BW52" s="293">
        <f t="shared" si="119"/>
        <v>4.7885696061010979E-2</v>
      </c>
      <c r="BX52" s="294">
        <f t="shared" si="120"/>
        <v>479.43047619047616</v>
      </c>
      <c r="BY52" s="295">
        <f t="shared" si="121"/>
        <v>4.4926925424441204E-2</v>
      </c>
      <c r="BZ52" s="297">
        <f t="shared" si="122"/>
        <v>449.80733333333336</v>
      </c>
      <c r="CA52" s="298">
        <f t="shared" si="123"/>
        <v>4.581343510147981E-2</v>
      </c>
      <c r="CB52" s="299">
        <f t="shared" si="124"/>
        <v>458.68304761904761</v>
      </c>
      <c r="CC52" s="295">
        <f t="shared" si="125"/>
        <v>1.0313195750050068E-2</v>
      </c>
      <c r="CD52" s="296">
        <f t="shared" si="126"/>
        <v>103.2554761904762</v>
      </c>
      <c r="CE52" s="300">
        <f t="shared" si="127"/>
        <v>0.52755515426711008</v>
      </c>
      <c r="CF52" s="298">
        <f t="shared" si="128"/>
        <v>0.41802650151690723</v>
      </c>
      <c r="CG52" s="298">
        <f t="shared" si="129"/>
        <v>0.41853427698747087</v>
      </c>
      <c r="CH52" s="299">
        <f t="shared" si="130"/>
        <v>4185.2716190476194</v>
      </c>
      <c r="CI52" s="295">
        <f t="shared" si="131"/>
        <v>0.29641393999997445</v>
      </c>
      <c r="CJ52" s="301">
        <f t="shared" si="132"/>
        <v>0.23487379724527271</v>
      </c>
      <c r="CK52" s="301">
        <f t="shared" si="133"/>
        <v>0.23515909770466106</v>
      </c>
      <c r="CL52" s="302">
        <f t="shared" si="134"/>
        <v>2351.5509999999999</v>
      </c>
      <c r="CM52" s="300">
        <f t="shared" si="135"/>
        <v>4.2599932560635996E-2</v>
      </c>
      <c r="CN52" s="298">
        <f t="shared" si="136"/>
        <v>3.3755524193329001E-2</v>
      </c>
      <c r="CO52" s="298">
        <f t="shared" si="137"/>
        <v>3.3796526921910063E-2</v>
      </c>
      <c r="CP52" s="299">
        <f t="shared" si="138"/>
        <v>337.95952380952383</v>
      </c>
      <c r="CQ52" s="295">
        <f t="shared" si="139"/>
        <v>3.7078162813525085E-2</v>
      </c>
      <c r="CR52" s="301">
        <f t="shared" si="140"/>
        <v>2.9380159701300996E-2</v>
      </c>
      <c r="CS52" s="301">
        <f t="shared" si="141"/>
        <v>2.9415847688458334E-2</v>
      </c>
      <c r="CT52" s="296">
        <f t="shared" si="142"/>
        <v>294.15347619047623</v>
      </c>
      <c r="CU52" s="300">
        <f t="shared" si="143"/>
        <v>0.90755296927349283</v>
      </c>
      <c r="CV52" s="298">
        <f t="shared" si="144"/>
        <v>0.71913086170814344</v>
      </c>
      <c r="CW52" s="298">
        <f t="shared" si="145"/>
        <v>0.72000438769363861</v>
      </c>
      <c r="CX52" s="299">
        <f t="shared" si="146"/>
        <v>7199.9214761904759</v>
      </c>
      <c r="CY52" s="295">
        <f t="shared" si="147"/>
        <v>1.2074067526122702E-2</v>
      </c>
      <c r="CZ52" s="301">
        <f t="shared" si="148"/>
        <v>9.5789247464825988E-3</v>
      </c>
      <c r="DA52" s="296">
        <f t="shared" si="149"/>
        <v>95.78761904761906</v>
      </c>
      <c r="DB52" s="300">
        <f t="shared" si="150"/>
        <v>2.3515018802938705E-3</v>
      </c>
      <c r="DC52" s="299">
        <f t="shared" si="151"/>
        <v>23.514619047619046</v>
      </c>
      <c r="DD52" s="295">
        <f t="shared" si="152"/>
        <v>3.1479124172301323E-2</v>
      </c>
      <c r="DE52" s="301">
        <f t="shared" si="153"/>
        <v>2.4973867412888887E-2</v>
      </c>
      <c r="DF52" s="296">
        <f t="shared" si="154"/>
        <v>249.73442857142859</v>
      </c>
      <c r="DG52" s="300">
        <f t="shared" si="155"/>
        <v>6.0976459974085608E-3</v>
      </c>
      <c r="DH52" s="298">
        <f t="shared" si="156"/>
        <v>4.8375489049980536E-3</v>
      </c>
      <c r="DI52" s="303">
        <f t="shared" si="157"/>
        <v>48.37466666666667</v>
      </c>
      <c r="DJ52" s="295">
        <f t="shared" si="158"/>
        <v>8.3115219625802123E-2</v>
      </c>
      <c r="DK52" s="301">
        <f t="shared" si="159"/>
        <v>6.58592077092887E-2</v>
      </c>
      <c r="DL52" s="301">
        <f t="shared" si="160"/>
        <v>6.593920668079932E-2</v>
      </c>
      <c r="DM52" s="296">
        <f t="shared" si="161"/>
        <v>659.38085714285717</v>
      </c>
      <c r="DN52" s="300">
        <f t="shared" si="162"/>
        <v>3.7795311548235089E-4</v>
      </c>
      <c r="DO52" s="298">
        <f t="shared" si="163"/>
        <v>2.9984795455808471E-4</v>
      </c>
      <c r="DP52" s="299">
        <f t="shared" si="164"/>
        <v>2.9984285714285712</v>
      </c>
      <c r="DQ52" s="295">
        <f t="shared" si="165"/>
        <v>4.1417465779672827E-2</v>
      </c>
      <c r="DR52" s="301">
        <f t="shared" si="166"/>
        <v>3.2858420497910379E-2</v>
      </c>
      <c r="DS52" s="296">
        <f t="shared" si="167"/>
        <v>328.57861904761904</v>
      </c>
      <c r="DT52" s="300">
        <f t="shared" si="168"/>
        <v>3.8735596600380312E-2</v>
      </c>
      <c r="DU52" s="299">
        <f t="shared" si="169"/>
        <v>387.34938095238095</v>
      </c>
      <c r="DV52" s="295">
        <f t="shared" si="25"/>
        <v>2.3573734086812818E-4</v>
      </c>
      <c r="DW52" s="296">
        <f t="shared" si="97"/>
        <v>2.3573333333333335</v>
      </c>
      <c r="DX52" s="295">
        <f t="shared" si="170"/>
        <v>2.1608639695975085E-5</v>
      </c>
      <c r="DY52" s="301">
        <f t="shared" si="171"/>
        <v>1.7122350111803247E-5</v>
      </c>
      <c r="DZ52" s="301">
        <f t="shared" si="172"/>
        <v>1.7143148576382946E-5</v>
      </c>
      <c r="EA52" s="296">
        <f t="shared" si="173"/>
        <v>0.17142857142857143</v>
      </c>
      <c r="EB52" s="304">
        <f>IFERROR(_xlfn.XLOOKUP(A52,'Pupil on roll 24-25'!E:E,'Pupil on roll 24-25'!R:R),0)</f>
        <v>36</v>
      </c>
      <c r="EC52" s="289">
        <f>IFERROR(_xlfn.XLOOKUP(A52,CFR20242025_BenchMarkDataReport!B:B,CFR20242025_BenchMarkDataReport!AK:AK),0)</f>
        <v>1198.75</v>
      </c>
      <c r="ED52" s="289">
        <f>IFERROR(_xlfn.XLOOKUP(A52,CFR20242025_BenchMarkDataReport!B:B,CFR20242025_BenchMarkDataReport!AL:AL),0)</f>
        <v>52217</v>
      </c>
    </row>
    <row r="53" spans="1:134">
      <c r="A53" s="208">
        <v>2077</v>
      </c>
      <c r="B53" s="326">
        <v>10127</v>
      </c>
      <c r="C53" s="208" t="s">
        <v>83</v>
      </c>
      <c r="D53" s="289">
        <f>IFERROR(_xlfn.XLOOKUP($A53,CFR20242025_BenchMarkDataReport!$B:$B,CFR20242025_BenchMarkDataReport!T:T),0)</f>
        <v>6163216.8200000003</v>
      </c>
      <c r="E53" s="289">
        <f>IFERROR(_xlfn.XLOOKUP($A53,CFR20242025_BenchMarkDataReport!$B:$B,CFR20242025_BenchMarkDataReport!U:U),0)</f>
        <v>0</v>
      </c>
      <c r="F53" s="289">
        <f>IFERROR(_xlfn.XLOOKUP($A53,CFR20242025_BenchMarkDataReport!$B:$B,CFR20242025_BenchMarkDataReport!V:V),0)</f>
        <v>827162.28</v>
      </c>
      <c r="G53" s="289">
        <f>IFERROR(_xlfn.XLOOKUP($A53,CFR20242025_BenchMarkDataReport!$B:$B,CFR20242025_BenchMarkDataReport!W:W),0)</f>
        <v>0</v>
      </c>
      <c r="H53" s="289">
        <f>IFERROR(_xlfn.XLOOKUP($A53,CFR20242025_BenchMarkDataReport!$B:$B,CFR20242025_BenchMarkDataReport!X:X),0)</f>
        <v>598495</v>
      </c>
      <c r="I53" s="289">
        <f>IFERROR(_xlfn.XLOOKUP($A53,CFR20242025_BenchMarkDataReport!$B:$B,CFR20242025_BenchMarkDataReport!Y:Y),0)</f>
        <v>11633.65</v>
      </c>
      <c r="J53" s="289">
        <f>IFERROR(_xlfn.XLOOKUP($A53,CFR20242025_BenchMarkDataReport!$B:$B,CFR20242025_BenchMarkDataReport!Z:Z),0)</f>
        <v>1489.47</v>
      </c>
      <c r="K53" s="289">
        <f>IFERROR(_xlfn.XLOOKUP($A53,CFR20242025_BenchMarkDataReport!$B:$B,CFR20242025_BenchMarkDataReport!AA:AA),0)</f>
        <v>8876.5</v>
      </c>
      <c r="L53" s="289">
        <f>IFERROR(_xlfn.XLOOKUP($A53,CFR20242025_BenchMarkDataReport!$B:$B,CFR20242025_BenchMarkDataReport!AB:AB),0)</f>
        <v>207592.37</v>
      </c>
      <c r="M53" s="289">
        <f>IFERROR(_xlfn.XLOOKUP($A53,CFR20242025_BenchMarkDataReport!$B:$B,CFR20242025_BenchMarkDataReport!AC:AC),0)</f>
        <v>14261.49</v>
      </c>
      <c r="N53" s="289">
        <f>IFERROR(_xlfn.XLOOKUP($A53,CFR20242025_BenchMarkDataReport!$B:$B,CFR20242025_BenchMarkDataReport!AD:AD),0)</f>
        <v>0</v>
      </c>
      <c r="O53" s="289">
        <f>IFERROR(_xlfn.XLOOKUP($A53,CFR20242025_BenchMarkDataReport!$B:$B,CFR20242025_BenchMarkDataReport!AE:AE),0)</f>
        <v>1565.36</v>
      </c>
      <c r="P53" s="289">
        <f>IFERROR(_xlfn.XLOOKUP($A53,CFR20242025_BenchMarkDataReport!$B:$B,CFR20242025_BenchMarkDataReport!AF:AF),0)</f>
        <v>74299.850000000006</v>
      </c>
      <c r="Q53" s="289">
        <f>IFERROR(_xlfn.XLOOKUP($A53,CFR20242025_BenchMarkDataReport!$B:$B,CFR20242025_BenchMarkDataReport!AG:AG),0)</f>
        <v>49428.53</v>
      </c>
      <c r="R53" s="289">
        <f>IFERROR(_xlfn.XLOOKUP($A53,CFR20242025_BenchMarkDataReport!$B:$B,CFR20242025_BenchMarkDataReport!AH:AH),0)</f>
        <v>0</v>
      </c>
      <c r="S53" s="289">
        <f>IFERROR(_xlfn.XLOOKUP($A53,CFR20242025_BenchMarkDataReport!$B:$B,CFR20242025_BenchMarkDataReport!AI:AI),0)</f>
        <v>0</v>
      </c>
      <c r="T53" s="289">
        <f>IFERROR(_xlfn.XLOOKUP($A53,CFR20242025_BenchMarkDataReport!$B:$B,CFR20242025_BenchMarkDataReport!AJ:AJ),0)</f>
        <v>0</v>
      </c>
      <c r="U53" s="289">
        <f>INDEX(CFR20242025_BenchMarkDataReport!$B$3:$AM$87,MATCH(A53,CFR20242025_BenchMarkDataReport!$B$3:$B$87),MATCH($U$2,CFR20242025_BenchMarkDataReport!$B$3:$AM$3,0))</f>
        <v>286527.79000000004</v>
      </c>
      <c r="V53" s="289">
        <f>IFERROR(_xlfn.XLOOKUP($A53,CFR20242025_BenchMarkDataReport!$B:$B,CFR20242025_BenchMarkDataReport!AN:AN),0)</f>
        <v>3486471.52</v>
      </c>
      <c r="W53" s="289">
        <f>IFERROR(_xlfn.XLOOKUP($A53,CFR20242025_BenchMarkDataReport!$B:$B,CFR20242025_BenchMarkDataReport!AO:AO),0)</f>
        <v>0</v>
      </c>
      <c r="X53" s="289">
        <f>IFERROR(_xlfn.XLOOKUP($A53,CFR20242025_BenchMarkDataReport!$B:$B,CFR20242025_BenchMarkDataReport!AP:AP),0)</f>
        <v>2055426.73</v>
      </c>
      <c r="Y53" s="289">
        <f>IFERROR(_xlfn.XLOOKUP($A53,CFR20242025_BenchMarkDataReport!$B:$B,CFR20242025_BenchMarkDataReport!AQ:AQ),0)</f>
        <v>392957.3</v>
      </c>
      <c r="Z53" s="289">
        <f>IFERROR(_xlfn.XLOOKUP($A53,CFR20242025_BenchMarkDataReport!$B:$B,CFR20242025_BenchMarkDataReport!AR:AR),0)</f>
        <v>279293.36</v>
      </c>
      <c r="AA53" s="289">
        <f>IFERROR(_xlfn.XLOOKUP($A53,CFR20242025_BenchMarkDataReport!$B:$B,CFR20242025_BenchMarkDataReport!AS:AS),0)</f>
        <v>141015.44</v>
      </c>
      <c r="AB53" s="289">
        <f>IFERROR(_xlfn.XLOOKUP($A53,CFR20242025_BenchMarkDataReport!$B:$B,CFR20242025_BenchMarkDataReport!AT:AT),0)</f>
        <v>373383.28</v>
      </c>
      <c r="AC53" s="289">
        <f>IFERROR(_xlfn.XLOOKUP($A53,CFR20242025_BenchMarkDataReport!$B:$B,CFR20242025_BenchMarkDataReport!AU:AU),0)</f>
        <v>34492.21</v>
      </c>
      <c r="AD53" s="289">
        <f>IFERROR(_xlfn.XLOOKUP($A53,CFR20242025_BenchMarkDataReport!$B:$B,CFR20242025_BenchMarkDataReport!AV:AV),0)</f>
        <v>8122.47</v>
      </c>
      <c r="AE53" s="289">
        <f>IFERROR(_xlfn.XLOOKUP($A53,CFR20242025_BenchMarkDataReport!$B:$B,CFR20242025_BenchMarkDataReport!AW:AW),0)</f>
        <v>0</v>
      </c>
      <c r="AF53" s="289">
        <f>IFERROR(_xlfn.XLOOKUP($A53,CFR20242025_BenchMarkDataReport!$B:$B,CFR20242025_BenchMarkDataReport!AX:AX),0)</f>
        <v>0</v>
      </c>
      <c r="AG53" s="289">
        <f>IFERROR(_xlfn.XLOOKUP($A53,CFR20242025_BenchMarkDataReport!$B:$B,CFR20242025_BenchMarkDataReport!AY:AY),0)</f>
        <v>84095.19</v>
      </c>
      <c r="AH53" s="289">
        <f>IFERROR(_xlfn.XLOOKUP($A53,CFR20242025_BenchMarkDataReport!$B:$B,CFR20242025_BenchMarkDataReport!AZ:AZ),0)</f>
        <v>46506.96</v>
      </c>
      <c r="AI53" s="289">
        <f>IFERROR(_xlfn.XLOOKUP($A53,CFR20242025_BenchMarkDataReport!$B:$B,CFR20242025_BenchMarkDataReport!BA:BA),0)</f>
        <v>14742.26</v>
      </c>
      <c r="AJ53" s="289">
        <f>IFERROR(_xlfn.XLOOKUP($A53,CFR20242025_BenchMarkDataReport!$B:$B,CFR20242025_BenchMarkDataReport!BB:BB),0)</f>
        <v>35222.449999999997</v>
      </c>
      <c r="AK53" s="289">
        <f>IFERROR(_xlfn.XLOOKUP($A53,CFR20242025_BenchMarkDataReport!$B:$B,CFR20242025_BenchMarkDataReport!BC:BC),0)</f>
        <v>175369.9</v>
      </c>
      <c r="AL53" s="289">
        <f>IFERROR(_xlfn.XLOOKUP($A53,CFR20242025_BenchMarkDataReport!$B:$B,CFR20242025_BenchMarkDataReport!BD:BD),0)</f>
        <v>13747.3</v>
      </c>
      <c r="AM53" s="289">
        <f>IFERROR(_xlfn.XLOOKUP($A53,CFR20242025_BenchMarkDataReport!$B:$B,CFR20242025_BenchMarkDataReport!BE:BE),0)</f>
        <v>59692.45</v>
      </c>
      <c r="AN53" s="289">
        <f>IFERROR(_xlfn.XLOOKUP($A53,CFR20242025_BenchMarkDataReport!$B:$B,CFR20242025_BenchMarkDataReport!BF:BF),0)</f>
        <v>266009.57</v>
      </c>
      <c r="AO53" s="289">
        <f>IFERROR(_xlfn.XLOOKUP($A53,CFR20242025_BenchMarkDataReport!$B:$B,CFR20242025_BenchMarkDataReport!BN:BN),0)</f>
        <v>47092.25</v>
      </c>
      <c r="AP53" s="289">
        <f>IFERROR(_xlfn.XLOOKUP($A53,CFR20242025_BenchMarkDataReport!$B:$B,CFR20242025_BenchMarkDataReport!BO:BO),0)</f>
        <v>0</v>
      </c>
      <c r="AQ53" s="289">
        <f>IFERROR(_xlfn.XLOOKUP($A53,CFR20242025_BenchMarkDataReport!$B:$B,CFR20242025_BenchMarkDataReport!BP:BP),0)</f>
        <v>84148.41</v>
      </c>
      <c r="AR53" s="289">
        <f>IFERROR(_xlfn.XLOOKUP($A53,CFR20242025_BenchMarkDataReport!$B:$B,CFR20242025_BenchMarkDataReport!BQ:BQ),0)</f>
        <v>23629.29</v>
      </c>
      <c r="AS53" s="289">
        <f>IFERROR(_xlfn.XLOOKUP($A53,CFR20242025_BenchMarkDataReport!$B:$B,CFR20242025_BenchMarkDataReport!BR:BR),0)</f>
        <v>77019.460000000006</v>
      </c>
      <c r="AT53" s="289">
        <f>IFERROR(_xlfn.XLOOKUP($A53,CFR20242025_BenchMarkDataReport!$B:$B,CFR20242025_BenchMarkDataReport!BS:BS),0)</f>
        <v>254408.09</v>
      </c>
      <c r="AU53" s="289">
        <f>IFERROR(_xlfn.XLOOKUP($A53,CFR20242025_BenchMarkDataReport!$B:$B,CFR20242025_BenchMarkDataReport!BT:BT),0)</f>
        <v>158588.26</v>
      </c>
      <c r="AV53" s="289">
        <f>IFERROR(_xlfn.XLOOKUP($A53,CFR20242025_BenchMarkDataReport!$B:$B,CFR20242025_BenchMarkDataReport!BU:BU),0)</f>
        <v>307289.78000000003</v>
      </c>
      <c r="AW53" s="289">
        <f>IFERROR(_xlfn.XLOOKUP($A53,CFR20242025_BenchMarkDataReport!$B:$B,CFR20242025_BenchMarkDataReport!BV:BV),0)</f>
        <v>86623.27</v>
      </c>
      <c r="AX53" s="289">
        <f>IFERROR(_xlfn.XLOOKUP($A53,CFR20242025_BenchMarkDataReport!$B:$B,CFR20242025_BenchMarkDataReport!BW:BW),0)</f>
        <v>0</v>
      </c>
      <c r="AY53" s="289">
        <f>IFERROR(_xlfn.XLOOKUP($A53,CFR20242025_BenchMarkDataReport!$B:$B,CFR20242025_BenchMarkDataReport!BX:BX),0)</f>
        <v>0</v>
      </c>
      <c r="AZ53" s="289">
        <f>IFERROR(_xlfn.XLOOKUP($A53,CFR20242025_BenchMarkDataReport!$B:$B,CFR20242025_BenchMarkDataReport!BY:BY),0)</f>
        <v>6234.75</v>
      </c>
      <c r="BA53" s="289">
        <f>IFERROR(_xlfn.XLOOKUP($A53,CFR20242025_BenchMarkDataReport!$B:$B,CFR20242025_BenchMarkDataReport!BZ:BZ),0)</f>
        <v>0</v>
      </c>
      <c r="BB53" s="289">
        <f>IFERROR(_xlfn.XLOOKUP($A53,CFR20242025_BenchMarkDataReport!$B:$B,CFR20242025_BenchMarkDataReport!CA:CA),0)</f>
        <v>-796.15</v>
      </c>
      <c r="BC53" s="290">
        <f t="shared" si="106"/>
        <v>8244549.1100000013</v>
      </c>
      <c r="BD53" s="291">
        <f t="shared" si="104"/>
        <v>8511581.9500000011</v>
      </c>
      <c r="BE53" s="327">
        <f t="shared" si="105"/>
        <v>-267032.83999999985</v>
      </c>
      <c r="BF53" s="289">
        <f>IFERROR(_xlfn.XLOOKUP(A53,CFR20242025_BenchMarkDataReport!B:B,CFR20242025_BenchMarkDataReport!Q:Q),0)</f>
        <v>-888937.16</v>
      </c>
      <c r="BG53" s="290">
        <f t="shared" si="0"/>
        <v>-1155970</v>
      </c>
      <c r="BH53" s="292">
        <f>_xlfn.XLOOKUP(A53,'Pupil on roll 24-25'!E:E,'Pupil on roll 24-25'!I:I)</f>
        <v>840</v>
      </c>
      <c r="BI53" s="291">
        <f t="shared" si="1"/>
        <v>6990379.1000000006</v>
      </c>
      <c r="BJ53" t="s">
        <v>190</v>
      </c>
      <c r="BK53" s="293">
        <f t="shared" si="107"/>
        <v>0.74755050127902012</v>
      </c>
      <c r="BL53" s="294">
        <f t="shared" si="108"/>
        <v>7337.1628809523809</v>
      </c>
      <c r="BM53" s="295">
        <f t="shared" si="109"/>
        <v>0</v>
      </c>
      <c r="BN53" s="296">
        <f t="shared" si="110"/>
        <v>0</v>
      </c>
      <c r="BO53" s="293">
        <f t="shared" si="111"/>
        <v>0.10032838290655775</v>
      </c>
      <c r="BP53" s="294">
        <f t="shared" si="112"/>
        <v>984.71699999999998</v>
      </c>
      <c r="BQ53" s="295">
        <f t="shared" si="113"/>
        <v>0</v>
      </c>
      <c r="BR53" s="296">
        <f t="shared" si="114"/>
        <v>0</v>
      </c>
      <c r="BS53" s="293">
        <f t="shared" si="115"/>
        <v>7.2592811567350826E-2</v>
      </c>
      <c r="BT53" s="294">
        <f t="shared" si="116"/>
        <v>712.49404761904759</v>
      </c>
      <c r="BU53" s="295">
        <f t="shared" si="117"/>
        <v>1.4110717086868074E-3</v>
      </c>
      <c r="BV53" s="296">
        <f t="shared" si="118"/>
        <v>13.849583333333333</v>
      </c>
      <c r="BW53" s="293">
        <f t="shared" si="119"/>
        <v>1.8066118354409316E-4</v>
      </c>
      <c r="BX53" s="294">
        <f t="shared" si="120"/>
        <v>1.7731785714285715</v>
      </c>
      <c r="BY53" s="295">
        <f t="shared" si="121"/>
        <v>2.6255998613367464E-2</v>
      </c>
      <c r="BZ53" s="297">
        <f t="shared" si="122"/>
        <v>257.70103571428569</v>
      </c>
      <c r="CA53" s="298">
        <f t="shared" si="123"/>
        <v>9.0119967761341895E-3</v>
      </c>
      <c r="CB53" s="299">
        <f t="shared" si="124"/>
        <v>88.452202380952386</v>
      </c>
      <c r="CC53" s="295">
        <f t="shared" si="125"/>
        <v>5.9952981467533513E-3</v>
      </c>
      <c r="CD53" s="296">
        <f t="shared" si="126"/>
        <v>58.843488095238094</v>
      </c>
      <c r="CE53" s="300">
        <f t="shared" si="127"/>
        <v>0.52143949961168767</v>
      </c>
      <c r="CF53" s="298">
        <f t="shared" si="128"/>
        <v>0.4421175411010439</v>
      </c>
      <c r="CG53" s="298">
        <f t="shared" si="129"/>
        <v>0.42824704049286627</v>
      </c>
      <c r="CH53" s="299">
        <f t="shared" si="130"/>
        <v>4339.3568809523813</v>
      </c>
      <c r="CI53" s="295">
        <f t="shared" si="131"/>
        <v>0.29403651799084829</v>
      </c>
      <c r="CJ53" s="301">
        <f t="shared" si="132"/>
        <v>0.24930735478389304</v>
      </c>
      <c r="CK53" s="301">
        <f t="shared" si="133"/>
        <v>0.24148586503358518</v>
      </c>
      <c r="CL53" s="302">
        <f t="shared" si="134"/>
        <v>2446.9365833333331</v>
      </c>
      <c r="CM53" s="300">
        <f t="shared" si="135"/>
        <v>5.6214018492931228E-2</v>
      </c>
      <c r="CN53" s="298">
        <f t="shared" si="136"/>
        <v>4.7662679275373973E-2</v>
      </c>
      <c r="CO53" s="298">
        <f t="shared" si="137"/>
        <v>4.6167363753103492E-2</v>
      </c>
      <c r="CP53" s="299">
        <f t="shared" si="138"/>
        <v>467.80630952380949</v>
      </c>
      <c r="CQ53" s="295">
        <f t="shared" si="139"/>
        <v>3.9953964728465151E-2</v>
      </c>
      <c r="CR53" s="301">
        <f t="shared" si="140"/>
        <v>3.3876123032760969E-2</v>
      </c>
      <c r="CS53" s="301">
        <f t="shared" si="141"/>
        <v>3.2813331486516432E-2</v>
      </c>
      <c r="CT53" s="296">
        <f t="shared" si="142"/>
        <v>332.4920952380952</v>
      </c>
      <c r="CU53" s="300">
        <f t="shared" si="143"/>
        <v>0.96254402425756858</v>
      </c>
      <c r="CV53" s="298">
        <f t="shared" si="144"/>
        <v>0.81612075326700306</v>
      </c>
      <c r="CW53" s="298">
        <f t="shared" si="145"/>
        <v>0.79051669472559094</v>
      </c>
      <c r="CX53" s="299">
        <f t="shared" si="146"/>
        <v>8010.1757500000012</v>
      </c>
      <c r="CY53" s="295">
        <f t="shared" si="147"/>
        <v>1.2030132958025123E-2</v>
      </c>
      <c r="CZ53" s="301">
        <f t="shared" si="148"/>
        <v>9.8800893293402407E-3</v>
      </c>
      <c r="DA53" s="296">
        <f t="shared" si="149"/>
        <v>100.11332142857142</v>
      </c>
      <c r="DB53" s="300">
        <f t="shared" si="150"/>
        <v>4.138179037329247E-3</v>
      </c>
      <c r="DC53" s="299">
        <f t="shared" si="151"/>
        <v>41.931488095238095</v>
      </c>
      <c r="DD53" s="295">
        <f t="shared" si="152"/>
        <v>2.5087323232584051E-2</v>
      </c>
      <c r="DE53" s="301">
        <f t="shared" si="153"/>
        <v>2.0603678732130398E-2</v>
      </c>
      <c r="DF53" s="296">
        <f t="shared" si="154"/>
        <v>208.77369047619047</v>
      </c>
      <c r="DG53" s="300">
        <f t="shared" si="155"/>
        <v>8.5392292958760985E-3</v>
      </c>
      <c r="DH53" s="298">
        <f t="shared" si="156"/>
        <v>7.0130852702416837E-3</v>
      </c>
      <c r="DI53" s="303">
        <f t="shared" si="157"/>
        <v>71.062440476190474</v>
      </c>
      <c r="DJ53" s="295">
        <f t="shared" si="158"/>
        <v>3.8053668648671712E-2</v>
      </c>
      <c r="DK53" s="301">
        <f t="shared" si="159"/>
        <v>3.226490211300348E-2</v>
      </c>
      <c r="DL53" s="301">
        <f t="shared" si="160"/>
        <v>3.125265920749315E-2</v>
      </c>
      <c r="DM53" s="296">
        <f t="shared" si="161"/>
        <v>316.67805952380951</v>
      </c>
      <c r="DN53" s="300">
        <f t="shared" si="162"/>
        <v>1.2037746279025124E-2</v>
      </c>
      <c r="DO53" s="298">
        <f t="shared" si="163"/>
        <v>9.8863419860511347E-3</v>
      </c>
      <c r="DP53" s="299">
        <f t="shared" si="164"/>
        <v>100.17667857142858</v>
      </c>
      <c r="DQ53" s="295">
        <f t="shared" si="165"/>
        <v>4.3958957819612385E-2</v>
      </c>
      <c r="DR53" s="301">
        <f t="shared" si="166"/>
        <v>3.6102546131274692E-2</v>
      </c>
      <c r="DS53" s="296">
        <f t="shared" si="167"/>
        <v>365.82116666666673</v>
      </c>
      <c r="DT53" s="300">
        <f t="shared" si="168"/>
        <v>2.9889636438265154E-2</v>
      </c>
      <c r="DU53" s="299">
        <f t="shared" si="169"/>
        <v>302.86677380952381</v>
      </c>
      <c r="DV53" s="295">
        <f t="shared" si="25"/>
        <v>1.7320235047493138E-3</v>
      </c>
      <c r="DW53" s="296">
        <f t="shared" si="97"/>
        <v>17.550309523809524</v>
      </c>
      <c r="DX53" s="295">
        <f t="shared" si="170"/>
        <v>5.5934019372425732E-5</v>
      </c>
      <c r="DY53" s="301">
        <f t="shared" si="171"/>
        <v>4.7425273933506833E-5</v>
      </c>
      <c r="DZ53" s="301">
        <f t="shared" si="172"/>
        <v>4.5937406500562443E-5</v>
      </c>
      <c r="EA53" s="296">
        <f t="shared" si="173"/>
        <v>0.46547619047619049</v>
      </c>
      <c r="EB53" s="304">
        <f>IFERROR(_xlfn.XLOOKUP(A53,'Pupil on roll 24-25'!E:E,'Pupil on roll 24-25'!R:R),0)</f>
        <v>391</v>
      </c>
      <c r="EC53" s="289">
        <f>IFERROR(_xlfn.XLOOKUP(A53,CFR20242025_BenchMarkDataReport!B:B,CFR20242025_BenchMarkDataReport!AK:AK),0)</f>
        <v>42068.56</v>
      </c>
      <c r="ED53" s="289">
        <f>IFERROR(_xlfn.XLOOKUP(A53,CFR20242025_BenchMarkDataReport!B:B,CFR20242025_BenchMarkDataReport!AL:AL),0)</f>
        <v>244459.23</v>
      </c>
    </row>
    <row r="54" spans="1:134">
      <c r="A54" s="208">
        <v>3501</v>
      </c>
      <c r="B54" s="326">
        <v>10085</v>
      </c>
      <c r="C54" s="208" t="s">
        <v>85</v>
      </c>
      <c r="D54" s="289">
        <f>IFERROR(_xlfn.XLOOKUP($A54,CFR20242025_BenchMarkDataReport!$B:$B,CFR20242025_BenchMarkDataReport!T:T),0)</f>
        <v>1296965.1499999999</v>
      </c>
      <c r="E54" s="289">
        <f>IFERROR(_xlfn.XLOOKUP($A54,CFR20242025_BenchMarkDataReport!$B:$B,CFR20242025_BenchMarkDataReport!U:U),0)</f>
        <v>0</v>
      </c>
      <c r="F54" s="289">
        <f>IFERROR(_xlfn.XLOOKUP($A54,CFR20242025_BenchMarkDataReport!$B:$B,CFR20242025_BenchMarkDataReport!V:V),0)</f>
        <v>92575.360000000001</v>
      </c>
      <c r="G54" s="289">
        <f>IFERROR(_xlfn.XLOOKUP($A54,CFR20242025_BenchMarkDataReport!$B:$B,CFR20242025_BenchMarkDataReport!W:W),0)</f>
        <v>0</v>
      </c>
      <c r="H54" s="289">
        <f>IFERROR(_xlfn.XLOOKUP($A54,CFR20242025_BenchMarkDataReport!$B:$B,CFR20242025_BenchMarkDataReport!X:X),0)</f>
        <v>63950</v>
      </c>
      <c r="I54" s="289">
        <f>IFERROR(_xlfn.XLOOKUP($A54,CFR20242025_BenchMarkDataReport!$B:$B,CFR20242025_BenchMarkDataReport!Y:Y),0)</f>
        <v>0</v>
      </c>
      <c r="J54" s="289">
        <f>IFERROR(_xlfn.XLOOKUP($A54,CFR20242025_BenchMarkDataReport!$B:$B,CFR20242025_BenchMarkDataReport!Z:Z),0)</f>
        <v>52897.86</v>
      </c>
      <c r="K54" s="289">
        <f>IFERROR(_xlfn.XLOOKUP($A54,CFR20242025_BenchMarkDataReport!$B:$B,CFR20242025_BenchMarkDataReport!AA:AA),0)</f>
        <v>3802.53</v>
      </c>
      <c r="L54" s="289">
        <f>IFERROR(_xlfn.XLOOKUP($A54,CFR20242025_BenchMarkDataReport!$B:$B,CFR20242025_BenchMarkDataReport!AB:AB),0)</f>
        <v>12317.06</v>
      </c>
      <c r="M54" s="289">
        <f>IFERROR(_xlfn.XLOOKUP($A54,CFR20242025_BenchMarkDataReport!$B:$B,CFR20242025_BenchMarkDataReport!AC:AC),0)</f>
        <v>2759.07</v>
      </c>
      <c r="N54" s="289">
        <f>IFERROR(_xlfn.XLOOKUP($A54,CFR20242025_BenchMarkDataReport!$B:$B,CFR20242025_BenchMarkDataReport!AD:AD),0)</f>
        <v>0</v>
      </c>
      <c r="O54" s="289">
        <f>IFERROR(_xlfn.XLOOKUP($A54,CFR20242025_BenchMarkDataReport!$B:$B,CFR20242025_BenchMarkDataReport!AE:AE),0)</f>
        <v>0</v>
      </c>
      <c r="P54" s="289">
        <f>IFERROR(_xlfn.XLOOKUP($A54,CFR20242025_BenchMarkDataReport!$B:$B,CFR20242025_BenchMarkDataReport!AF:AF),0)</f>
        <v>28751.83</v>
      </c>
      <c r="Q54" s="289">
        <f>IFERROR(_xlfn.XLOOKUP($A54,CFR20242025_BenchMarkDataReport!$B:$B,CFR20242025_BenchMarkDataReport!AG:AG),0)</f>
        <v>25429.23</v>
      </c>
      <c r="R54" s="289">
        <f>IFERROR(_xlfn.XLOOKUP($A54,CFR20242025_BenchMarkDataReport!$B:$B,CFR20242025_BenchMarkDataReport!AH:AH),0)</f>
        <v>0</v>
      </c>
      <c r="S54" s="289">
        <f>IFERROR(_xlfn.XLOOKUP($A54,CFR20242025_BenchMarkDataReport!$B:$B,CFR20242025_BenchMarkDataReport!AI:AI),0)</f>
        <v>0</v>
      </c>
      <c r="T54" s="289">
        <f>IFERROR(_xlfn.XLOOKUP($A54,CFR20242025_BenchMarkDataReport!$B:$B,CFR20242025_BenchMarkDataReport!AJ:AJ),0)</f>
        <v>0</v>
      </c>
      <c r="U54" s="289">
        <f>INDEX(CFR20242025_BenchMarkDataReport!$B$3:$AM$87,MATCH(A54,CFR20242025_BenchMarkDataReport!$B$3:$B$87),MATCH($U$2,CFR20242025_BenchMarkDataReport!$B$3:$AM$3,0))</f>
        <v>48770.75</v>
      </c>
      <c r="V54" s="289">
        <f>IFERROR(_xlfn.XLOOKUP($A54,CFR20242025_BenchMarkDataReport!$B:$B,CFR20242025_BenchMarkDataReport!AN:AN),0)</f>
        <v>757976.76</v>
      </c>
      <c r="W54" s="289">
        <f>IFERROR(_xlfn.XLOOKUP($A54,CFR20242025_BenchMarkDataReport!$B:$B,CFR20242025_BenchMarkDataReport!AO:AO),0)</f>
        <v>0</v>
      </c>
      <c r="X54" s="289">
        <f>IFERROR(_xlfn.XLOOKUP($A54,CFR20242025_BenchMarkDataReport!$B:$B,CFR20242025_BenchMarkDataReport!AP:AP),0)</f>
        <v>216578.22</v>
      </c>
      <c r="Y54" s="289">
        <f>IFERROR(_xlfn.XLOOKUP($A54,CFR20242025_BenchMarkDataReport!$B:$B,CFR20242025_BenchMarkDataReport!AQ:AQ),0)</f>
        <v>77842.83</v>
      </c>
      <c r="Z54" s="289">
        <f>IFERROR(_xlfn.XLOOKUP($A54,CFR20242025_BenchMarkDataReport!$B:$B,CFR20242025_BenchMarkDataReport!AR:AR),0)</f>
        <v>90572.51</v>
      </c>
      <c r="AA54" s="289">
        <f>IFERROR(_xlfn.XLOOKUP($A54,CFR20242025_BenchMarkDataReport!$B:$B,CFR20242025_BenchMarkDataReport!AS:AS),0)</f>
        <v>0</v>
      </c>
      <c r="AB54" s="289">
        <f>IFERROR(_xlfn.XLOOKUP($A54,CFR20242025_BenchMarkDataReport!$B:$B,CFR20242025_BenchMarkDataReport!AT:AT),0)</f>
        <v>31805.09</v>
      </c>
      <c r="AC54" s="289">
        <f>IFERROR(_xlfn.XLOOKUP($A54,CFR20242025_BenchMarkDataReport!$B:$B,CFR20242025_BenchMarkDataReport!AU:AU),0)</f>
        <v>1042.2</v>
      </c>
      <c r="AD54" s="289">
        <f>IFERROR(_xlfn.XLOOKUP($A54,CFR20242025_BenchMarkDataReport!$B:$B,CFR20242025_BenchMarkDataReport!AV:AV),0)</f>
        <v>2764.4</v>
      </c>
      <c r="AE54" s="289">
        <f>IFERROR(_xlfn.XLOOKUP($A54,CFR20242025_BenchMarkDataReport!$B:$B,CFR20242025_BenchMarkDataReport!AW:AW),0)</f>
        <v>330.34</v>
      </c>
      <c r="AF54" s="289">
        <f>IFERROR(_xlfn.XLOOKUP($A54,CFR20242025_BenchMarkDataReport!$B:$B,CFR20242025_BenchMarkDataReport!AX:AX),0)</f>
        <v>0</v>
      </c>
      <c r="AG54" s="289">
        <f>IFERROR(_xlfn.XLOOKUP($A54,CFR20242025_BenchMarkDataReport!$B:$B,CFR20242025_BenchMarkDataReport!AY:AY),0)</f>
        <v>20299.97</v>
      </c>
      <c r="AH54" s="289">
        <f>IFERROR(_xlfn.XLOOKUP($A54,CFR20242025_BenchMarkDataReport!$B:$B,CFR20242025_BenchMarkDataReport!AZ:AZ),0)</f>
        <v>1427.92</v>
      </c>
      <c r="AI54" s="289">
        <f>IFERROR(_xlfn.XLOOKUP($A54,CFR20242025_BenchMarkDataReport!$B:$B,CFR20242025_BenchMarkDataReport!BA:BA),0)</f>
        <v>2943.29</v>
      </c>
      <c r="AJ54" s="289">
        <f>IFERROR(_xlfn.XLOOKUP($A54,CFR20242025_BenchMarkDataReport!$B:$B,CFR20242025_BenchMarkDataReport!BB:BB),0)</f>
        <v>5328.08</v>
      </c>
      <c r="AK54" s="289">
        <f>IFERROR(_xlfn.XLOOKUP($A54,CFR20242025_BenchMarkDataReport!$B:$B,CFR20242025_BenchMarkDataReport!BC:BC),0)</f>
        <v>48214.99</v>
      </c>
      <c r="AL54" s="289">
        <f>IFERROR(_xlfn.XLOOKUP($A54,CFR20242025_BenchMarkDataReport!$B:$B,CFR20242025_BenchMarkDataReport!BD:BD),0)</f>
        <v>4555.2</v>
      </c>
      <c r="AM54" s="289">
        <f>IFERROR(_xlfn.XLOOKUP($A54,CFR20242025_BenchMarkDataReport!$B:$B,CFR20242025_BenchMarkDataReport!BE:BE),0)</f>
        <v>9060.24</v>
      </c>
      <c r="AN54" s="289">
        <f>IFERROR(_xlfn.XLOOKUP($A54,CFR20242025_BenchMarkDataReport!$B:$B,CFR20242025_BenchMarkDataReport!BF:BF),0)</f>
        <v>43527.4</v>
      </c>
      <c r="AO54" s="289">
        <f>IFERROR(_xlfn.XLOOKUP($A54,CFR20242025_BenchMarkDataReport!$B:$B,CFR20242025_BenchMarkDataReport!BN:BN),0)</f>
        <v>16075</v>
      </c>
      <c r="AP54" s="289">
        <f>IFERROR(_xlfn.XLOOKUP($A54,CFR20242025_BenchMarkDataReport!$B:$B,CFR20242025_BenchMarkDataReport!BO:BO),0)</f>
        <v>0</v>
      </c>
      <c r="AQ54" s="289">
        <f>IFERROR(_xlfn.XLOOKUP($A54,CFR20242025_BenchMarkDataReport!$B:$B,CFR20242025_BenchMarkDataReport!BP:BP),0)</f>
        <v>13624.4</v>
      </c>
      <c r="AR54" s="289">
        <f>IFERROR(_xlfn.XLOOKUP($A54,CFR20242025_BenchMarkDataReport!$B:$B,CFR20242025_BenchMarkDataReport!BQ:BQ),0)</f>
        <v>8587.11</v>
      </c>
      <c r="AS54" s="289">
        <f>IFERROR(_xlfn.XLOOKUP($A54,CFR20242025_BenchMarkDataReport!$B:$B,CFR20242025_BenchMarkDataReport!BR:BR),0)</f>
        <v>4327.84</v>
      </c>
      <c r="AT54" s="289">
        <f>IFERROR(_xlfn.XLOOKUP($A54,CFR20242025_BenchMarkDataReport!$B:$B,CFR20242025_BenchMarkDataReport!BS:BS),0)</f>
        <v>73699.95</v>
      </c>
      <c r="AU54" s="289">
        <f>IFERROR(_xlfn.XLOOKUP($A54,CFR20242025_BenchMarkDataReport!$B:$B,CFR20242025_BenchMarkDataReport!BT:BT),0)</f>
        <v>63204.94</v>
      </c>
      <c r="AV54" s="289">
        <f>IFERROR(_xlfn.XLOOKUP($A54,CFR20242025_BenchMarkDataReport!$B:$B,CFR20242025_BenchMarkDataReport!BU:BU),0)</f>
        <v>162498.47</v>
      </c>
      <c r="AW54" s="289">
        <f>IFERROR(_xlfn.XLOOKUP($A54,CFR20242025_BenchMarkDataReport!$B:$B,CFR20242025_BenchMarkDataReport!BV:BV),0)</f>
        <v>40000.33</v>
      </c>
      <c r="AX54" s="289">
        <f>IFERROR(_xlfn.XLOOKUP($A54,CFR20242025_BenchMarkDataReport!$B:$B,CFR20242025_BenchMarkDataReport!BW:BW),0)</f>
        <v>0</v>
      </c>
      <c r="AY54" s="289">
        <f>IFERROR(_xlfn.XLOOKUP($A54,CFR20242025_BenchMarkDataReport!$B:$B,CFR20242025_BenchMarkDataReport!BX:BX),0)</f>
        <v>0</v>
      </c>
      <c r="AZ54" s="289">
        <f>IFERROR(_xlfn.XLOOKUP($A54,CFR20242025_BenchMarkDataReport!$B:$B,CFR20242025_BenchMarkDataReport!BY:BY),0)</f>
        <v>0</v>
      </c>
      <c r="BA54" s="289">
        <f>IFERROR(_xlfn.XLOOKUP($A54,CFR20242025_BenchMarkDataReport!$B:$B,CFR20242025_BenchMarkDataReport!BZ:BZ),0)</f>
        <v>0</v>
      </c>
      <c r="BB54" s="289">
        <f>IFERROR(_xlfn.XLOOKUP($A54,CFR20242025_BenchMarkDataReport!$B:$B,CFR20242025_BenchMarkDataReport!CA:CA),0)</f>
        <v>0</v>
      </c>
      <c r="BC54" s="290">
        <f t="shared" si="106"/>
        <v>1628218.8400000003</v>
      </c>
      <c r="BD54" s="291">
        <f t="shared" si="104"/>
        <v>1696287.48</v>
      </c>
      <c r="BE54" s="327">
        <f t="shared" si="105"/>
        <v>-68068.639999999665</v>
      </c>
      <c r="BF54" s="289">
        <f>IFERROR(_xlfn.XLOOKUP(A54,CFR20242025_BenchMarkDataReport!B:B,CFR20242025_BenchMarkDataReport!Q:Q),0)</f>
        <v>-194607</v>
      </c>
      <c r="BG54" s="290">
        <f t="shared" si="0"/>
        <v>-262675.63999999966</v>
      </c>
      <c r="BH54" s="292">
        <f>_xlfn.XLOOKUP(A54,'Pupil on roll 24-25'!E:E,'Pupil on roll 24-25'!I:I)</f>
        <v>199</v>
      </c>
      <c r="BI54" s="291">
        <f t="shared" si="1"/>
        <v>1389540.51</v>
      </c>
      <c r="BJ54" t="s">
        <v>190</v>
      </c>
      <c r="BK54" s="293">
        <f t="shared" si="107"/>
        <v>0.79655456510993305</v>
      </c>
      <c r="BL54" s="294">
        <f t="shared" si="108"/>
        <v>6517.4128140703515</v>
      </c>
      <c r="BM54" s="295">
        <f t="shared" si="109"/>
        <v>0</v>
      </c>
      <c r="BN54" s="296">
        <f t="shared" si="110"/>
        <v>0</v>
      </c>
      <c r="BO54" s="293">
        <f t="shared" si="111"/>
        <v>5.6856828901451592E-2</v>
      </c>
      <c r="BP54" s="294">
        <f t="shared" si="112"/>
        <v>465.20281407035174</v>
      </c>
      <c r="BQ54" s="295">
        <f t="shared" si="113"/>
        <v>0</v>
      </c>
      <c r="BR54" s="296">
        <f t="shared" si="114"/>
        <v>0</v>
      </c>
      <c r="BS54" s="293">
        <f t="shared" si="115"/>
        <v>3.9276047192771696E-2</v>
      </c>
      <c r="BT54" s="294">
        <f t="shared" si="116"/>
        <v>321.356783919598</v>
      </c>
      <c r="BU54" s="295">
        <f t="shared" si="117"/>
        <v>0</v>
      </c>
      <c r="BV54" s="296">
        <f t="shared" si="118"/>
        <v>0</v>
      </c>
      <c r="BW54" s="293">
        <f t="shared" si="119"/>
        <v>3.2488175852331984E-2</v>
      </c>
      <c r="BX54" s="294">
        <f t="shared" si="120"/>
        <v>265.81839195979899</v>
      </c>
      <c r="BY54" s="295">
        <f t="shared" si="121"/>
        <v>9.9001372567338649E-3</v>
      </c>
      <c r="BZ54" s="297">
        <f t="shared" si="122"/>
        <v>81.00296482412061</v>
      </c>
      <c r="CA54" s="298">
        <f t="shared" si="123"/>
        <v>1.7658455542745099E-2</v>
      </c>
      <c r="CB54" s="299">
        <f t="shared" si="124"/>
        <v>144.48155778894474</v>
      </c>
      <c r="CC54" s="295">
        <f t="shared" si="125"/>
        <v>1.5617820759278277E-2</v>
      </c>
      <c r="CD54" s="296">
        <f t="shared" si="126"/>
        <v>127.78507537688442</v>
      </c>
      <c r="CE54" s="300">
        <f t="shared" si="127"/>
        <v>0.59097355859024214</v>
      </c>
      <c r="CF54" s="298">
        <f t="shared" si="128"/>
        <v>0.50434356846036732</v>
      </c>
      <c r="CG54" s="298">
        <f t="shared" si="129"/>
        <v>0.4841052649872768</v>
      </c>
      <c r="CH54" s="299">
        <f t="shared" si="130"/>
        <v>4126.5412060301505</v>
      </c>
      <c r="CI54" s="295">
        <f t="shared" si="131"/>
        <v>0.15586319250239059</v>
      </c>
      <c r="CJ54" s="301">
        <f t="shared" si="132"/>
        <v>0.13301542438852995</v>
      </c>
      <c r="CK54" s="301">
        <f t="shared" si="133"/>
        <v>0.12767778018381648</v>
      </c>
      <c r="CL54" s="302">
        <f t="shared" si="134"/>
        <v>1088.3327638190956</v>
      </c>
      <c r="CM54" s="300">
        <f t="shared" si="135"/>
        <v>5.6020554593259032E-2</v>
      </c>
      <c r="CN54" s="298">
        <f t="shared" si="136"/>
        <v>4.7808579588724073E-2</v>
      </c>
      <c r="CO54" s="298">
        <f t="shared" si="137"/>
        <v>4.589011645596771E-2</v>
      </c>
      <c r="CP54" s="299">
        <f t="shared" si="138"/>
        <v>391.17</v>
      </c>
      <c r="CQ54" s="295">
        <f t="shared" si="139"/>
        <v>6.5181626118982303E-2</v>
      </c>
      <c r="CR54" s="301">
        <f t="shared" si="140"/>
        <v>5.5626742410129576E-2</v>
      </c>
      <c r="CS54" s="301">
        <f t="shared" si="141"/>
        <v>5.3394551965920301E-2</v>
      </c>
      <c r="CT54" s="296">
        <f t="shared" si="142"/>
        <v>455.1382412060301</v>
      </c>
      <c r="CU54" s="300">
        <f t="shared" si="143"/>
        <v>0.8454416417121946</v>
      </c>
      <c r="CV54" s="298">
        <f t="shared" si="144"/>
        <v>0.72150953000887763</v>
      </c>
      <c r="CW54" s="298">
        <f t="shared" si="145"/>
        <v>0.69255678878205251</v>
      </c>
      <c r="CX54" s="299">
        <f t="shared" si="146"/>
        <v>5903.3940201005034</v>
      </c>
      <c r="CY54" s="295">
        <f t="shared" si="147"/>
        <v>1.4609124278068007E-2</v>
      </c>
      <c r="CZ54" s="301">
        <f t="shared" si="148"/>
        <v>1.1967293421277862E-2</v>
      </c>
      <c r="DA54" s="296">
        <f t="shared" si="149"/>
        <v>102.00989949748744</v>
      </c>
      <c r="DB54" s="300">
        <f t="shared" si="150"/>
        <v>3.141024185358015E-3</v>
      </c>
      <c r="DC54" s="299">
        <f t="shared" si="151"/>
        <v>26.77427135678392</v>
      </c>
      <c r="DD54" s="295">
        <f t="shared" si="152"/>
        <v>3.4698513395626011E-2</v>
      </c>
      <c r="DE54" s="301">
        <f t="shared" si="153"/>
        <v>2.8423831790587759E-2</v>
      </c>
      <c r="DF54" s="296">
        <f t="shared" si="154"/>
        <v>242.28638190954774</v>
      </c>
      <c r="DG54" s="300">
        <f t="shared" si="155"/>
        <v>6.5203136826863725E-3</v>
      </c>
      <c r="DH54" s="298">
        <f t="shared" si="156"/>
        <v>5.3412172799860548E-3</v>
      </c>
      <c r="DI54" s="303">
        <f t="shared" si="157"/>
        <v>45.52884422110553</v>
      </c>
      <c r="DJ54" s="295">
        <f t="shared" si="158"/>
        <v>3.1325031322764388E-2</v>
      </c>
      <c r="DK54" s="301">
        <f t="shared" si="159"/>
        <v>2.6733138648610644E-2</v>
      </c>
      <c r="DL54" s="301">
        <f t="shared" si="160"/>
        <v>2.5660391008722177E-2</v>
      </c>
      <c r="DM54" s="296">
        <f t="shared" si="161"/>
        <v>218.73065326633167</v>
      </c>
      <c r="DN54" s="300">
        <f t="shared" si="162"/>
        <v>9.8049678306967817E-3</v>
      </c>
      <c r="DO54" s="298">
        <f t="shared" si="163"/>
        <v>8.0318932731850388E-3</v>
      </c>
      <c r="DP54" s="299">
        <f t="shared" si="164"/>
        <v>68.464321608040194</v>
      </c>
      <c r="DQ54" s="295">
        <f t="shared" si="165"/>
        <v>0.11694403209590486</v>
      </c>
      <c r="DR54" s="301">
        <f t="shared" si="166"/>
        <v>9.579653915738387E-2</v>
      </c>
      <c r="DS54" s="296">
        <f t="shared" si="167"/>
        <v>816.57522613065328</v>
      </c>
      <c r="DT54" s="300">
        <f t="shared" si="168"/>
        <v>4.3447794591987436E-2</v>
      </c>
      <c r="DU54" s="299">
        <f t="shared" si="169"/>
        <v>370.35150753768841</v>
      </c>
      <c r="DV54" s="295">
        <f t="shared" si="25"/>
        <v>1.7351363107390263E-3</v>
      </c>
      <c r="DW54" s="296">
        <f t="shared" si="97"/>
        <v>14.790402010050251</v>
      </c>
      <c r="DX54" s="295">
        <f t="shared" si="170"/>
        <v>2.7347169605008492E-5</v>
      </c>
      <c r="DY54" s="301">
        <f t="shared" si="171"/>
        <v>2.3338386134876067E-5</v>
      </c>
      <c r="DZ54" s="301">
        <f t="shared" si="172"/>
        <v>2.2401863155884402E-5</v>
      </c>
      <c r="EA54" s="296">
        <f t="shared" si="173"/>
        <v>0.19095477386934673</v>
      </c>
      <c r="EB54" s="304">
        <f>IFERROR(_xlfn.XLOOKUP(A54,'Pupil on roll 24-25'!E:E,'Pupil on roll 24-25'!R:R),0)</f>
        <v>38</v>
      </c>
      <c r="EC54" s="289">
        <f>IFERROR(_xlfn.XLOOKUP(A54,CFR20242025_BenchMarkDataReport!B:B,CFR20242025_BenchMarkDataReport!AK:AK),0)</f>
        <v>3763.75</v>
      </c>
      <c r="ED54" s="289">
        <f>IFERROR(_xlfn.XLOOKUP(A54,CFR20242025_BenchMarkDataReport!B:B,CFR20242025_BenchMarkDataReport!AL:AL),0)</f>
        <v>45007</v>
      </c>
    </row>
    <row r="55" spans="1:134">
      <c r="A55" s="208">
        <v>2078</v>
      </c>
      <c r="B55" s="326">
        <v>10129</v>
      </c>
      <c r="C55" s="208" t="s">
        <v>86</v>
      </c>
      <c r="D55" s="289">
        <f>IFERROR(_xlfn.XLOOKUP($A55,CFR20242025_BenchMarkDataReport!$B:$B,CFR20242025_BenchMarkDataReport!T:T),0)</f>
        <v>1807042.92</v>
      </c>
      <c r="E55" s="289">
        <f>IFERROR(_xlfn.XLOOKUP($A55,CFR20242025_BenchMarkDataReport!$B:$B,CFR20242025_BenchMarkDataReport!U:U),0)</f>
        <v>0</v>
      </c>
      <c r="F55" s="289">
        <f>IFERROR(_xlfn.XLOOKUP($A55,CFR20242025_BenchMarkDataReport!$B:$B,CFR20242025_BenchMarkDataReport!V:V),0)</f>
        <v>65673.95</v>
      </c>
      <c r="G55" s="289">
        <f>IFERROR(_xlfn.XLOOKUP($A55,CFR20242025_BenchMarkDataReport!$B:$B,CFR20242025_BenchMarkDataReport!W:W),0)</f>
        <v>0</v>
      </c>
      <c r="H55" s="289">
        <f>IFERROR(_xlfn.XLOOKUP($A55,CFR20242025_BenchMarkDataReport!$B:$B,CFR20242025_BenchMarkDataReport!X:X),0)</f>
        <v>24280</v>
      </c>
      <c r="I55" s="289">
        <f>IFERROR(_xlfn.XLOOKUP($A55,CFR20242025_BenchMarkDataReport!$B:$B,CFR20242025_BenchMarkDataReport!Y:Y),0)</f>
        <v>62552.78</v>
      </c>
      <c r="J55" s="289">
        <f>IFERROR(_xlfn.XLOOKUP($A55,CFR20242025_BenchMarkDataReport!$B:$B,CFR20242025_BenchMarkDataReport!Z:Z),0)</f>
        <v>138665.9</v>
      </c>
      <c r="K55" s="289">
        <f>IFERROR(_xlfn.XLOOKUP($A55,CFR20242025_BenchMarkDataReport!$B:$B,CFR20242025_BenchMarkDataReport!AA:AA),0)</f>
        <v>17201.849999999999</v>
      </c>
      <c r="L55" s="289">
        <f>IFERROR(_xlfn.XLOOKUP($A55,CFR20242025_BenchMarkDataReport!$B:$B,CFR20242025_BenchMarkDataReport!AB:AB),0)</f>
        <v>0</v>
      </c>
      <c r="M55" s="289">
        <f>IFERROR(_xlfn.XLOOKUP($A55,CFR20242025_BenchMarkDataReport!$B:$B,CFR20242025_BenchMarkDataReport!AC:AC),0)</f>
        <v>35111.56</v>
      </c>
      <c r="N55" s="289">
        <f>IFERROR(_xlfn.XLOOKUP($A55,CFR20242025_BenchMarkDataReport!$B:$B,CFR20242025_BenchMarkDataReport!AD:AD),0)</f>
        <v>0</v>
      </c>
      <c r="O55" s="289">
        <f>IFERROR(_xlfn.XLOOKUP($A55,CFR20242025_BenchMarkDataReport!$B:$B,CFR20242025_BenchMarkDataReport!AE:AE),0)</f>
        <v>1400</v>
      </c>
      <c r="P55" s="289">
        <f>IFERROR(_xlfn.XLOOKUP($A55,CFR20242025_BenchMarkDataReport!$B:$B,CFR20242025_BenchMarkDataReport!AF:AF),0)</f>
        <v>20939.53</v>
      </c>
      <c r="Q55" s="289">
        <f>IFERROR(_xlfn.XLOOKUP($A55,CFR20242025_BenchMarkDataReport!$B:$B,CFR20242025_BenchMarkDataReport!AG:AG),0)</f>
        <v>233015.1</v>
      </c>
      <c r="R55" s="289">
        <f>IFERROR(_xlfn.XLOOKUP($A55,CFR20242025_BenchMarkDataReport!$B:$B,CFR20242025_BenchMarkDataReport!AH:AH),0)</f>
        <v>0</v>
      </c>
      <c r="S55" s="289">
        <f>IFERROR(_xlfn.XLOOKUP($A55,CFR20242025_BenchMarkDataReport!$B:$B,CFR20242025_BenchMarkDataReport!AI:AI),0)</f>
        <v>0</v>
      </c>
      <c r="T55" s="289">
        <f>IFERROR(_xlfn.XLOOKUP($A55,CFR20242025_BenchMarkDataReport!$B:$B,CFR20242025_BenchMarkDataReport!AJ:AJ),0)</f>
        <v>0</v>
      </c>
      <c r="U55" s="289">
        <f>INDEX(CFR20242025_BenchMarkDataReport!$B$3:$AM$87,MATCH(A55,CFR20242025_BenchMarkDataReport!$B$3:$B$87),MATCH($U$2,CFR20242025_BenchMarkDataReport!$B$3:$AM$3,0))</f>
        <v>46256.83</v>
      </c>
      <c r="V55" s="289">
        <f>IFERROR(_xlfn.XLOOKUP($A55,CFR20242025_BenchMarkDataReport!$B:$B,CFR20242025_BenchMarkDataReport!AN:AN),0)</f>
        <v>1163642.6299999999</v>
      </c>
      <c r="W55" s="289">
        <f>IFERROR(_xlfn.XLOOKUP($A55,CFR20242025_BenchMarkDataReport!$B:$B,CFR20242025_BenchMarkDataReport!AO:AO),0)</f>
        <v>0</v>
      </c>
      <c r="X55" s="289">
        <f>IFERROR(_xlfn.XLOOKUP($A55,CFR20242025_BenchMarkDataReport!$B:$B,CFR20242025_BenchMarkDataReport!AP:AP),0)</f>
        <v>293666.90000000002</v>
      </c>
      <c r="Y55" s="289">
        <f>IFERROR(_xlfn.XLOOKUP($A55,CFR20242025_BenchMarkDataReport!$B:$B,CFR20242025_BenchMarkDataReport!AQ:AQ),0)</f>
        <v>35331.75</v>
      </c>
      <c r="Z55" s="289">
        <f>IFERROR(_xlfn.XLOOKUP($A55,CFR20242025_BenchMarkDataReport!$B:$B,CFR20242025_BenchMarkDataReport!AR:AR),0)</f>
        <v>181693.57</v>
      </c>
      <c r="AA55" s="289">
        <f>IFERROR(_xlfn.XLOOKUP($A55,CFR20242025_BenchMarkDataReport!$B:$B,CFR20242025_BenchMarkDataReport!AS:AS),0)</f>
        <v>0</v>
      </c>
      <c r="AB55" s="289">
        <f>IFERROR(_xlfn.XLOOKUP($A55,CFR20242025_BenchMarkDataReport!$B:$B,CFR20242025_BenchMarkDataReport!AT:AT),0)</f>
        <v>37261.379999999997</v>
      </c>
      <c r="AC55" s="289">
        <f>IFERROR(_xlfn.XLOOKUP($A55,CFR20242025_BenchMarkDataReport!$B:$B,CFR20242025_BenchMarkDataReport!AU:AU),0)</f>
        <v>5282.39</v>
      </c>
      <c r="AD55" s="289">
        <f>IFERROR(_xlfn.XLOOKUP($A55,CFR20242025_BenchMarkDataReport!$B:$B,CFR20242025_BenchMarkDataReport!AV:AV),0)</f>
        <v>6578.72</v>
      </c>
      <c r="AE55" s="289">
        <f>IFERROR(_xlfn.XLOOKUP($A55,CFR20242025_BenchMarkDataReport!$B:$B,CFR20242025_BenchMarkDataReport!AW:AW),0)</f>
        <v>4399.6099999999997</v>
      </c>
      <c r="AF55" s="289">
        <f>IFERROR(_xlfn.XLOOKUP($A55,CFR20242025_BenchMarkDataReport!$B:$B,CFR20242025_BenchMarkDataReport!AX:AX),0)</f>
        <v>0</v>
      </c>
      <c r="AG55" s="289">
        <f>IFERROR(_xlfn.XLOOKUP($A55,CFR20242025_BenchMarkDataReport!$B:$B,CFR20242025_BenchMarkDataReport!AY:AY),0)</f>
        <v>34230.47</v>
      </c>
      <c r="AH55" s="289">
        <f>IFERROR(_xlfn.XLOOKUP($A55,CFR20242025_BenchMarkDataReport!$B:$B,CFR20242025_BenchMarkDataReport!AZ:AZ),0)</f>
        <v>0</v>
      </c>
      <c r="AI55" s="289">
        <f>IFERROR(_xlfn.XLOOKUP($A55,CFR20242025_BenchMarkDataReport!$B:$B,CFR20242025_BenchMarkDataReport!BA:BA),0)</f>
        <v>46705.56</v>
      </c>
      <c r="AJ55" s="289">
        <f>IFERROR(_xlfn.XLOOKUP($A55,CFR20242025_BenchMarkDataReport!$B:$B,CFR20242025_BenchMarkDataReport!BB:BB),0)</f>
        <v>2860.28</v>
      </c>
      <c r="AK55" s="289">
        <f>IFERROR(_xlfn.XLOOKUP($A55,CFR20242025_BenchMarkDataReport!$B:$B,CFR20242025_BenchMarkDataReport!BC:BC),0)</f>
        <v>44516.87</v>
      </c>
      <c r="AL55" s="289">
        <f>IFERROR(_xlfn.XLOOKUP($A55,CFR20242025_BenchMarkDataReport!$B:$B,CFR20242025_BenchMarkDataReport!BD:BD),0)</f>
        <v>23102.400000000001</v>
      </c>
      <c r="AM55" s="289">
        <f>IFERROR(_xlfn.XLOOKUP($A55,CFR20242025_BenchMarkDataReport!$B:$B,CFR20242025_BenchMarkDataReport!BE:BE),0)</f>
        <v>72093.94</v>
      </c>
      <c r="AN55" s="289">
        <f>IFERROR(_xlfn.XLOOKUP($A55,CFR20242025_BenchMarkDataReport!$B:$B,CFR20242025_BenchMarkDataReport!BF:BF),0)</f>
        <v>119712.43</v>
      </c>
      <c r="AO55" s="289">
        <f>IFERROR(_xlfn.XLOOKUP($A55,CFR20242025_BenchMarkDataReport!$B:$B,CFR20242025_BenchMarkDataReport!BN:BN),0)</f>
        <v>8914.67</v>
      </c>
      <c r="AP55" s="289">
        <f>IFERROR(_xlfn.XLOOKUP($A55,CFR20242025_BenchMarkDataReport!$B:$B,CFR20242025_BenchMarkDataReport!BO:BO),0)</f>
        <v>0</v>
      </c>
      <c r="AQ55" s="289">
        <f>IFERROR(_xlfn.XLOOKUP($A55,CFR20242025_BenchMarkDataReport!$B:$B,CFR20242025_BenchMarkDataReport!BP:BP),0)</f>
        <v>16021.73</v>
      </c>
      <c r="AR55" s="289">
        <f>IFERROR(_xlfn.XLOOKUP($A55,CFR20242025_BenchMarkDataReport!$B:$B,CFR20242025_BenchMarkDataReport!BQ:BQ),0)</f>
        <v>5656.84</v>
      </c>
      <c r="AS55" s="289">
        <f>IFERROR(_xlfn.XLOOKUP($A55,CFR20242025_BenchMarkDataReport!$B:$B,CFR20242025_BenchMarkDataReport!BR:BR),0)</f>
        <v>17991.45</v>
      </c>
      <c r="AT55" s="289">
        <f>IFERROR(_xlfn.XLOOKUP($A55,CFR20242025_BenchMarkDataReport!$B:$B,CFR20242025_BenchMarkDataReport!BS:BS),0)</f>
        <v>127234.41</v>
      </c>
      <c r="AU55" s="289">
        <f>IFERROR(_xlfn.XLOOKUP($A55,CFR20242025_BenchMarkDataReport!$B:$B,CFR20242025_BenchMarkDataReport!BT:BT),0)</f>
        <v>55569.88</v>
      </c>
      <c r="AV55" s="289">
        <f>IFERROR(_xlfn.XLOOKUP($A55,CFR20242025_BenchMarkDataReport!$B:$B,CFR20242025_BenchMarkDataReport!BU:BU),0)</f>
        <v>73707.86</v>
      </c>
      <c r="AW55" s="289">
        <f>IFERROR(_xlfn.XLOOKUP($A55,CFR20242025_BenchMarkDataReport!$B:$B,CFR20242025_BenchMarkDataReport!BV:BV),0)</f>
        <v>11032.51</v>
      </c>
      <c r="AX55" s="289">
        <f>IFERROR(_xlfn.XLOOKUP($A55,CFR20242025_BenchMarkDataReport!$B:$B,CFR20242025_BenchMarkDataReport!BW:BW),0)</f>
        <v>0</v>
      </c>
      <c r="AY55" s="289">
        <f>IFERROR(_xlfn.XLOOKUP($A55,CFR20242025_BenchMarkDataReport!$B:$B,CFR20242025_BenchMarkDataReport!BX:BX),0)</f>
        <v>0</v>
      </c>
      <c r="AZ55" s="289">
        <f>IFERROR(_xlfn.XLOOKUP($A55,CFR20242025_BenchMarkDataReport!$B:$B,CFR20242025_BenchMarkDataReport!BY:BY),0)</f>
        <v>0</v>
      </c>
      <c r="BA55" s="289">
        <f>IFERROR(_xlfn.XLOOKUP($A55,CFR20242025_BenchMarkDataReport!$B:$B,CFR20242025_BenchMarkDataReport!BZ:BZ),0)</f>
        <v>0</v>
      </c>
      <c r="BB55" s="289">
        <f>IFERROR(_xlfn.XLOOKUP($A55,CFR20242025_BenchMarkDataReport!$B:$B,CFR20242025_BenchMarkDataReport!CA:CA),0)</f>
        <v>0</v>
      </c>
      <c r="BC55" s="290">
        <f t="shared" si="106"/>
        <v>2452140.42</v>
      </c>
      <c r="BD55" s="291">
        <f t="shared" si="104"/>
        <v>2387208.2499999995</v>
      </c>
      <c r="BE55" s="327">
        <f t="shared" si="105"/>
        <v>64932.170000000391</v>
      </c>
      <c r="BF55" s="289">
        <f>IFERROR(_xlfn.XLOOKUP(A55,CFR20242025_BenchMarkDataReport!B:B,CFR20242025_BenchMarkDataReport!Q:Q),0)</f>
        <v>-256243.17</v>
      </c>
      <c r="BG55" s="290">
        <f t="shared" si="0"/>
        <v>-191310.99999999962</v>
      </c>
      <c r="BH55" s="292">
        <f>_xlfn.XLOOKUP(A55,'Pupil on roll 24-25'!E:E,'Pupil on roll 24-25'!I:I)</f>
        <v>356</v>
      </c>
      <c r="BI55" s="291">
        <f t="shared" si="1"/>
        <v>1872716.8699999999</v>
      </c>
      <c r="BJ55" t="s">
        <v>190</v>
      </c>
      <c r="BK55" s="293">
        <f t="shared" si="107"/>
        <v>0.73692473125172819</v>
      </c>
      <c r="BL55" s="294">
        <f t="shared" si="108"/>
        <v>5075.9632584269657</v>
      </c>
      <c r="BM55" s="295">
        <f t="shared" si="109"/>
        <v>0</v>
      </c>
      <c r="BN55" s="296">
        <f t="shared" si="110"/>
        <v>0</v>
      </c>
      <c r="BO55" s="293">
        <f t="shared" si="111"/>
        <v>2.6782295770810711E-2</v>
      </c>
      <c r="BP55" s="294">
        <f t="shared" si="112"/>
        <v>184.47738764044942</v>
      </c>
      <c r="BQ55" s="295">
        <f t="shared" si="113"/>
        <v>0</v>
      </c>
      <c r="BR55" s="296">
        <f t="shared" si="114"/>
        <v>0</v>
      </c>
      <c r="BS55" s="293">
        <f t="shared" si="115"/>
        <v>9.9015536801925885E-3</v>
      </c>
      <c r="BT55" s="294">
        <f t="shared" si="116"/>
        <v>68.202247191011239</v>
      </c>
      <c r="BU55" s="295">
        <f t="shared" si="117"/>
        <v>2.5509460832589679E-2</v>
      </c>
      <c r="BV55" s="296">
        <f t="shared" si="118"/>
        <v>175.71005617977528</v>
      </c>
      <c r="BW55" s="293">
        <f t="shared" si="119"/>
        <v>5.6548923083287378E-2</v>
      </c>
      <c r="BX55" s="294">
        <f t="shared" si="120"/>
        <v>389.51095505617974</v>
      </c>
      <c r="BY55" s="295">
        <f t="shared" si="121"/>
        <v>7.0150346447125566E-3</v>
      </c>
      <c r="BZ55" s="297">
        <f t="shared" si="122"/>
        <v>48.319803370786509</v>
      </c>
      <c r="CA55" s="298">
        <f t="shared" si="123"/>
        <v>8.5392866693988108E-3</v>
      </c>
      <c r="CB55" s="299">
        <f t="shared" si="124"/>
        <v>58.818904494382018</v>
      </c>
      <c r="CC55" s="295">
        <f t="shared" si="125"/>
        <v>9.5025186200388967E-2</v>
      </c>
      <c r="CD55" s="296">
        <f t="shared" si="126"/>
        <v>654.53679775280898</v>
      </c>
      <c r="CE55" s="300">
        <f t="shared" si="127"/>
        <v>0.65103942273986126</v>
      </c>
      <c r="CF55" s="298">
        <f t="shared" si="128"/>
        <v>0.49720338201512937</v>
      </c>
      <c r="CG55" s="298">
        <f t="shared" si="129"/>
        <v>0.51072733600011644</v>
      </c>
      <c r="CH55" s="299">
        <f t="shared" si="130"/>
        <v>3424.7542415730331</v>
      </c>
      <c r="CI55" s="295">
        <f t="shared" si="131"/>
        <v>0.15681329340510508</v>
      </c>
      <c r="CJ55" s="301">
        <f t="shared" si="132"/>
        <v>0.11975941410402592</v>
      </c>
      <c r="CK55" s="301">
        <f t="shared" si="133"/>
        <v>0.12301687546530558</v>
      </c>
      <c r="CL55" s="302">
        <f t="shared" si="134"/>
        <v>824.90702247191018</v>
      </c>
      <c r="CM55" s="300">
        <f t="shared" si="135"/>
        <v>1.8866573247668775E-2</v>
      </c>
      <c r="CN55" s="298">
        <f t="shared" si="136"/>
        <v>1.4408534565080088E-2</v>
      </c>
      <c r="CO55" s="298">
        <f t="shared" si="137"/>
        <v>1.4800447342622917E-2</v>
      </c>
      <c r="CP55" s="299">
        <f t="shared" si="138"/>
        <v>99.24648876404494</v>
      </c>
      <c r="CQ55" s="295">
        <f t="shared" si="139"/>
        <v>9.7021377289136082E-2</v>
      </c>
      <c r="CR55" s="301">
        <f t="shared" si="140"/>
        <v>7.4095907607118192E-2</v>
      </c>
      <c r="CS55" s="301">
        <f t="shared" si="141"/>
        <v>7.61113195717215E-2</v>
      </c>
      <c r="CT55" s="296">
        <f t="shared" si="142"/>
        <v>510.37519662921352</v>
      </c>
      <c r="CU55" s="300">
        <f t="shared" si="143"/>
        <v>0.91396422887993733</v>
      </c>
      <c r="CV55" s="298">
        <f t="shared" si="144"/>
        <v>0.69800090404284421</v>
      </c>
      <c r="CW55" s="298">
        <f t="shared" si="145"/>
        <v>0.71698655950941859</v>
      </c>
      <c r="CX55" s="299">
        <f t="shared" si="146"/>
        <v>4807.8545786516843</v>
      </c>
      <c r="CY55" s="295">
        <f t="shared" si="147"/>
        <v>1.8278507845128775E-2</v>
      </c>
      <c r="CZ55" s="301">
        <f t="shared" si="148"/>
        <v>1.4339121859184262E-2</v>
      </c>
      <c r="DA55" s="296">
        <f t="shared" si="149"/>
        <v>96.153005617977527</v>
      </c>
      <c r="DB55" s="300">
        <f t="shared" si="150"/>
        <v>1.1981694517015852E-3</v>
      </c>
      <c r="DC55" s="299">
        <f t="shared" si="151"/>
        <v>8.0344943820224728</v>
      </c>
      <c r="DD55" s="295">
        <f t="shared" si="152"/>
        <v>2.3771276220734855E-2</v>
      </c>
      <c r="DE55" s="301">
        <f t="shared" si="153"/>
        <v>1.8648088200935133E-2</v>
      </c>
      <c r="DF55" s="296">
        <f t="shared" si="154"/>
        <v>125.04738764044944</v>
      </c>
      <c r="DG55" s="300">
        <f t="shared" si="155"/>
        <v>3.8496977922775913E-2</v>
      </c>
      <c r="DH55" s="298">
        <f t="shared" si="156"/>
        <v>3.0200105080903612E-2</v>
      </c>
      <c r="DI55" s="303">
        <f t="shared" si="157"/>
        <v>202.51106741573034</v>
      </c>
      <c r="DJ55" s="295">
        <f t="shared" si="158"/>
        <v>6.3924468197907564E-2</v>
      </c>
      <c r="DK55" s="301">
        <f t="shared" si="159"/>
        <v>4.8819565561420822E-2</v>
      </c>
      <c r="DL55" s="301">
        <f t="shared" si="160"/>
        <v>5.0147459904262656E-2</v>
      </c>
      <c r="DM55" s="296">
        <f t="shared" si="161"/>
        <v>336.27087078651681</v>
      </c>
      <c r="DN55" s="300">
        <f t="shared" si="162"/>
        <v>8.5553402421157231E-3</v>
      </c>
      <c r="DO55" s="298">
        <f t="shared" si="163"/>
        <v>6.7114923886510544E-3</v>
      </c>
      <c r="DP55" s="299">
        <f t="shared" si="164"/>
        <v>45.004859550561797</v>
      </c>
      <c r="DQ55" s="295">
        <f t="shared" si="165"/>
        <v>3.9358784651734355E-2</v>
      </c>
      <c r="DR55" s="301">
        <f t="shared" si="166"/>
        <v>3.0876175130510719E-2</v>
      </c>
      <c r="DS55" s="296">
        <f t="shared" si="167"/>
        <v>207.04455056179776</v>
      </c>
      <c r="DT55" s="300">
        <f t="shared" si="168"/>
        <v>5.3298412486635811E-2</v>
      </c>
      <c r="DU55" s="299">
        <f t="shared" si="169"/>
        <v>357.40002808988766</v>
      </c>
      <c r="DV55" s="295">
        <f t="shared" si="25"/>
        <v>1.9564929033736377E-2</v>
      </c>
      <c r="DW55" s="296">
        <f t="shared" si="97"/>
        <v>131.19539325842695</v>
      </c>
      <c r="DX55" s="295">
        <f t="shared" si="170"/>
        <v>8.5437367796019276E-6</v>
      </c>
      <c r="DY55" s="301">
        <f t="shared" si="171"/>
        <v>6.524911815612909E-6</v>
      </c>
      <c r="DZ55" s="301">
        <f t="shared" si="172"/>
        <v>6.7023897056320931E-6</v>
      </c>
      <c r="EA55" s="296">
        <f t="shared" si="173"/>
        <v>4.49438202247191E-2</v>
      </c>
      <c r="EB55" s="304">
        <f>IFERROR(_xlfn.XLOOKUP(A55,'Pupil on roll 24-25'!E:E,'Pupil on roll 24-25'!R:R),0)</f>
        <v>16</v>
      </c>
      <c r="EC55" s="289">
        <f>IFERROR(_xlfn.XLOOKUP(A55,CFR20242025_BenchMarkDataReport!B:B,CFR20242025_BenchMarkDataReport!AK:AK),0)</f>
        <v>5230.83</v>
      </c>
      <c r="ED55" s="289">
        <f>IFERROR(_xlfn.XLOOKUP(A55,CFR20242025_BenchMarkDataReport!B:B,CFR20242025_BenchMarkDataReport!AL:AL),0)</f>
        <v>41026</v>
      </c>
    </row>
    <row r="56" spans="1:134">
      <c r="A56" s="208">
        <v>2072</v>
      </c>
      <c r="B56" s="326">
        <v>10086</v>
      </c>
      <c r="C56" s="211" t="s">
        <v>635</v>
      </c>
      <c r="D56" s="289">
        <f>IFERROR(_xlfn.XLOOKUP($A56,CFR20242025_BenchMarkDataReport!$B:$B,CFR20242025_BenchMarkDataReport!T:T),0)</f>
        <v>3179212</v>
      </c>
      <c r="E56" s="289">
        <f>IFERROR(_xlfn.XLOOKUP($A56,CFR20242025_BenchMarkDataReport!$B:$B,CFR20242025_BenchMarkDataReport!U:U),0)</f>
        <v>0</v>
      </c>
      <c r="F56" s="289">
        <f>IFERROR(_xlfn.XLOOKUP($A56,CFR20242025_BenchMarkDataReport!$B:$B,CFR20242025_BenchMarkDataReport!V:V),0)</f>
        <v>839258.57</v>
      </c>
      <c r="G56" s="289">
        <f>IFERROR(_xlfn.XLOOKUP($A56,CFR20242025_BenchMarkDataReport!$B:$B,CFR20242025_BenchMarkDataReport!W:W),0)</f>
        <v>0</v>
      </c>
      <c r="H56" s="289">
        <f>IFERROR(_xlfn.XLOOKUP($A56,CFR20242025_BenchMarkDataReport!$B:$B,CFR20242025_BenchMarkDataReport!X:X),0)</f>
        <v>222320.84</v>
      </c>
      <c r="I56" s="289">
        <f>IFERROR(_xlfn.XLOOKUP($A56,CFR20242025_BenchMarkDataReport!$B:$B,CFR20242025_BenchMarkDataReport!Y:Y),0)</f>
        <v>3229.61</v>
      </c>
      <c r="J56" s="289">
        <f>IFERROR(_xlfn.XLOOKUP($A56,CFR20242025_BenchMarkDataReport!$B:$B,CFR20242025_BenchMarkDataReport!Z:Z),0)</f>
        <v>188168.9</v>
      </c>
      <c r="K56" s="289">
        <f>IFERROR(_xlfn.XLOOKUP($A56,CFR20242025_BenchMarkDataReport!$B:$B,CFR20242025_BenchMarkDataReport!AA:AA),0)</f>
        <v>38812.31</v>
      </c>
      <c r="L56" s="289">
        <f>IFERROR(_xlfn.XLOOKUP($A56,CFR20242025_BenchMarkDataReport!$B:$B,CFR20242025_BenchMarkDataReport!AB:AB),0)</f>
        <v>100111.3</v>
      </c>
      <c r="M56" s="289">
        <f>IFERROR(_xlfn.XLOOKUP($A56,CFR20242025_BenchMarkDataReport!$B:$B,CFR20242025_BenchMarkDataReport!AC:AC),0)</f>
        <v>6752.32</v>
      </c>
      <c r="N56" s="289">
        <f>IFERROR(_xlfn.XLOOKUP($A56,CFR20242025_BenchMarkDataReport!$B:$B,CFR20242025_BenchMarkDataReport!AD:AD),0)</f>
        <v>21125</v>
      </c>
      <c r="O56" s="289">
        <f>IFERROR(_xlfn.XLOOKUP($A56,CFR20242025_BenchMarkDataReport!$B:$B,CFR20242025_BenchMarkDataReport!AE:AE),0)</f>
        <v>3556.8</v>
      </c>
      <c r="P56" s="289">
        <f>IFERROR(_xlfn.XLOOKUP($A56,CFR20242025_BenchMarkDataReport!$B:$B,CFR20242025_BenchMarkDataReport!AF:AF),0)</f>
        <v>28932.48</v>
      </c>
      <c r="Q56" s="289">
        <f>IFERROR(_xlfn.XLOOKUP($A56,CFR20242025_BenchMarkDataReport!$B:$B,CFR20242025_BenchMarkDataReport!AG:AG),0)</f>
        <v>18844.259999999998</v>
      </c>
      <c r="R56" s="289">
        <f>IFERROR(_xlfn.XLOOKUP($A56,CFR20242025_BenchMarkDataReport!$B:$B,CFR20242025_BenchMarkDataReport!AH:AH),0)</f>
        <v>0</v>
      </c>
      <c r="S56" s="289">
        <f>IFERROR(_xlfn.XLOOKUP($A56,CFR20242025_BenchMarkDataReport!$B:$B,CFR20242025_BenchMarkDataReport!AI:AI),0)</f>
        <v>0</v>
      </c>
      <c r="T56" s="289">
        <f>IFERROR(_xlfn.XLOOKUP($A56,CFR20242025_BenchMarkDataReport!$B:$B,CFR20242025_BenchMarkDataReport!AJ:AJ),0)</f>
        <v>0</v>
      </c>
      <c r="U56" s="289">
        <f>INDEX(CFR20242025_BenchMarkDataReport!$B$3:$AM$87,MATCH(A56,CFR20242025_BenchMarkDataReport!$B$3:$B$87),MATCH($U$2,CFR20242025_BenchMarkDataReport!$B$3:$AM$3,0))</f>
        <v>105547.76</v>
      </c>
      <c r="V56" s="289">
        <f>IFERROR(_xlfn.XLOOKUP($A56,CFR20242025_BenchMarkDataReport!$B:$B,CFR20242025_BenchMarkDataReport!AN:AN),0)</f>
        <v>1819663.53</v>
      </c>
      <c r="W56" s="289">
        <f>IFERROR(_xlfn.XLOOKUP($A56,CFR20242025_BenchMarkDataReport!$B:$B,CFR20242025_BenchMarkDataReport!AO:AO),0)</f>
        <v>0</v>
      </c>
      <c r="X56" s="289">
        <f>IFERROR(_xlfn.XLOOKUP($A56,CFR20242025_BenchMarkDataReport!$B:$B,CFR20242025_BenchMarkDataReport!AP:AP),0)</f>
        <v>1168706.01</v>
      </c>
      <c r="Y56" s="289">
        <f>IFERROR(_xlfn.XLOOKUP($A56,CFR20242025_BenchMarkDataReport!$B:$B,CFR20242025_BenchMarkDataReport!AQ:AQ),0)</f>
        <v>54566.77</v>
      </c>
      <c r="Z56" s="289">
        <f>IFERROR(_xlfn.XLOOKUP($A56,CFR20242025_BenchMarkDataReport!$B:$B,CFR20242025_BenchMarkDataReport!AR:AR),0)</f>
        <v>178167.61</v>
      </c>
      <c r="AA56" s="289">
        <f>IFERROR(_xlfn.XLOOKUP($A56,CFR20242025_BenchMarkDataReport!$B:$B,CFR20242025_BenchMarkDataReport!AS:AS),0)</f>
        <v>0</v>
      </c>
      <c r="AB56" s="289">
        <f>IFERROR(_xlfn.XLOOKUP($A56,CFR20242025_BenchMarkDataReport!$B:$B,CFR20242025_BenchMarkDataReport!AT:AT),0)</f>
        <v>75760.12</v>
      </c>
      <c r="AC56" s="289">
        <f>IFERROR(_xlfn.XLOOKUP($A56,CFR20242025_BenchMarkDataReport!$B:$B,CFR20242025_BenchMarkDataReport!AU:AU),0)</f>
        <v>74280.070000000007</v>
      </c>
      <c r="AD56" s="289">
        <f>IFERROR(_xlfn.XLOOKUP($A56,CFR20242025_BenchMarkDataReport!$B:$B,CFR20242025_BenchMarkDataReport!AV:AV),0)</f>
        <v>8827.18</v>
      </c>
      <c r="AE56" s="289">
        <f>IFERROR(_xlfn.XLOOKUP($A56,CFR20242025_BenchMarkDataReport!$B:$B,CFR20242025_BenchMarkDataReport!AW:AW),0)</f>
        <v>15510.37</v>
      </c>
      <c r="AF56" s="289">
        <f>IFERROR(_xlfn.XLOOKUP($A56,CFR20242025_BenchMarkDataReport!$B:$B,CFR20242025_BenchMarkDataReport!AX:AX),0)</f>
        <v>14803.2</v>
      </c>
      <c r="AG56" s="289">
        <f>IFERROR(_xlfn.XLOOKUP($A56,CFR20242025_BenchMarkDataReport!$B:$B,CFR20242025_BenchMarkDataReport!AY:AY),0)</f>
        <v>30076.62</v>
      </c>
      <c r="AH56" s="289">
        <f>IFERROR(_xlfn.XLOOKUP($A56,CFR20242025_BenchMarkDataReport!$B:$B,CFR20242025_BenchMarkDataReport!AZ:AZ),0)</f>
        <v>10757.6</v>
      </c>
      <c r="AI56" s="289">
        <f>IFERROR(_xlfn.XLOOKUP($A56,CFR20242025_BenchMarkDataReport!$B:$B,CFR20242025_BenchMarkDataReport!BA:BA),0)</f>
        <v>85608.76</v>
      </c>
      <c r="AJ56" s="289">
        <f>IFERROR(_xlfn.XLOOKUP($A56,CFR20242025_BenchMarkDataReport!$B:$B,CFR20242025_BenchMarkDataReport!BB:BB),0)</f>
        <v>10092.129999999999</v>
      </c>
      <c r="AK56" s="289">
        <f>IFERROR(_xlfn.XLOOKUP($A56,CFR20242025_BenchMarkDataReport!$B:$B,CFR20242025_BenchMarkDataReport!BC:BC),0)</f>
        <v>62450.38</v>
      </c>
      <c r="AL56" s="289">
        <f>IFERROR(_xlfn.XLOOKUP($A56,CFR20242025_BenchMarkDataReport!$B:$B,CFR20242025_BenchMarkDataReport!BD:BD),0)</f>
        <v>56190.89</v>
      </c>
      <c r="AM56" s="289">
        <f>IFERROR(_xlfn.XLOOKUP($A56,CFR20242025_BenchMarkDataReport!$B:$B,CFR20242025_BenchMarkDataReport!BE:BE),0)</f>
        <v>22636.97</v>
      </c>
      <c r="AN56" s="289">
        <f>IFERROR(_xlfn.XLOOKUP($A56,CFR20242025_BenchMarkDataReport!$B:$B,CFR20242025_BenchMarkDataReport!BF:BF),0)</f>
        <v>78490.66</v>
      </c>
      <c r="AO56" s="289">
        <f>IFERROR(_xlfn.XLOOKUP($A56,CFR20242025_BenchMarkDataReport!$B:$B,CFR20242025_BenchMarkDataReport!BN:BN),0)</f>
        <v>44354.679999999993</v>
      </c>
      <c r="AP56" s="289">
        <f>IFERROR(_xlfn.XLOOKUP($A56,CFR20242025_BenchMarkDataReport!$B:$B,CFR20242025_BenchMarkDataReport!BO:BO),0)</f>
        <v>0</v>
      </c>
      <c r="AQ56" s="289">
        <f>IFERROR(_xlfn.XLOOKUP($A56,CFR20242025_BenchMarkDataReport!$B:$B,CFR20242025_BenchMarkDataReport!BP:BP),0)</f>
        <v>7444.47</v>
      </c>
      <c r="AR56" s="289">
        <f>IFERROR(_xlfn.XLOOKUP($A56,CFR20242025_BenchMarkDataReport!$B:$B,CFR20242025_BenchMarkDataReport!BQ:BQ),0)</f>
        <v>17419.14</v>
      </c>
      <c r="AS56" s="289">
        <f>IFERROR(_xlfn.XLOOKUP($A56,CFR20242025_BenchMarkDataReport!$B:$B,CFR20242025_BenchMarkDataReport!BR:BR),0)</f>
        <v>7769.31</v>
      </c>
      <c r="AT56" s="289">
        <f>IFERROR(_xlfn.XLOOKUP($A56,CFR20242025_BenchMarkDataReport!$B:$B,CFR20242025_BenchMarkDataReport!BS:BS),0)</f>
        <v>167109.67000000001</v>
      </c>
      <c r="AU56" s="289">
        <f>IFERROR(_xlfn.XLOOKUP($A56,CFR20242025_BenchMarkDataReport!$B:$B,CFR20242025_BenchMarkDataReport!BT:BT),0)</f>
        <v>91161.24</v>
      </c>
      <c r="AV56" s="289">
        <f>IFERROR(_xlfn.XLOOKUP($A56,CFR20242025_BenchMarkDataReport!$B:$B,CFR20242025_BenchMarkDataReport!BU:BU),0)</f>
        <v>562788.96</v>
      </c>
      <c r="AW56" s="289">
        <f>IFERROR(_xlfn.XLOOKUP($A56,CFR20242025_BenchMarkDataReport!$B:$B,CFR20242025_BenchMarkDataReport!BV:BV),0)</f>
        <v>23742.959999999999</v>
      </c>
      <c r="AX56" s="289">
        <f>IFERROR(_xlfn.XLOOKUP($A56,CFR20242025_BenchMarkDataReport!$B:$B,CFR20242025_BenchMarkDataReport!BW:BW),0)</f>
        <v>0</v>
      </c>
      <c r="AY56" s="289">
        <f>IFERROR(_xlfn.XLOOKUP($A56,CFR20242025_BenchMarkDataReport!$B:$B,CFR20242025_BenchMarkDataReport!BX:BX),0)</f>
        <v>0</v>
      </c>
      <c r="AZ56" s="289">
        <f>IFERROR(_xlfn.XLOOKUP($A56,CFR20242025_BenchMarkDataReport!$B:$B,CFR20242025_BenchMarkDataReport!BY:BY),0)</f>
        <v>4473</v>
      </c>
      <c r="BA56" s="289">
        <f>IFERROR(_xlfn.XLOOKUP($A56,CFR20242025_BenchMarkDataReport!$B:$B,CFR20242025_BenchMarkDataReport!BZ:BZ),0)</f>
        <v>0</v>
      </c>
      <c r="BB56" s="289">
        <f>IFERROR(_xlfn.XLOOKUP($A56,CFR20242025_BenchMarkDataReport!$B:$B,CFR20242025_BenchMarkDataReport!CA:CA),0)</f>
        <v>0</v>
      </c>
      <c r="BC56" s="290">
        <f t="shared" si="106"/>
        <v>4755872.1500000004</v>
      </c>
      <c r="BD56" s="291">
        <f t="shared" si="104"/>
        <v>4692852.3000000017</v>
      </c>
      <c r="BE56" s="327">
        <f t="shared" si="105"/>
        <v>63019.849999998696</v>
      </c>
      <c r="BF56" s="289">
        <f>IFERROR(_xlfn.XLOOKUP(A56,CFR20242025_BenchMarkDataReport!B:B,CFR20242025_BenchMarkDataReport!Q:Q),0)</f>
        <v>80112.149999999994</v>
      </c>
      <c r="BG56" s="290">
        <f t="shared" si="0"/>
        <v>143131.99999999869</v>
      </c>
      <c r="BH56" s="292">
        <v>426</v>
      </c>
      <c r="BI56" s="291">
        <f t="shared" si="1"/>
        <v>4018470.57</v>
      </c>
      <c r="BJ56" t="s">
        <v>190</v>
      </c>
      <c r="BK56" s="293">
        <f t="shared" si="107"/>
        <v>0.66848138463940832</v>
      </c>
      <c r="BL56" s="294">
        <f t="shared" si="108"/>
        <v>7462.9389671361505</v>
      </c>
      <c r="BM56" s="295">
        <f t="shared" si="109"/>
        <v>0</v>
      </c>
      <c r="BN56" s="296">
        <f t="shared" si="110"/>
        <v>0</v>
      </c>
      <c r="BO56" s="293">
        <f t="shared" si="111"/>
        <v>0.17646785774087723</v>
      </c>
      <c r="BP56" s="294">
        <f t="shared" si="112"/>
        <v>1970.0905399061032</v>
      </c>
      <c r="BQ56" s="295">
        <f t="shared" si="113"/>
        <v>0</v>
      </c>
      <c r="BR56" s="296">
        <f t="shared" si="114"/>
        <v>0</v>
      </c>
      <c r="BS56" s="293">
        <f t="shared" si="115"/>
        <v>4.674659725661464E-2</v>
      </c>
      <c r="BT56" s="294">
        <f t="shared" si="116"/>
        <v>521.87990610328643</v>
      </c>
      <c r="BU56" s="295">
        <f t="shared" si="117"/>
        <v>6.7907838943904325E-4</v>
      </c>
      <c r="BV56" s="296">
        <f t="shared" si="118"/>
        <v>7.5812441314553993</v>
      </c>
      <c r="BW56" s="293">
        <f t="shared" si="119"/>
        <v>3.9565592611651677E-2</v>
      </c>
      <c r="BX56" s="294">
        <f t="shared" si="120"/>
        <v>441.71103286384977</v>
      </c>
      <c r="BY56" s="295">
        <f t="shared" si="121"/>
        <v>2.921096396588373E-2</v>
      </c>
      <c r="BZ56" s="297">
        <f t="shared" si="122"/>
        <v>326.11176056338024</v>
      </c>
      <c r="CA56" s="298">
        <f t="shared" si="123"/>
        <v>6.0835277079515264E-3</v>
      </c>
      <c r="CB56" s="299">
        <f t="shared" si="124"/>
        <v>67.91661971830986</v>
      </c>
      <c r="CC56" s="295">
        <f t="shared" si="125"/>
        <v>3.9623142518665048E-3</v>
      </c>
      <c r="CD56" s="296">
        <f t="shared" si="126"/>
        <v>44.235352112676054</v>
      </c>
      <c r="CE56" s="300">
        <f t="shared" si="127"/>
        <v>0.47551045521281499</v>
      </c>
      <c r="CF56" s="298">
        <f t="shared" si="128"/>
        <v>0.40178219887597272</v>
      </c>
      <c r="CG56" s="298">
        <f t="shared" si="129"/>
        <v>0.407177692338623</v>
      </c>
      <c r="CH56" s="299">
        <f t="shared" si="130"/>
        <v>4485.5041549295775</v>
      </c>
      <c r="CI56" s="295">
        <f t="shared" si="131"/>
        <v>0.29083353719820826</v>
      </c>
      <c r="CJ56" s="301">
        <f t="shared" si="132"/>
        <v>0.24573957691440462</v>
      </c>
      <c r="CK56" s="301">
        <f t="shared" si="133"/>
        <v>0.24903958941985019</v>
      </c>
      <c r="CL56" s="302">
        <f t="shared" si="134"/>
        <v>2743.441338028169</v>
      </c>
      <c r="CM56" s="300">
        <f t="shared" si="135"/>
        <v>1.3578989580605539E-2</v>
      </c>
      <c r="CN56" s="298">
        <f t="shared" si="136"/>
        <v>1.147355695842244E-2</v>
      </c>
      <c r="CO56" s="298">
        <f t="shared" si="137"/>
        <v>1.162763422151598E-2</v>
      </c>
      <c r="CP56" s="299">
        <f t="shared" si="138"/>
        <v>128.09100938967134</v>
      </c>
      <c r="CQ56" s="295">
        <f t="shared" si="139"/>
        <v>4.4337169302698161E-2</v>
      </c>
      <c r="CR56" s="301">
        <f t="shared" si="140"/>
        <v>3.7462657611601266E-2</v>
      </c>
      <c r="CS56" s="301">
        <f t="shared" si="141"/>
        <v>3.7965739940291732E-2</v>
      </c>
      <c r="CT56" s="296">
        <f t="shared" si="142"/>
        <v>418.23382629107977</v>
      </c>
      <c r="CU56" s="300">
        <f t="shared" si="143"/>
        <v>0.82042756879018286</v>
      </c>
      <c r="CV56" s="298">
        <f t="shared" si="144"/>
        <v>0.69321965267716457</v>
      </c>
      <c r="CW56" s="298">
        <f t="shared" si="145"/>
        <v>0.70252883092016316</v>
      </c>
      <c r="CX56" s="299">
        <f t="shared" si="146"/>
        <v>7739.1174647887328</v>
      </c>
      <c r="CY56" s="295">
        <f t="shared" si="147"/>
        <v>7.484593821474721E-3</v>
      </c>
      <c r="CZ56" s="301">
        <f t="shared" si="148"/>
        <v>6.4090276184485904E-3</v>
      </c>
      <c r="DA56" s="296">
        <f t="shared" si="149"/>
        <v>70.602394366197174</v>
      </c>
      <c r="DB56" s="300">
        <f t="shared" si="150"/>
        <v>2.1505322040499754E-3</v>
      </c>
      <c r="DC56" s="299">
        <f t="shared" si="151"/>
        <v>23.690446009389671</v>
      </c>
      <c r="DD56" s="295">
        <f t="shared" si="152"/>
        <v>1.554083298910411E-2</v>
      </c>
      <c r="DE56" s="301">
        <f t="shared" si="153"/>
        <v>1.3307552850107807E-2</v>
      </c>
      <c r="DF56" s="296">
        <f t="shared" si="154"/>
        <v>146.59713615023475</v>
      </c>
      <c r="DG56" s="300">
        <f t="shared" si="155"/>
        <v>5.6332302565550458E-3</v>
      </c>
      <c r="DH56" s="298">
        <f t="shared" si="156"/>
        <v>4.8237124360380988E-3</v>
      </c>
      <c r="DI56" s="303">
        <f t="shared" si="157"/>
        <v>53.13842723004695</v>
      </c>
      <c r="DJ56" s="295">
        <f t="shared" si="158"/>
        <v>1.9532471031634309E-2</v>
      </c>
      <c r="DK56" s="301">
        <f t="shared" si="159"/>
        <v>1.6503946599994282E-2</v>
      </c>
      <c r="DL56" s="301">
        <f t="shared" si="160"/>
        <v>1.6725576468707523E-2</v>
      </c>
      <c r="DM56" s="296">
        <f t="shared" si="161"/>
        <v>184.25037558685446</v>
      </c>
      <c r="DN56" s="300">
        <f t="shared" si="162"/>
        <v>1.8525630262361235E-3</v>
      </c>
      <c r="DO56" s="298">
        <f t="shared" si="163"/>
        <v>1.5863422763166865E-3</v>
      </c>
      <c r="DP56" s="299">
        <f t="shared" si="164"/>
        <v>17.475281690140847</v>
      </c>
      <c r="DQ56" s="295">
        <f t="shared" si="165"/>
        <v>0.14005053668963413</v>
      </c>
      <c r="DR56" s="301">
        <f t="shared" si="166"/>
        <v>0.11992471188577568</v>
      </c>
      <c r="DS56" s="296">
        <f t="shared" si="167"/>
        <v>1321.1008450704223</v>
      </c>
      <c r="DT56" s="300">
        <f t="shared" si="168"/>
        <v>3.5609403262063022E-2</v>
      </c>
      <c r="DU56" s="299">
        <f t="shared" si="169"/>
        <v>392.27622065727701</v>
      </c>
      <c r="DV56" s="295">
        <f t="shared" si="25"/>
        <v>1.8242372554533617E-2</v>
      </c>
      <c r="DW56" s="296">
        <f t="shared" si="97"/>
        <v>200.95953051643193</v>
      </c>
      <c r="DX56" s="295">
        <f t="shared" si="170"/>
        <v>2.1650027910992017E-5</v>
      </c>
      <c r="DY56" s="301">
        <f t="shared" si="171"/>
        <v>1.829317468090474E-5</v>
      </c>
      <c r="DZ56" s="301">
        <f t="shared" si="172"/>
        <v>1.8538831916785441E-5</v>
      </c>
      <c r="EA56" s="296">
        <f t="shared" si="173"/>
        <v>0.20422535211267606</v>
      </c>
      <c r="EB56" s="304">
        <f>IFERROR(_xlfn.XLOOKUP(A56,'Pupil on roll 24-25'!E:E,'Pupil on roll 24-25'!R:R),0)</f>
        <v>87</v>
      </c>
      <c r="EC56" s="289">
        <f>IFERROR(_xlfn.XLOOKUP(A56,CFR20242025_BenchMarkDataReport!B:B,CFR20242025_BenchMarkDataReport!AK:AK),0)</f>
        <v>12007.76</v>
      </c>
      <c r="ED56" s="289">
        <f>IFERROR(_xlfn.XLOOKUP(A56,CFR20242025_BenchMarkDataReport!B:B,CFR20242025_BenchMarkDataReport!AL:AL),0)</f>
        <v>93540</v>
      </c>
    </row>
    <row r="57" spans="1:134">
      <c r="A57" s="208">
        <v>3512</v>
      </c>
      <c r="B57" s="326">
        <v>10112</v>
      </c>
      <c r="C57" s="208" t="s">
        <v>89</v>
      </c>
      <c r="D57" s="289">
        <f>IFERROR(_xlfn.XLOOKUP($A57,CFR20242025_BenchMarkDataReport!$B:$B,CFR20242025_BenchMarkDataReport!T:T),0)</f>
        <v>1986564</v>
      </c>
      <c r="E57" s="289">
        <f>IFERROR(_xlfn.XLOOKUP($A57,CFR20242025_BenchMarkDataReport!$B:$B,CFR20242025_BenchMarkDataReport!U:U),0)</f>
        <v>0</v>
      </c>
      <c r="F57" s="289">
        <f>IFERROR(_xlfn.XLOOKUP($A57,CFR20242025_BenchMarkDataReport!$B:$B,CFR20242025_BenchMarkDataReport!V:V),0)</f>
        <v>54404</v>
      </c>
      <c r="G57" s="289">
        <f>IFERROR(_xlfn.XLOOKUP($A57,CFR20242025_BenchMarkDataReport!$B:$B,CFR20242025_BenchMarkDataReport!W:W),0)</f>
        <v>0</v>
      </c>
      <c r="H57" s="289">
        <f>IFERROR(_xlfn.XLOOKUP($A57,CFR20242025_BenchMarkDataReport!$B:$B,CFR20242025_BenchMarkDataReport!X:X),0)</f>
        <v>11765</v>
      </c>
      <c r="I57" s="289">
        <f>IFERROR(_xlfn.XLOOKUP($A57,CFR20242025_BenchMarkDataReport!$B:$B,CFR20242025_BenchMarkDataReport!Y:Y),0)</f>
        <v>4174</v>
      </c>
      <c r="J57" s="289">
        <f>IFERROR(_xlfn.XLOOKUP($A57,CFR20242025_BenchMarkDataReport!$B:$B,CFR20242025_BenchMarkDataReport!Z:Z),0)</f>
        <v>160629</v>
      </c>
      <c r="K57" s="289">
        <f>IFERROR(_xlfn.XLOOKUP($A57,CFR20242025_BenchMarkDataReport!$B:$B,CFR20242025_BenchMarkDataReport!AA:AA),0)</f>
        <v>6220</v>
      </c>
      <c r="L57" s="289">
        <f>IFERROR(_xlfn.XLOOKUP($A57,CFR20242025_BenchMarkDataReport!$B:$B,CFR20242025_BenchMarkDataReport!AB:AB),0)</f>
        <v>51761</v>
      </c>
      <c r="M57" s="289">
        <f>IFERROR(_xlfn.XLOOKUP($A57,CFR20242025_BenchMarkDataReport!$B:$B,CFR20242025_BenchMarkDataReport!AC:AC),0)</f>
        <v>50681.64</v>
      </c>
      <c r="N57" s="289">
        <f>IFERROR(_xlfn.XLOOKUP($A57,CFR20242025_BenchMarkDataReport!$B:$B,CFR20242025_BenchMarkDataReport!AD:AD),0)</f>
        <v>1212</v>
      </c>
      <c r="O57" s="289">
        <f>IFERROR(_xlfn.XLOOKUP($A57,CFR20242025_BenchMarkDataReport!$B:$B,CFR20242025_BenchMarkDataReport!AE:AE),0)</f>
        <v>0</v>
      </c>
      <c r="P57" s="289">
        <f>IFERROR(_xlfn.XLOOKUP($A57,CFR20242025_BenchMarkDataReport!$B:$B,CFR20242025_BenchMarkDataReport!AF:AF),0)</f>
        <v>168657</v>
      </c>
      <c r="Q57" s="289">
        <f>IFERROR(_xlfn.XLOOKUP($A57,CFR20242025_BenchMarkDataReport!$B:$B,CFR20242025_BenchMarkDataReport!AG:AG),0)</f>
        <v>405050</v>
      </c>
      <c r="R57" s="289">
        <f>IFERROR(_xlfn.XLOOKUP($A57,CFR20242025_BenchMarkDataReport!$B:$B,CFR20242025_BenchMarkDataReport!AH:AH),0)</f>
        <v>0</v>
      </c>
      <c r="S57" s="289">
        <f>IFERROR(_xlfn.XLOOKUP($A57,CFR20242025_BenchMarkDataReport!$B:$B,CFR20242025_BenchMarkDataReport!AI:AI),0)</f>
        <v>0</v>
      </c>
      <c r="T57" s="289">
        <f>IFERROR(_xlfn.XLOOKUP($A57,CFR20242025_BenchMarkDataReport!$B:$B,CFR20242025_BenchMarkDataReport!AJ:AJ),0)</f>
        <v>0</v>
      </c>
      <c r="U57" s="289">
        <f>INDEX(CFR20242025_BenchMarkDataReport!$B$3:$AM$87,MATCH(A57,CFR20242025_BenchMarkDataReport!$B$3:$B$87),MATCH($U$2,CFR20242025_BenchMarkDataReport!$B$3:$AM$3,0))</f>
        <v>95643.62</v>
      </c>
      <c r="V57" s="289">
        <f>IFERROR(_xlfn.XLOOKUP($A57,CFR20242025_BenchMarkDataReport!$B:$B,CFR20242025_BenchMarkDataReport!AN:AN),0)</f>
        <v>1394407.15</v>
      </c>
      <c r="W57" s="289">
        <f>IFERROR(_xlfn.XLOOKUP($A57,CFR20242025_BenchMarkDataReport!$B:$B,CFR20242025_BenchMarkDataReport!AO:AO),0)</f>
        <v>31037</v>
      </c>
      <c r="X57" s="289">
        <f>IFERROR(_xlfn.XLOOKUP($A57,CFR20242025_BenchMarkDataReport!$B:$B,CFR20242025_BenchMarkDataReport!AP:AP),0)</f>
        <v>377798</v>
      </c>
      <c r="Y57" s="289">
        <f>IFERROR(_xlfn.XLOOKUP($A57,CFR20242025_BenchMarkDataReport!$B:$B,CFR20242025_BenchMarkDataReport!AQ:AQ),0)</f>
        <v>78235</v>
      </c>
      <c r="Z57" s="289">
        <f>IFERROR(_xlfn.XLOOKUP($A57,CFR20242025_BenchMarkDataReport!$B:$B,CFR20242025_BenchMarkDataReport!AR:AR),0)</f>
        <v>210512</v>
      </c>
      <c r="AA57" s="289">
        <f>IFERROR(_xlfn.XLOOKUP($A57,CFR20242025_BenchMarkDataReport!$B:$B,CFR20242025_BenchMarkDataReport!AS:AS),0)</f>
        <v>0</v>
      </c>
      <c r="AB57" s="289">
        <f>IFERROR(_xlfn.XLOOKUP($A57,CFR20242025_BenchMarkDataReport!$B:$B,CFR20242025_BenchMarkDataReport!AT:AT),0)</f>
        <v>44263</v>
      </c>
      <c r="AC57" s="289">
        <f>IFERROR(_xlfn.XLOOKUP($A57,CFR20242025_BenchMarkDataReport!$B:$B,CFR20242025_BenchMarkDataReport!AU:AU),0)</f>
        <v>4437</v>
      </c>
      <c r="AD57" s="289">
        <f>IFERROR(_xlfn.XLOOKUP($A57,CFR20242025_BenchMarkDataReport!$B:$B,CFR20242025_BenchMarkDataReport!AV:AV),0)</f>
        <v>1901</v>
      </c>
      <c r="AE57" s="289">
        <f>IFERROR(_xlfn.XLOOKUP($A57,CFR20242025_BenchMarkDataReport!$B:$B,CFR20242025_BenchMarkDataReport!AW:AW),0)</f>
        <v>10233</v>
      </c>
      <c r="AF57" s="289">
        <f>IFERROR(_xlfn.XLOOKUP($A57,CFR20242025_BenchMarkDataReport!$B:$B,CFR20242025_BenchMarkDataReport!AX:AX),0)</f>
        <v>0</v>
      </c>
      <c r="AG57" s="289">
        <f>IFERROR(_xlfn.XLOOKUP($A57,CFR20242025_BenchMarkDataReport!$B:$B,CFR20242025_BenchMarkDataReport!AY:AY),0)</f>
        <v>33507</v>
      </c>
      <c r="AH57" s="289">
        <f>IFERROR(_xlfn.XLOOKUP($A57,CFR20242025_BenchMarkDataReport!$B:$B,CFR20242025_BenchMarkDataReport!AZ:AZ),0)</f>
        <v>0</v>
      </c>
      <c r="AI57" s="289">
        <f>IFERROR(_xlfn.XLOOKUP($A57,CFR20242025_BenchMarkDataReport!$B:$B,CFR20242025_BenchMarkDataReport!BA:BA),0)</f>
        <v>54853</v>
      </c>
      <c r="AJ57" s="289">
        <f>IFERROR(_xlfn.XLOOKUP($A57,CFR20242025_BenchMarkDataReport!$B:$B,CFR20242025_BenchMarkDataReport!BB:BB),0)</f>
        <v>3579</v>
      </c>
      <c r="AK57" s="289">
        <f>IFERROR(_xlfn.XLOOKUP($A57,CFR20242025_BenchMarkDataReport!$B:$B,CFR20242025_BenchMarkDataReport!BC:BC),0)</f>
        <v>63076</v>
      </c>
      <c r="AL57" s="289">
        <f>IFERROR(_xlfn.XLOOKUP($A57,CFR20242025_BenchMarkDataReport!$B:$B,CFR20242025_BenchMarkDataReport!BD:BD),0)</f>
        <v>15600</v>
      </c>
      <c r="AM57" s="289">
        <f>IFERROR(_xlfn.XLOOKUP($A57,CFR20242025_BenchMarkDataReport!$B:$B,CFR20242025_BenchMarkDataReport!BE:BE),0)</f>
        <v>50764</v>
      </c>
      <c r="AN57" s="289">
        <f>IFERROR(_xlfn.XLOOKUP($A57,CFR20242025_BenchMarkDataReport!$B:$B,CFR20242025_BenchMarkDataReport!BF:BF),0)</f>
        <v>87339</v>
      </c>
      <c r="AO57" s="289">
        <f>IFERROR(_xlfn.XLOOKUP($A57,CFR20242025_BenchMarkDataReport!$B:$B,CFR20242025_BenchMarkDataReport!BN:BN),0)</f>
        <v>39208</v>
      </c>
      <c r="AP57" s="289">
        <f>IFERROR(_xlfn.XLOOKUP($A57,CFR20242025_BenchMarkDataReport!$B:$B,CFR20242025_BenchMarkDataReport!BO:BO),0)</f>
        <v>0</v>
      </c>
      <c r="AQ57" s="289">
        <f>IFERROR(_xlfn.XLOOKUP($A57,CFR20242025_BenchMarkDataReport!$B:$B,CFR20242025_BenchMarkDataReport!BP:BP),0)</f>
        <v>13028</v>
      </c>
      <c r="AR57" s="289">
        <f>IFERROR(_xlfn.XLOOKUP($A57,CFR20242025_BenchMarkDataReport!$B:$B,CFR20242025_BenchMarkDataReport!BQ:BQ),0)</f>
        <v>14720</v>
      </c>
      <c r="AS57" s="289">
        <f>IFERROR(_xlfn.XLOOKUP($A57,CFR20242025_BenchMarkDataReport!$B:$B,CFR20242025_BenchMarkDataReport!BR:BR),0)</f>
        <v>13091</v>
      </c>
      <c r="AT57" s="289">
        <f>IFERROR(_xlfn.XLOOKUP($A57,CFR20242025_BenchMarkDataReport!$B:$B,CFR20242025_BenchMarkDataReport!BS:BS),0)</f>
        <v>218392</v>
      </c>
      <c r="AU57" s="289">
        <f>IFERROR(_xlfn.XLOOKUP($A57,CFR20242025_BenchMarkDataReport!$B:$B,CFR20242025_BenchMarkDataReport!BT:BT),0)</f>
        <v>41411</v>
      </c>
      <c r="AV57" s="289">
        <f>IFERROR(_xlfn.XLOOKUP($A57,CFR20242025_BenchMarkDataReport!$B:$B,CFR20242025_BenchMarkDataReport!BU:BU),0)</f>
        <v>191751</v>
      </c>
      <c r="AW57" s="289">
        <f>IFERROR(_xlfn.XLOOKUP($A57,CFR20242025_BenchMarkDataReport!$B:$B,CFR20242025_BenchMarkDataReport!BV:BV),0)</f>
        <v>28622</v>
      </c>
      <c r="AX57" s="289">
        <f>IFERROR(_xlfn.XLOOKUP($A57,CFR20242025_BenchMarkDataReport!$B:$B,CFR20242025_BenchMarkDataReport!BW:BW),0)</f>
        <v>0</v>
      </c>
      <c r="AY57" s="289">
        <f>IFERROR(_xlfn.XLOOKUP($A57,CFR20242025_BenchMarkDataReport!$B:$B,CFR20242025_BenchMarkDataReport!BX:BX),0)</f>
        <v>0</v>
      </c>
      <c r="AZ57" s="289">
        <f>IFERROR(_xlfn.XLOOKUP($A57,CFR20242025_BenchMarkDataReport!$B:$B,CFR20242025_BenchMarkDataReport!BY:BY),0)</f>
        <v>0</v>
      </c>
      <c r="BA57" s="289">
        <f>IFERROR(_xlfn.XLOOKUP($A57,CFR20242025_BenchMarkDataReport!$B:$B,CFR20242025_BenchMarkDataReport!BZ:BZ),0)</f>
        <v>0</v>
      </c>
      <c r="BB57" s="289">
        <f>IFERROR(_xlfn.XLOOKUP($A57,CFR20242025_BenchMarkDataReport!$B:$B,CFR20242025_BenchMarkDataReport!CA:CA),0)</f>
        <v>0</v>
      </c>
      <c r="BC57" s="290">
        <f t="shared" si="106"/>
        <v>2996761.2600000002</v>
      </c>
      <c r="BD57" s="291">
        <f t="shared" si="104"/>
        <v>3021764.15</v>
      </c>
      <c r="BE57" s="327">
        <f t="shared" si="105"/>
        <v>-25002.889999999665</v>
      </c>
      <c r="BF57" s="289">
        <f>IFERROR(_xlfn.XLOOKUP(A57,CFR20242025_BenchMarkDataReport!B:B,CFR20242025_BenchMarkDataReport!Q:Q),0)</f>
        <v>-4910.74</v>
      </c>
      <c r="BG57" s="290">
        <f t="shared" si="0"/>
        <v>-29913.629999999663</v>
      </c>
      <c r="BH57" s="292">
        <f>_xlfn.XLOOKUP(A57,'Pupil on roll 24-25'!E:E,'Pupil on roll 24-25'!I:I)</f>
        <v>360</v>
      </c>
      <c r="BI57" s="291">
        <f t="shared" si="1"/>
        <v>2040968</v>
      </c>
      <c r="BJ57" t="s">
        <v>190</v>
      </c>
      <c r="BK57" s="293">
        <f t="shared" si="107"/>
        <v>0.66290365753059688</v>
      </c>
      <c r="BL57" s="294">
        <f t="shared" si="108"/>
        <v>5518.2333333333336</v>
      </c>
      <c r="BM57" s="295">
        <f t="shared" si="109"/>
        <v>0</v>
      </c>
      <c r="BN57" s="296">
        <f t="shared" si="110"/>
        <v>0</v>
      </c>
      <c r="BO57" s="293">
        <f t="shared" si="111"/>
        <v>1.8154265648775772E-2</v>
      </c>
      <c r="BP57" s="294">
        <f t="shared" si="112"/>
        <v>151.12222222222223</v>
      </c>
      <c r="BQ57" s="295">
        <f t="shared" si="113"/>
        <v>0</v>
      </c>
      <c r="BR57" s="296">
        <f t="shared" si="114"/>
        <v>0</v>
      </c>
      <c r="BS57" s="293">
        <f t="shared" si="115"/>
        <v>3.9259049951813644E-3</v>
      </c>
      <c r="BT57" s="294">
        <f t="shared" si="116"/>
        <v>32.680555555555557</v>
      </c>
      <c r="BU57" s="295">
        <f t="shared" si="117"/>
        <v>1.3928370123150883E-3</v>
      </c>
      <c r="BV57" s="296">
        <f t="shared" si="118"/>
        <v>11.594444444444445</v>
      </c>
      <c r="BW57" s="293">
        <f t="shared" si="119"/>
        <v>5.360086642337334E-2</v>
      </c>
      <c r="BX57" s="294">
        <f t="shared" si="120"/>
        <v>446.19166666666666</v>
      </c>
      <c r="BY57" s="295">
        <f t="shared" si="121"/>
        <v>1.9347887592487095E-2</v>
      </c>
      <c r="BZ57" s="297">
        <f t="shared" si="122"/>
        <v>161.05833333333334</v>
      </c>
      <c r="CA57" s="298">
        <f t="shared" si="123"/>
        <v>5.6279758501683243E-2</v>
      </c>
      <c r="CB57" s="299">
        <f t="shared" si="124"/>
        <v>468.49166666666667</v>
      </c>
      <c r="CC57" s="295">
        <f t="shared" si="125"/>
        <v>0.13516258549071072</v>
      </c>
      <c r="CD57" s="296">
        <f t="shared" si="126"/>
        <v>1125.1388888888889</v>
      </c>
      <c r="CE57" s="300">
        <f t="shared" si="127"/>
        <v>0.71870560929911687</v>
      </c>
      <c r="CF57" s="298">
        <f t="shared" si="128"/>
        <v>0.48948014964662212</v>
      </c>
      <c r="CG57" s="298">
        <f t="shared" si="129"/>
        <v>0.48543005912622267</v>
      </c>
      <c r="CH57" s="299">
        <f t="shared" si="130"/>
        <v>4074.5976388888885</v>
      </c>
      <c r="CI57" s="295">
        <f t="shared" si="131"/>
        <v>0.18510726282822659</v>
      </c>
      <c r="CJ57" s="301">
        <f t="shared" si="132"/>
        <v>0.12606876798721028</v>
      </c>
      <c r="CK57" s="301">
        <f t="shared" si="133"/>
        <v>0.12502564106467409</v>
      </c>
      <c r="CL57" s="302">
        <f t="shared" si="134"/>
        <v>1049.4388888888889</v>
      </c>
      <c r="CM57" s="300">
        <f t="shared" si="135"/>
        <v>3.8332301143379023E-2</v>
      </c>
      <c r="CN57" s="298">
        <f t="shared" si="136"/>
        <v>2.6106517407396009E-2</v>
      </c>
      <c r="CO57" s="298">
        <f t="shared" si="137"/>
        <v>2.5890505054803833E-2</v>
      </c>
      <c r="CP57" s="299">
        <f t="shared" si="138"/>
        <v>217.31944444444446</v>
      </c>
      <c r="CQ57" s="295">
        <f t="shared" si="139"/>
        <v>0.10314321439630607</v>
      </c>
      <c r="CR57" s="301">
        <f t="shared" si="140"/>
        <v>7.0246503386792974E-2</v>
      </c>
      <c r="CS57" s="301">
        <f t="shared" si="141"/>
        <v>6.966526490824905E-2</v>
      </c>
      <c r="CT57" s="296">
        <f t="shared" si="142"/>
        <v>584.75555555555559</v>
      </c>
      <c r="CU57" s="300">
        <f t="shared" si="143"/>
        <v>1.0466857638140332</v>
      </c>
      <c r="CV57" s="298">
        <f t="shared" si="144"/>
        <v>0.71285363252460077</v>
      </c>
      <c r="CW57" s="298">
        <f t="shared" si="145"/>
        <v>0.7069552896773893</v>
      </c>
      <c r="CX57" s="299">
        <f t="shared" si="146"/>
        <v>5934.0337499999996</v>
      </c>
      <c r="CY57" s="295">
        <f t="shared" si="147"/>
        <v>1.6417209872962243E-2</v>
      </c>
      <c r="CZ57" s="301">
        <f t="shared" si="148"/>
        <v>1.1088555670368913E-2</v>
      </c>
      <c r="DA57" s="296">
        <f t="shared" si="149"/>
        <v>93.075000000000003</v>
      </c>
      <c r="DB57" s="300">
        <f t="shared" si="150"/>
        <v>1.1844074594637044E-3</v>
      </c>
      <c r="DC57" s="299">
        <f t="shared" si="151"/>
        <v>9.9416666666666664</v>
      </c>
      <c r="DD57" s="295">
        <f t="shared" si="152"/>
        <v>3.0904943144625493E-2</v>
      </c>
      <c r="DE57" s="301">
        <f t="shared" si="153"/>
        <v>2.0873899109564855E-2</v>
      </c>
      <c r="DF57" s="296">
        <f t="shared" si="154"/>
        <v>175.21111111111111</v>
      </c>
      <c r="DG57" s="300">
        <f t="shared" si="155"/>
        <v>2.4872511474947182E-2</v>
      </c>
      <c r="DH57" s="298">
        <f t="shared" si="156"/>
        <v>1.6799458025206899E-2</v>
      </c>
      <c r="DI57" s="303">
        <f t="shared" si="157"/>
        <v>141.01111111111112</v>
      </c>
      <c r="DJ57" s="295">
        <f t="shared" si="158"/>
        <v>4.2792929629469935E-2</v>
      </c>
      <c r="DK57" s="301">
        <f t="shared" si="159"/>
        <v>2.9144463780207835E-2</v>
      </c>
      <c r="DL57" s="301">
        <f t="shared" si="160"/>
        <v>2.890331464154805E-2</v>
      </c>
      <c r="DM57" s="296">
        <f t="shared" si="161"/>
        <v>242.60833333333332</v>
      </c>
      <c r="DN57" s="300">
        <f t="shared" si="162"/>
        <v>6.3832455971872173E-3</v>
      </c>
      <c r="DO57" s="298">
        <f t="shared" si="163"/>
        <v>4.3113887627530432E-3</v>
      </c>
      <c r="DP57" s="299">
        <f t="shared" si="164"/>
        <v>36.18888888888889</v>
      </c>
      <c r="DQ57" s="295">
        <f t="shared" si="165"/>
        <v>9.3951007561118058E-2</v>
      </c>
      <c r="DR57" s="301">
        <f t="shared" si="166"/>
        <v>6.3456640055776697E-2</v>
      </c>
      <c r="DS57" s="296">
        <f t="shared" si="167"/>
        <v>532.64166666666665</v>
      </c>
      <c r="DT57" s="300">
        <f t="shared" si="168"/>
        <v>7.2273013100641895E-2</v>
      </c>
      <c r="DU57" s="299">
        <f t="shared" si="169"/>
        <v>606.64444444444439</v>
      </c>
      <c r="DV57" s="295">
        <f t="shared" si="25"/>
        <v>1.8152641065650343E-2</v>
      </c>
      <c r="DW57" s="296">
        <f t="shared" si="97"/>
        <v>152.36944444444444</v>
      </c>
      <c r="DX57" s="295">
        <f t="shared" si="170"/>
        <v>2.4498179295314771E-6</v>
      </c>
      <c r="DY57" s="301">
        <f t="shared" si="171"/>
        <v>1.6684679112542985E-6</v>
      </c>
      <c r="DZ57" s="301">
        <f t="shared" si="172"/>
        <v>1.6546625586249012E-6</v>
      </c>
      <c r="EA57" s="296">
        <f t="shared" si="173"/>
        <v>1.3888888888888888E-2</v>
      </c>
      <c r="EB57" s="304">
        <f>IFERROR(_xlfn.XLOOKUP(A57,'Pupil on roll 24-25'!E:E,'Pupil on roll 24-25'!R:R),0)</f>
        <v>5</v>
      </c>
      <c r="EC57" s="289">
        <f>IFERROR(_xlfn.XLOOKUP(A57,CFR20242025_BenchMarkDataReport!B:B,CFR20242025_BenchMarkDataReport!AK:AK),0)</f>
        <v>527</v>
      </c>
      <c r="ED57" s="289">
        <f>IFERROR(_xlfn.XLOOKUP(A57,CFR20242025_BenchMarkDataReport!B:B,CFR20242025_BenchMarkDataReport!AL:AL),0)</f>
        <v>95116.62</v>
      </c>
    </row>
    <row r="58" spans="1:134">
      <c r="A58" s="208">
        <v>3510</v>
      </c>
      <c r="B58" s="326">
        <v>10110</v>
      </c>
      <c r="C58" s="208" t="s">
        <v>90</v>
      </c>
      <c r="D58" s="289">
        <f>IFERROR(_xlfn.XLOOKUP($A58,CFR20242025_BenchMarkDataReport!$B:$B,CFR20242025_BenchMarkDataReport!T:T),0)</f>
        <v>2134664.06</v>
      </c>
      <c r="E58" s="289">
        <f>IFERROR(_xlfn.XLOOKUP($A58,CFR20242025_BenchMarkDataReport!$B:$B,CFR20242025_BenchMarkDataReport!U:U),0)</f>
        <v>0</v>
      </c>
      <c r="F58" s="289">
        <f>IFERROR(_xlfn.XLOOKUP($A58,CFR20242025_BenchMarkDataReport!$B:$B,CFR20242025_BenchMarkDataReport!V:V),0)</f>
        <v>50186.33</v>
      </c>
      <c r="G58" s="289">
        <f>IFERROR(_xlfn.XLOOKUP($A58,CFR20242025_BenchMarkDataReport!$B:$B,CFR20242025_BenchMarkDataReport!W:W),0)</f>
        <v>0</v>
      </c>
      <c r="H58" s="289">
        <f>IFERROR(_xlfn.XLOOKUP($A58,CFR20242025_BenchMarkDataReport!$B:$B,CFR20242025_BenchMarkDataReport!X:X),0)</f>
        <v>85734</v>
      </c>
      <c r="I58" s="289">
        <f>IFERROR(_xlfn.XLOOKUP($A58,CFR20242025_BenchMarkDataReport!$B:$B,CFR20242025_BenchMarkDataReport!Y:Y),0)</f>
        <v>7029.61</v>
      </c>
      <c r="J58" s="289">
        <f>IFERROR(_xlfn.XLOOKUP($A58,CFR20242025_BenchMarkDataReport!$B:$B,CFR20242025_BenchMarkDataReport!Z:Z),0)</f>
        <v>104590.98</v>
      </c>
      <c r="K58" s="289">
        <f>IFERROR(_xlfn.XLOOKUP($A58,CFR20242025_BenchMarkDataReport!$B:$B,CFR20242025_BenchMarkDataReport!AA:AA),0)</f>
        <v>17270</v>
      </c>
      <c r="L58" s="289">
        <f>IFERROR(_xlfn.XLOOKUP($A58,CFR20242025_BenchMarkDataReport!$B:$B,CFR20242025_BenchMarkDataReport!AB:AB),0)</f>
        <v>3844.88</v>
      </c>
      <c r="M58" s="289">
        <f>IFERROR(_xlfn.XLOOKUP($A58,CFR20242025_BenchMarkDataReport!$B:$B,CFR20242025_BenchMarkDataReport!AC:AC),0)</f>
        <v>512.91999999999996</v>
      </c>
      <c r="N58" s="289">
        <f>IFERROR(_xlfn.XLOOKUP($A58,CFR20242025_BenchMarkDataReport!$B:$B,CFR20242025_BenchMarkDataReport!AD:AD),0)</f>
        <v>0</v>
      </c>
      <c r="O58" s="289">
        <f>IFERROR(_xlfn.XLOOKUP($A58,CFR20242025_BenchMarkDataReport!$B:$B,CFR20242025_BenchMarkDataReport!AE:AE),0)</f>
        <v>210</v>
      </c>
      <c r="P58" s="289">
        <f>IFERROR(_xlfn.XLOOKUP($A58,CFR20242025_BenchMarkDataReport!$B:$B,CFR20242025_BenchMarkDataReport!AF:AF),0)</f>
        <v>40438.050000000003</v>
      </c>
      <c r="Q58" s="289">
        <f>IFERROR(_xlfn.XLOOKUP($A58,CFR20242025_BenchMarkDataReport!$B:$B,CFR20242025_BenchMarkDataReport!AG:AG),0)</f>
        <v>16410.310000000001</v>
      </c>
      <c r="R58" s="289">
        <f>IFERROR(_xlfn.XLOOKUP($A58,CFR20242025_BenchMarkDataReport!$B:$B,CFR20242025_BenchMarkDataReport!AH:AH),0)</f>
        <v>0</v>
      </c>
      <c r="S58" s="289">
        <f>IFERROR(_xlfn.XLOOKUP($A58,CFR20242025_BenchMarkDataReport!$B:$B,CFR20242025_BenchMarkDataReport!AI:AI),0)</f>
        <v>0</v>
      </c>
      <c r="T58" s="289">
        <f>IFERROR(_xlfn.XLOOKUP($A58,CFR20242025_BenchMarkDataReport!$B:$B,CFR20242025_BenchMarkDataReport!AJ:AJ),0)</f>
        <v>0</v>
      </c>
      <c r="U58" s="289">
        <f>INDEX(CFR20242025_BenchMarkDataReport!$B$3:$AM$87,MATCH(A58,CFR20242025_BenchMarkDataReport!$B$3:$B$87),MATCH($U$2,CFR20242025_BenchMarkDataReport!$B$3:$AM$3,0))</f>
        <v>76393.13</v>
      </c>
      <c r="V58" s="289">
        <f>IFERROR(_xlfn.XLOOKUP($A58,CFR20242025_BenchMarkDataReport!$B:$B,CFR20242025_BenchMarkDataReport!AN:AN),0)</f>
        <v>1349519.96</v>
      </c>
      <c r="W58" s="289">
        <f>IFERROR(_xlfn.XLOOKUP($A58,CFR20242025_BenchMarkDataReport!$B:$B,CFR20242025_BenchMarkDataReport!AO:AO),0)</f>
        <v>0</v>
      </c>
      <c r="X58" s="289">
        <f>IFERROR(_xlfn.XLOOKUP($A58,CFR20242025_BenchMarkDataReport!$B:$B,CFR20242025_BenchMarkDataReport!AP:AP),0)</f>
        <v>399018.33</v>
      </c>
      <c r="Y58" s="289">
        <f>IFERROR(_xlfn.XLOOKUP($A58,CFR20242025_BenchMarkDataReport!$B:$B,CFR20242025_BenchMarkDataReport!AQ:AQ),0)</f>
        <v>35019.67</v>
      </c>
      <c r="Z58" s="289">
        <f>IFERROR(_xlfn.XLOOKUP($A58,CFR20242025_BenchMarkDataReport!$B:$B,CFR20242025_BenchMarkDataReport!AR:AR),0)</f>
        <v>107329.47</v>
      </c>
      <c r="AA58" s="289">
        <f>IFERROR(_xlfn.XLOOKUP($A58,CFR20242025_BenchMarkDataReport!$B:$B,CFR20242025_BenchMarkDataReport!AS:AS),0)</f>
        <v>0</v>
      </c>
      <c r="AB58" s="289">
        <f>IFERROR(_xlfn.XLOOKUP($A58,CFR20242025_BenchMarkDataReport!$B:$B,CFR20242025_BenchMarkDataReport!AT:AT),0)</f>
        <v>0</v>
      </c>
      <c r="AC58" s="289">
        <f>IFERROR(_xlfn.XLOOKUP($A58,CFR20242025_BenchMarkDataReport!$B:$B,CFR20242025_BenchMarkDataReport!AU:AU),0)</f>
        <v>12000.7</v>
      </c>
      <c r="AD58" s="289">
        <f>IFERROR(_xlfn.XLOOKUP($A58,CFR20242025_BenchMarkDataReport!$B:$B,CFR20242025_BenchMarkDataReport!AV:AV),0)</f>
        <v>5115.1000000000004</v>
      </c>
      <c r="AE58" s="289">
        <f>IFERROR(_xlfn.XLOOKUP($A58,CFR20242025_BenchMarkDataReport!$B:$B,CFR20242025_BenchMarkDataReport!AW:AW),0)</f>
        <v>675.62</v>
      </c>
      <c r="AF58" s="289">
        <f>IFERROR(_xlfn.XLOOKUP($A58,CFR20242025_BenchMarkDataReport!$B:$B,CFR20242025_BenchMarkDataReport!AX:AX),0)</f>
        <v>0</v>
      </c>
      <c r="AG58" s="289">
        <f>IFERROR(_xlfn.XLOOKUP($A58,CFR20242025_BenchMarkDataReport!$B:$B,CFR20242025_BenchMarkDataReport!AY:AY),0)</f>
        <v>12966.66</v>
      </c>
      <c r="AH58" s="289">
        <f>IFERROR(_xlfn.XLOOKUP($A58,CFR20242025_BenchMarkDataReport!$B:$B,CFR20242025_BenchMarkDataReport!AZ:AZ),0)</f>
        <v>2937.53</v>
      </c>
      <c r="AI58" s="289">
        <f>IFERROR(_xlfn.XLOOKUP($A58,CFR20242025_BenchMarkDataReport!$B:$B,CFR20242025_BenchMarkDataReport!BA:BA),0)</f>
        <v>35825.57</v>
      </c>
      <c r="AJ58" s="289">
        <f>IFERROR(_xlfn.XLOOKUP($A58,CFR20242025_BenchMarkDataReport!$B:$B,CFR20242025_BenchMarkDataReport!BB:BB),0)</f>
        <v>1740.81</v>
      </c>
      <c r="AK58" s="289">
        <f>IFERROR(_xlfn.XLOOKUP($A58,CFR20242025_BenchMarkDataReport!$B:$B,CFR20242025_BenchMarkDataReport!BC:BC),0)</f>
        <v>49460.57</v>
      </c>
      <c r="AL58" s="289">
        <f>IFERROR(_xlfn.XLOOKUP($A58,CFR20242025_BenchMarkDataReport!$B:$B,CFR20242025_BenchMarkDataReport!BD:BD),0)</f>
        <v>5834.4</v>
      </c>
      <c r="AM58" s="289">
        <f>IFERROR(_xlfn.XLOOKUP($A58,CFR20242025_BenchMarkDataReport!$B:$B,CFR20242025_BenchMarkDataReport!BE:BE),0)</f>
        <v>12884.13</v>
      </c>
      <c r="AN58" s="289">
        <f>IFERROR(_xlfn.XLOOKUP($A58,CFR20242025_BenchMarkDataReport!$B:$B,CFR20242025_BenchMarkDataReport!BF:BF),0)</f>
        <v>131140.71</v>
      </c>
      <c r="AO58" s="289">
        <f>IFERROR(_xlfn.XLOOKUP($A58,CFR20242025_BenchMarkDataReport!$B:$B,CFR20242025_BenchMarkDataReport!BN:BN),0)</f>
        <v>30649.599999999999</v>
      </c>
      <c r="AP58" s="289">
        <f>IFERROR(_xlfn.XLOOKUP($A58,CFR20242025_BenchMarkDataReport!$B:$B,CFR20242025_BenchMarkDataReport!BO:BO),0)</f>
        <v>0</v>
      </c>
      <c r="AQ58" s="289">
        <f>IFERROR(_xlfn.XLOOKUP($A58,CFR20242025_BenchMarkDataReport!$B:$B,CFR20242025_BenchMarkDataReport!BP:BP),0)</f>
        <v>10550.4</v>
      </c>
      <c r="AR58" s="289">
        <f>IFERROR(_xlfn.XLOOKUP($A58,CFR20242025_BenchMarkDataReport!$B:$B,CFR20242025_BenchMarkDataReport!BQ:BQ),0)</f>
        <v>16642.23</v>
      </c>
      <c r="AS58" s="289">
        <f>IFERROR(_xlfn.XLOOKUP($A58,CFR20242025_BenchMarkDataReport!$B:$B,CFR20242025_BenchMarkDataReport!BR:BR),0)</f>
        <v>2880.6</v>
      </c>
      <c r="AT58" s="289">
        <f>IFERROR(_xlfn.XLOOKUP($A58,CFR20242025_BenchMarkDataReport!$B:$B,CFR20242025_BenchMarkDataReport!BS:BS),0)</f>
        <v>164610.87</v>
      </c>
      <c r="AU58" s="289">
        <f>IFERROR(_xlfn.XLOOKUP($A58,CFR20242025_BenchMarkDataReport!$B:$B,CFR20242025_BenchMarkDataReport!BT:BT),0)</f>
        <v>32904.910000000003</v>
      </c>
      <c r="AV58" s="289">
        <f>IFERROR(_xlfn.XLOOKUP($A58,CFR20242025_BenchMarkDataReport!$B:$B,CFR20242025_BenchMarkDataReport!BU:BU),0)</f>
        <v>136936.60999999999</v>
      </c>
      <c r="AW58" s="289">
        <f>IFERROR(_xlfn.XLOOKUP($A58,CFR20242025_BenchMarkDataReport!$B:$B,CFR20242025_BenchMarkDataReport!BV:BV),0)</f>
        <v>39930.83</v>
      </c>
      <c r="AX58" s="289">
        <f>IFERROR(_xlfn.XLOOKUP($A58,CFR20242025_BenchMarkDataReport!$B:$B,CFR20242025_BenchMarkDataReport!BW:BW),0)</f>
        <v>0</v>
      </c>
      <c r="AY58" s="289">
        <f>IFERROR(_xlfn.XLOOKUP($A58,CFR20242025_BenchMarkDataReport!$B:$B,CFR20242025_BenchMarkDataReport!BX:BX),0)</f>
        <v>0</v>
      </c>
      <c r="AZ58" s="289">
        <f>IFERROR(_xlfn.XLOOKUP($A58,CFR20242025_BenchMarkDataReport!$B:$B,CFR20242025_BenchMarkDataReport!BY:BY),0)</f>
        <v>0</v>
      </c>
      <c r="BA58" s="289">
        <f>IFERROR(_xlfn.XLOOKUP($A58,CFR20242025_BenchMarkDataReport!$B:$B,CFR20242025_BenchMarkDataReport!BZ:BZ),0)</f>
        <v>0</v>
      </c>
      <c r="BB58" s="289">
        <f>IFERROR(_xlfn.XLOOKUP($A58,CFR20242025_BenchMarkDataReport!$B:$B,CFR20242025_BenchMarkDataReport!CA:CA),0)</f>
        <v>0</v>
      </c>
      <c r="BC58" s="290">
        <f t="shared" si="106"/>
        <v>2537284.2699999996</v>
      </c>
      <c r="BD58" s="291">
        <f t="shared" si="104"/>
        <v>2596575.2800000003</v>
      </c>
      <c r="BE58" s="327">
        <f t="shared" si="105"/>
        <v>-59291.010000000708</v>
      </c>
      <c r="BF58" s="289">
        <f>IFERROR(_xlfn.XLOOKUP(A58,CFR20242025_BenchMarkDataReport!B:B,CFR20242025_BenchMarkDataReport!Q:Q),0)</f>
        <v>255603.01</v>
      </c>
      <c r="BG58" s="290">
        <f t="shared" si="0"/>
        <v>196311.9999999993</v>
      </c>
      <c r="BH58" s="292">
        <f>_xlfn.XLOOKUP(A58,'Pupil on roll 24-25'!E:E,'Pupil on roll 24-25'!I:I)</f>
        <v>407</v>
      </c>
      <c r="BI58" s="291">
        <f t="shared" si="1"/>
        <v>2184850.39</v>
      </c>
      <c r="BJ58" t="s">
        <v>190</v>
      </c>
      <c r="BK58" s="293">
        <f t="shared" si="107"/>
        <v>0.84131844635603259</v>
      </c>
      <c r="BL58" s="294">
        <f t="shared" si="108"/>
        <v>5244.8748402948404</v>
      </c>
      <c r="BM58" s="295">
        <f t="shared" si="109"/>
        <v>0</v>
      </c>
      <c r="BN58" s="296">
        <f t="shared" si="110"/>
        <v>0</v>
      </c>
      <c r="BO58" s="293">
        <f t="shared" si="111"/>
        <v>1.9779545632070628E-2</v>
      </c>
      <c r="BP58" s="294">
        <f t="shared" si="112"/>
        <v>123.30793611793612</v>
      </c>
      <c r="BQ58" s="295">
        <f t="shared" si="113"/>
        <v>0</v>
      </c>
      <c r="BR58" s="296">
        <f t="shared" si="114"/>
        <v>0</v>
      </c>
      <c r="BS58" s="293">
        <f t="shared" si="115"/>
        <v>3.3789670717503016E-2</v>
      </c>
      <c r="BT58" s="294">
        <f t="shared" si="116"/>
        <v>210.64864864864865</v>
      </c>
      <c r="BU58" s="295">
        <f t="shared" si="117"/>
        <v>2.7705251962169778E-3</v>
      </c>
      <c r="BV58" s="296">
        <f t="shared" si="118"/>
        <v>17.271769041769041</v>
      </c>
      <c r="BW58" s="293">
        <f t="shared" si="119"/>
        <v>4.122162472555746E-2</v>
      </c>
      <c r="BX58" s="294">
        <f t="shared" si="120"/>
        <v>256.98029484029485</v>
      </c>
      <c r="BY58" s="295">
        <f t="shared" si="121"/>
        <v>8.3218424713601379E-3</v>
      </c>
      <c r="BZ58" s="297">
        <f t="shared" si="122"/>
        <v>51.87931203931204</v>
      </c>
      <c r="CA58" s="298">
        <f t="shared" si="123"/>
        <v>1.593753229708077E-2</v>
      </c>
      <c r="CB58" s="299">
        <f t="shared" si="124"/>
        <v>99.356388206388218</v>
      </c>
      <c r="CC58" s="295">
        <f t="shared" si="125"/>
        <v>6.4676671014083902E-3</v>
      </c>
      <c r="CD58" s="296">
        <f t="shared" si="126"/>
        <v>40.320171990171993</v>
      </c>
      <c r="CE58" s="300">
        <f t="shared" si="127"/>
        <v>0.63273205173558811</v>
      </c>
      <c r="CF58" s="298">
        <f t="shared" si="128"/>
        <v>0.54484429921602762</v>
      </c>
      <c r="CG58" s="298">
        <f t="shared" si="129"/>
        <v>0.53240315451204623</v>
      </c>
      <c r="CH58" s="299">
        <f t="shared" si="130"/>
        <v>3396.621302211302</v>
      </c>
      <c r="CI58" s="295">
        <f t="shared" si="131"/>
        <v>0.18262958957111933</v>
      </c>
      <c r="CJ58" s="301">
        <f t="shared" si="132"/>
        <v>0.15726197285730231</v>
      </c>
      <c r="CK58" s="301">
        <f t="shared" si="133"/>
        <v>0.15367100390788593</v>
      </c>
      <c r="CL58" s="302">
        <f t="shared" si="134"/>
        <v>980.38901719901719</v>
      </c>
      <c r="CM58" s="300">
        <f t="shared" si="135"/>
        <v>1.6028406411845893E-2</v>
      </c>
      <c r="CN58" s="298">
        <f t="shared" si="136"/>
        <v>1.3802028576009737E-2</v>
      </c>
      <c r="CO58" s="298">
        <f t="shared" si="137"/>
        <v>1.3486868749670911E-2</v>
      </c>
      <c r="CP58" s="299">
        <f t="shared" si="138"/>
        <v>86.043415233415232</v>
      </c>
      <c r="CQ58" s="295">
        <f t="shared" si="139"/>
        <v>4.912440251801406E-2</v>
      </c>
      <c r="CR58" s="301">
        <f t="shared" si="140"/>
        <v>4.2300924365877228E-2</v>
      </c>
      <c r="CS58" s="301">
        <f t="shared" si="141"/>
        <v>4.1335011862240326E-2</v>
      </c>
      <c r="CT58" s="296">
        <f t="shared" si="142"/>
        <v>263.70877149877151</v>
      </c>
      <c r="CU58" s="300">
        <f t="shared" si="143"/>
        <v>0.86545396364645355</v>
      </c>
      <c r="CV58" s="298">
        <f t="shared" si="144"/>
        <v>0.74524067025410612</v>
      </c>
      <c r="CW58" s="298">
        <f t="shared" si="145"/>
        <v>0.72822361229596233</v>
      </c>
      <c r="CX58" s="299">
        <f t="shared" si="146"/>
        <v>4645.9150614250611</v>
      </c>
      <c r="CY58" s="295">
        <f t="shared" si="147"/>
        <v>5.9348045336870868E-3</v>
      </c>
      <c r="CZ58" s="301">
        <f t="shared" si="148"/>
        <v>4.9937546967634997E-3</v>
      </c>
      <c r="DA58" s="296">
        <f t="shared" si="149"/>
        <v>31.859115479115477</v>
      </c>
      <c r="DB58" s="300">
        <f t="shared" si="150"/>
        <v>6.7042539201867457E-4</v>
      </c>
      <c r="DC58" s="299">
        <f t="shared" si="151"/>
        <v>4.2771744471744473</v>
      </c>
      <c r="DD58" s="295">
        <f t="shared" si="152"/>
        <v>2.2637966529140695E-2</v>
      </c>
      <c r="DE58" s="301">
        <f t="shared" si="153"/>
        <v>1.9048386688792631E-2</v>
      </c>
      <c r="DF58" s="296">
        <f t="shared" si="154"/>
        <v>121.52474201474202</v>
      </c>
      <c r="DG58" s="300">
        <f t="shared" si="155"/>
        <v>5.8970307802174039E-3</v>
      </c>
      <c r="DH58" s="298">
        <f t="shared" si="156"/>
        <v>4.9619705229574538E-3</v>
      </c>
      <c r="DI58" s="303">
        <f t="shared" si="157"/>
        <v>31.656339066339065</v>
      </c>
      <c r="DJ58" s="295">
        <f t="shared" si="158"/>
        <v>6.0022741419836982E-2</v>
      </c>
      <c r="DK58" s="301">
        <f t="shared" si="159"/>
        <v>5.1685462110242782E-2</v>
      </c>
      <c r="DL58" s="301">
        <f t="shared" si="160"/>
        <v>5.0505260144046348E-2</v>
      </c>
      <c r="DM58" s="296">
        <f t="shared" si="161"/>
        <v>322.21304668304668</v>
      </c>
      <c r="DN58" s="300">
        <f t="shared" si="162"/>
        <v>4.8288889931726621E-3</v>
      </c>
      <c r="DO58" s="298">
        <f t="shared" si="163"/>
        <v>4.063198198513235E-3</v>
      </c>
      <c r="DP58" s="299">
        <f t="shared" si="164"/>
        <v>25.922358722358723</v>
      </c>
      <c r="DQ58" s="295">
        <f t="shared" si="165"/>
        <v>6.2675508870884286E-2</v>
      </c>
      <c r="DR58" s="301">
        <f t="shared" si="166"/>
        <v>5.2737392616631538E-2</v>
      </c>
      <c r="DS58" s="296">
        <f t="shared" si="167"/>
        <v>336.45358722358719</v>
      </c>
      <c r="DT58" s="300">
        <f t="shared" si="168"/>
        <v>6.3395377468124084E-2</v>
      </c>
      <c r="DU58" s="299">
        <f t="shared" si="169"/>
        <v>404.44931203931202</v>
      </c>
      <c r="DV58" s="295">
        <f t="shared" si="25"/>
        <v>1.3797239107968399E-2</v>
      </c>
      <c r="DW58" s="296">
        <f t="shared" si="97"/>
        <v>88.023513513513507</v>
      </c>
      <c r="DX58" s="295">
        <f t="shared" si="170"/>
        <v>2.4715651125201299E-5</v>
      </c>
      <c r="DY58" s="301">
        <f t="shared" si="171"/>
        <v>2.1282597554589344E-5</v>
      </c>
      <c r="DZ58" s="301">
        <f t="shared" si="172"/>
        <v>2.0796624082472199E-5</v>
      </c>
      <c r="EA58" s="296">
        <f t="shared" si="173"/>
        <v>0.13267813267813267</v>
      </c>
      <c r="EB58" s="304">
        <f>IFERROR(_xlfn.XLOOKUP(A58,'Pupil on roll 24-25'!E:E,'Pupil on roll 24-25'!R:R),0)</f>
        <v>54</v>
      </c>
      <c r="EC58" s="289">
        <f>IFERROR(_xlfn.XLOOKUP(A58,CFR20242025_BenchMarkDataReport!B:B,CFR20242025_BenchMarkDataReport!AK:AK),0)</f>
        <v>3315.63</v>
      </c>
      <c r="ED58" s="289">
        <f>IFERROR(_xlfn.XLOOKUP(A58,CFR20242025_BenchMarkDataReport!B:B,CFR20242025_BenchMarkDataReport!AL:AL),0)</f>
        <v>73077.5</v>
      </c>
    </row>
    <row r="59" spans="1:134">
      <c r="A59" s="208">
        <v>3502</v>
      </c>
      <c r="B59" s="326">
        <v>10087</v>
      </c>
      <c r="C59" s="208" t="s">
        <v>91</v>
      </c>
      <c r="D59" s="289">
        <f>IFERROR(_xlfn.XLOOKUP($A59,CFR20242025_BenchMarkDataReport!$B:$B,CFR20242025_BenchMarkDataReport!T:T),0)</f>
        <v>2499931.2400000002</v>
      </c>
      <c r="E59" s="289">
        <f>IFERROR(_xlfn.XLOOKUP($A59,CFR20242025_BenchMarkDataReport!$B:$B,CFR20242025_BenchMarkDataReport!U:U),0)</f>
        <v>0</v>
      </c>
      <c r="F59" s="289">
        <f>IFERROR(_xlfn.XLOOKUP($A59,CFR20242025_BenchMarkDataReport!$B:$B,CFR20242025_BenchMarkDataReport!V:V),0)</f>
        <v>164984.67000000001</v>
      </c>
      <c r="G59" s="289">
        <f>IFERROR(_xlfn.XLOOKUP($A59,CFR20242025_BenchMarkDataReport!$B:$B,CFR20242025_BenchMarkDataReport!W:W),0)</f>
        <v>0</v>
      </c>
      <c r="H59" s="289">
        <f>IFERROR(_xlfn.XLOOKUP($A59,CFR20242025_BenchMarkDataReport!$B:$B,CFR20242025_BenchMarkDataReport!X:X),0)</f>
        <v>156610</v>
      </c>
      <c r="I59" s="289">
        <f>IFERROR(_xlfn.XLOOKUP($A59,CFR20242025_BenchMarkDataReport!$B:$B,CFR20242025_BenchMarkDataReport!Y:Y),0)</f>
        <v>12148.07</v>
      </c>
      <c r="J59" s="289">
        <f>IFERROR(_xlfn.XLOOKUP($A59,CFR20242025_BenchMarkDataReport!$B:$B,CFR20242025_BenchMarkDataReport!Z:Z),0)</f>
        <v>82312.3</v>
      </c>
      <c r="K59" s="289">
        <f>IFERROR(_xlfn.XLOOKUP($A59,CFR20242025_BenchMarkDataReport!$B:$B,CFR20242025_BenchMarkDataReport!AA:AA),0)</f>
        <v>9686.5</v>
      </c>
      <c r="L59" s="289">
        <f>IFERROR(_xlfn.XLOOKUP($A59,CFR20242025_BenchMarkDataReport!$B:$B,CFR20242025_BenchMarkDataReport!AB:AB),0)</f>
        <v>39800.79</v>
      </c>
      <c r="M59" s="289">
        <f>IFERROR(_xlfn.XLOOKUP($A59,CFR20242025_BenchMarkDataReport!$B:$B,CFR20242025_BenchMarkDataReport!AC:AC),0)</f>
        <v>2758.73</v>
      </c>
      <c r="N59" s="289">
        <f>IFERROR(_xlfn.XLOOKUP($A59,CFR20242025_BenchMarkDataReport!$B:$B,CFR20242025_BenchMarkDataReport!AD:AD),0)</f>
        <v>0</v>
      </c>
      <c r="O59" s="289">
        <f>IFERROR(_xlfn.XLOOKUP($A59,CFR20242025_BenchMarkDataReport!$B:$B,CFR20242025_BenchMarkDataReport!AE:AE),0)</f>
        <v>0</v>
      </c>
      <c r="P59" s="289">
        <f>IFERROR(_xlfn.XLOOKUP($A59,CFR20242025_BenchMarkDataReport!$B:$B,CFR20242025_BenchMarkDataReport!AF:AF),0)</f>
        <v>36377.69</v>
      </c>
      <c r="Q59" s="289">
        <f>IFERROR(_xlfn.XLOOKUP($A59,CFR20242025_BenchMarkDataReport!$B:$B,CFR20242025_BenchMarkDataReport!AG:AG),0)</f>
        <v>3456.73</v>
      </c>
      <c r="R59" s="289">
        <f>IFERROR(_xlfn.XLOOKUP($A59,CFR20242025_BenchMarkDataReport!$B:$B,CFR20242025_BenchMarkDataReport!AH:AH),0)</f>
        <v>0</v>
      </c>
      <c r="S59" s="289">
        <f>IFERROR(_xlfn.XLOOKUP($A59,CFR20242025_BenchMarkDataReport!$B:$B,CFR20242025_BenchMarkDataReport!AI:AI),0)</f>
        <v>0</v>
      </c>
      <c r="T59" s="289">
        <f>IFERROR(_xlfn.XLOOKUP($A59,CFR20242025_BenchMarkDataReport!$B:$B,CFR20242025_BenchMarkDataReport!AJ:AJ),0)</f>
        <v>0</v>
      </c>
      <c r="U59" s="289">
        <f>INDEX(CFR20242025_BenchMarkDataReport!$B$3:$AM$87,MATCH(A59,CFR20242025_BenchMarkDataReport!$B$3:$B$87),MATCH($U$2,CFR20242025_BenchMarkDataReport!$B$3:$AM$3,0))</f>
        <v>79849.25</v>
      </c>
      <c r="V59" s="289">
        <f>IFERROR(_xlfn.XLOOKUP($A59,CFR20242025_BenchMarkDataReport!$B:$B,CFR20242025_BenchMarkDataReport!AN:AN),0)</f>
        <v>1377486.26</v>
      </c>
      <c r="W59" s="289">
        <f>IFERROR(_xlfn.XLOOKUP($A59,CFR20242025_BenchMarkDataReport!$B:$B,CFR20242025_BenchMarkDataReport!AO:AO),0)</f>
        <v>0</v>
      </c>
      <c r="X59" s="289">
        <f>IFERROR(_xlfn.XLOOKUP($A59,CFR20242025_BenchMarkDataReport!$B:$B,CFR20242025_BenchMarkDataReport!AP:AP),0)</f>
        <v>778996.09</v>
      </c>
      <c r="Y59" s="289">
        <f>IFERROR(_xlfn.XLOOKUP($A59,CFR20242025_BenchMarkDataReport!$B:$B,CFR20242025_BenchMarkDataReport!AQ:AQ),0)</f>
        <v>96441.23</v>
      </c>
      <c r="Z59" s="289">
        <f>IFERROR(_xlfn.XLOOKUP($A59,CFR20242025_BenchMarkDataReport!$B:$B,CFR20242025_BenchMarkDataReport!AR:AR),0)</f>
        <v>68140.94</v>
      </c>
      <c r="AA59" s="289">
        <f>IFERROR(_xlfn.XLOOKUP($A59,CFR20242025_BenchMarkDataReport!$B:$B,CFR20242025_BenchMarkDataReport!AS:AS),0)</f>
        <v>0</v>
      </c>
      <c r="AB59" s="289">
        <f>IFERROR(_xlfn.XLOOKUP($A59,CFR20242025_BenchMarkDataReport!$B:$B,CFR20242025_BenchMarkDataReport!AT:AT),0)</f>
        <v>32690.95</v>
      </c>
      <c r="AC59" s="289">
        <f>IFERROR(_xlfn.XLOOKUP($A59,CFR20242025_BenchMarkDataReport!$B:$B,CFR20242025_BenchMarkDataReport!AU:AU),0)</f>
        <v>3227.8</v>
      </c>
      <c r="AD59" s="289">
        <f>IFERROR(_xlfn.XLOOKUP($A59,CFR20242025_BenchMarkDataReport!$B:$B,CFR20242025_BenchMarkDataReport!AV:AV),0)</f>
        <v>6359.72</v>
      </c>
      <c r="AE59" s="289">
        <f>IFERROR(_xlfn.XLOOKUP($A59,CFR20242025_BenchMarkDataReport!$B:$B,CFR20242025_BenchMarkDataReport!AW:AW),0)</f>
        <v>668.98</v>
      </c>
      <c r="AF59" s="289">
        <f>IFERROR(_xlfn.XLOOKUP($A59,CFR20242025_BenchMarkDataReport!$B:$B,CFR20242025_BenchMarkDataReport!AX:AX),0)</f>
        <v>0</v>
      </c>
      <c r="AG59" s="289">
        <f>IFERROR(_xlfn.XLOOKUP($A59,CFR20242025_BenchMarkDataReport!$B:$B,CFR20242025_BenchMarkDataReport!AY:AY),0)</f>
        <v>124979.17</v>
      </c>
      <c r="AH59" s="289">
        <f>IFERROR(_xlfn.XLOOKUP($A59,CFR20242025_BenchMarkDataReport!$B:$B,CFR20242025_BenchMarkDataReport!AZ:AZ),0)</f>
        <v>6924.61</v>
      </c>
      <c r="AI59" s="289">
        <f>IFERROR(_xlfn.XLOOKUP($A59,CFR20242025_BenchMarkDataReport!$B:$B,CFR20242025_BenchMarkDataReport!BA:BA),0)</f>
        <v>7025.39</v>
      </c>
      <c r="AJ59" s="289">
        <f>IFERROR(_xlfn.XLOOKUP($A59,CFR20242025_BenchMarkDataReport!$B:$B,CFR20242025_BenchMarkDataReport!BB:BB),0)</f>
        <v>8989.7900000000009</v>
      </c>
      <c r="AK59" s="289">
        <f>IFERROR(_xlfn.XLOOKUP($A59,CFR20242025_BenchMarkDataReport!$B:$B,CFR20242025_BenchMarkDataReport!BC:BC),0)</f>
        <v>39278.68</v>
      </c>
      <c r="AL59" s="289">
        <f>IFERROR(_xlfn.XLOOKUP($A59,CFR20242025_BenchMarkDataReport!$B:$B,CFR20242025_BenchMarkDataReport!BD:BD),0)</f>
        <v>7425.6</v>
      </c>
      <c r="AM59" s="289">
        <f>IFERROR(_xlfn.XLOOKUP($A59,CFR20242025_BenchMarkDataReport!$B:$B,CFR20242025_BenchMarkDataReport!BE:BE),0)</f>
        <v>18231.099999999999</v>
      </c>
      <c r="AN59" s="289">
        <f>IFERROR(_xlfn.XLOOKUP($A59,CFR20242025_BenchMarkDataReport!$B:$B,CFR20242025_BenchMarkDataReport!BF:BF),0)</f>
        <v>121384.22</v>
      </c>
      <c r="AO59" s="289">
        <f>IFERROR(_xlfn.XLOOKUP($A59,CFR20242025_BenchMarkDataReport!$B:$B,CFR20242025_BenchMarkDataReport!BN:BN),0)</f>
        <v>27950.05</v>
      </c>
      <c r="AP59" s="289">
        <f>IFERROR(_xlfn.XLOOKUP($A59,CFR20242025_BenchMarkDataReport!$B:$B,CFR20242025_BenchMarkDataReport!BO:BO),0)</f>
        <v>0</v>
      </c>
      <c r="AQ59" s="289">
        <f>IFERROR(_xlfn.XLOOKUP($A59,CFR20242025_BenchMarkDataReport!$B:$B,CFR20242025_BenchMarkDataReport!BP:BP),0)</f>
        <v>35039.660000000003</v>
      </c>
      <c r="AR59" s="289">
        <f>IFERROR(_xlfn.XLOOKUP($A59,CFR20242025_BenchMarkDataReport!$B:$B,CFR20242025_BenchMarkDataReport!BQ:BQ),0)</f>
        <v>17177.330000000002</v>
      </c>
      <c r="AS59" s="289">
        <f>IFERROR(_xlfn.XLOOKUP($A59,CFR20242025_BenchMarkDataReport!$B:$B,CFR20242025_BenchMarkDataReport!BR:BR),0)</f>
        <v>3183.01</v>
      </c>
      <c r="AT59" s="289">
        <f>IFERROR(_xlfn.XLOOKUP($A59,CFR20242025_BenchMarkDataReport!$B:$B,CFR20242025_BenchMarkDataReport!BS:BS),0)</f>
        <v>176660.34</v>
      </c>
      <c r="AU59" s="289">
        <f>IFERROR(_xlfn.XLOOKUP($A59,CFR20242025_BenchMarkDataReport!$B:$B,CFR20242025_BenchMarkDataReport!BT:BT),0)</f>
        <v>74530.570000000007</v>
      </c>
      <c r="AV59" s="289">
        <f>IFERROR(_xlfn.XLOOKUP($A59,CFR20242025_BenchMarkDataReport!$B:$B,CFR20242025_BenchMarkDataReport!BU:BU),0)</f>
        <v>150044.85</v>
      </c>
      <c r="AW59" s="289">
        <f>IFERROR(_xlfn.XLOOKUP($A59,CFR20242025_BenchMarkDataReport!$B:$B,CFR20242025_BenchMarkDataReport!BV:BV),0)</f>
        <v>59251.34</v>
      </c>
      <c r="AX59" s="289">
        <f>IFERROR(_xlfn.XLOOKUP($A59,CFR20242025_BenchMarkDataReport!$B:$B,CFR20242025_BenchMarkDataReport!BW:BW),0)</f>
        <v>0</v>
      </c>
      <c r="AY59" s="289">
        <f>IFERROR(_xlfn.XLOOKUP($A59,CFR20242025_BenchMarkDataReport!$B:$B,CFR20242025_BenchMarkDataReport!BX:BX),0)</f>
        <v>0</v>
      </c>
      <c r="AZ59" s="289">
        <f>IFERROR(_xlfn.XLOOKUP($A59,CFR20242025_BenchMarkDataReport!$B:$B,CFR20242025_BenchMarkDataReport!BY:BY),0)</f>
        <v>0</v>
      </c>
      <c r="BA59" s="289">
        <f>IFERROR(_xlfn.XLOOKUP($A59,CFR20242025_BenchMarkDataReport!$B:$B,CFR20242025_BenchMarkDataReport!BZ:BZ),0)</f>
        <v>0</v>
      </c>
      <c r="BB59" s="289">
        <f>IFERROR(_xlfn.XLOOKUP($A59,CFR20242025_BenchMarkDataReport!$B:$B,CFR20242025_BenchMarkDataReport!CA:CA),0)</f>
        <v>0</v>
      </c>
      <c r="BC59" s="290">
        <f t="shared" si="106"/>
        <v>3087915.9699999997</v>
      </c>
      <c r="BD59" s="291">
        <f t="shared" si="104"/>
        <v>3242087.68</v>
      </c>
      <c r="BE59" s="327">
        <f t="shared" si="105"/>
        <v>-154171.71000000043</v>
      </c>
      <c r="BF59" s="289">
        <f>IFERROR(_xlfn.XLOOKUP(A59,CFR20242025_BenchMarkDataReport!B:B,CFR20242025_BenchMarkDataReport!Q:Q),0)</f>
        <v>965685.71</v>
      </c>
      <c r="BG59" s="290">
        <f t="shared" si="0"/>
        <v>811513.99999999953</v>
      </c>
      <c r="BH59" s="292">
        <f>_xlfn.XLOOKUP(A59,'Pupil on roll 24-25'!E:E,'Pupil on roll 24-25'!I:I)</f>
        <v>403</v>
      </c>
      <c r="BI59" s="291">
        <f t="shared" si="1"/>
        <v>2664915.91</v>
      </c>
      <c r="BJ59" t="s">
        <v>190</v>
      </c>
      <c r="BK59" s="293">
        <f t="shared" si="107"/>
        <v>0.80958525565059347</v>
      </c>
      <c r="BL59" s="294">
        <f t="shared" si="108"/>
        <v>6203.3033250620356</v>
      </c>
      <c r="BM59" s="295">
        <f t="shared" si="109"/>
        <v>0</v>
      </c>
      <c r="BN59" s="296">
        <f t="shared" si="110"/>
        <v>0</v>
      </c>
      <c r="BO59" s="293">
        <f t="shared" si="111"/>
        <v>5.3429132010998352E-2</v>
      </c>
      <c r="BP59" s="294">
        <f t="shared" si="112"/>
        <v>409.39124069478913</v>
      </c>
      <c r="BQ59" s="295">
        <f t="shared" si="113"/>
        <v>0</v>
      </c>
      <c r="BR59" s="296">
        <f t="shared" si="114"/>
        <v>0</v>
      </c>
      <c r="BS59" s="293">
        <f t="shared" si="115"/>
        <v>5.0717053676820105E-2</v>
      </c>
      <c r="BT59" s="294">
        <f t="shared" si="116"/>
        <v>388.61042183622828</v>
      </c>
      <c r="BU59" s="295">
        <f t="shared" si="117"/>
        <v>3.9340675452382862E-3</v>
      </c>
      <c r="BV59" s="296">
        <f t="shared" si="118"/>
        <v>30.14409429280397</v>
      </c>
      <c r="BW59" s="293">
        <f t="shared" si="119"/>
        <v>2.6656262929330946E-2</v>
      </c>
      <c r="BX59" s="294">
        <f t="shared" si="120"/>
        <v>204.24888337468983</v>
      </c>
      <c r="BY59" s="295">
        <f t="shared" si="121"/>
        <v>1.6026112912651571E-2</v>
      </c>
      <c r="BZ59" s="297">
        <f t="shared" si="122"/>
        <v>122.79724565756824</v>
      </c>
      <c r="CA59" s="298">
        <f t="shared" si="123"/>
        <v>1.1780660598740323E-2</v>
      </c>
      <c r="CB59" s="299">
        <f t="shared" si="124"/>
        <v>90.267220843672462</v>
      </c>
      <c r="CC59" s="295">
        <f t="shared" si="125"/>
        <v>1.1194378453245281E-3</v>
      </c>
      <c r="CD59" s="296">
        <f t="shared" si="126"/>
        <v>8.5774937965260545</v>
      </c>
      <c r="CE59" s="300">
        <f t="shared" si="127"/>
        <v>0.54486403287674467</v>
      </c>
      <c r="CF59" s="298">
        <f t="shared" si="128"/>
        <v>0.47022549969194927</v>
      </c>
      <c r="CG59" s="298">
        <f t="shared" si="129"/>
        <v>0.44786476286785681</v>
      </c>
      <c r="CH59" s="299">
        <f t="shared" si="130"/>
        <v>3603.0194292803972</v>
      </c>
      <c r="CI59" s="295">
        <f t="shared" si="131"/>
        <v>0.29231544870772297</v>
      </c>
      <c r="CJ59" s="301">
        <f t="shared" si="132"/>
        <v>0.25227243797051901</v>
      </c>
      <c r="CK59" s="301">
        <f t="shared" si="133"/>
        <v>0.2402760711271078</v>
      </c>
      <c r="CL59" s="302">
        <f t="shared" si="134"/>
        <v>1932.9927791563275</v>
      </c>
      <c r="CM59" s="300">
        <f t="shared" si="135"/>
        <v>3.618922069477231E-2</v>
      </c>
      <c r="CN59" s="298">
        <f t="shared" si="136"/>
        <v>3.1231818137849133E-2</v>
      </c>
      <c r="CO59" s="298">
        <f t="shared" si="137"/>
        <v>2.974664460647776E-2</v>
      </c>
      <c r="CP59" s="299">
        <f t="shared" si="138"/>
        <v>239.30826302729528</v>
      </c>
      <c r="CQ59" s="295">
        <f t="shared" si="139"/>
        <v>2.556963983152474E-2</v>
      </c>
      <c r="CR59" s="301">
        <f t="shared" si="140"/>
        <v>2.2066967061930773E-2</v>
      </c>
      <c r="CS59" s="301">
        <f t="shared" si="141"/>
        <v>2.1017611713696774E-2</v>
      </c>
      <c r="CT59" s="296">
        <f t="shared" si="142"/>
        <v>169.08421836228288</v>
      </c>
      <c r="CU59" s="300">
        <f t="shared" si="143"/>
        <v>0.88323817692243811</v>
      </c>
      <c r="CV59" s="298">
        <f t="shared" si="144"/>
        <v>0.76224725441605856</v>
      </c>
      <c r="CW59" s="298">
        <f t="shared" si="145"/>
        <v>0.72599994272826085</v>
      </c>
      <c r="CX59" s="299">
        <f t="shared" si="146"/>
        <v>5840.584292803971</v>
      </c>
      <c r="CY59" s="295">
        <f t="shared" si="147"/>
        <v>4.6897978855925698E-2</v>
      </c>
      <c r="CZ59" s="301">
        <f t="shared" si="148"/>
        <v>3.8548979033164212E-2</v>
      </c>
      <c r="DA59" s="296">
        <f t="shared" si="149"/>
        <v>310.1220099255583</v>
      </c>
      <c r="DB59" s="300">
        <f t="shared" si="150"/>
        <v>2.7728398758173007E-3</v>
      </c>
      <c r="DC59" s="299">
        <f t="shared" si="151"/>
        <v>22.307171215880896</v>
      </c>
      <c r="DD59" s="295">
        <f t="shared" si="152"/>
        <v>1.4739181770279573E-2</v>
      </c>
      <c r="DE59" s="301">
        <f t="shared" si="153"/>
        <v>1.2115242978252828E-2</v>
      </c>
      <c r="DF59" s="296">
        <f t="shared" si="154"/>
        <v>97.465707196029783</v>
      </c>
      <c r="DG59" s="300">
        <f t="shared" si="155"/>
        <v>6.8411539484561062E-3</v>
      </c>
      <c r="DH59" s="298">
        <f t="shared" si="156"/>
        <v>5.6232593931574357E-3</v>
      </c>
      <c r="DI59" s="303">
        <f t="shared" si="157"/>
        <v>45.238461538461536</v>
      </c>
      <c r="DJ59" s="295">
        <f t="shared" si="158"/>
        <v>4.5548986947209151E-2</v>
      </c>
      <c r="DK59" s="301">
        <f t="shared" si="159"/>
        <v>3.9309431078851542E-2</v>
      </c>
      <c r="DL59" s="301">
        <f t="shared" si="160"/>
        <v>3.7440141038998676E-2</v>
      </c>
      <c r="DM59" s="296">
        <f t="shared" si="161"/>
        <v>301.20153846153846</v>
      </c>
      <c r="DN59" s="300">
        <f t="shared" si="162"/>
        <v>1.314850493725335E-2</v>
      </c>
      <c r="DO59" s="298">
        <f t="shared" si="163"/>
        <v>1.0807745952139087E-2</v>
      </c>
      <c r="DP59" s="299">
        <f t="shared" si="164"/>
        <v>86.947047146401999</v>
      </c>
      <c r="DQ59" s="295">
        <f t="shared" si="165"/>
        <v>5.6303784084504191E-2</v>
      </c>
      <c r="DR59" s="301">
        <f t="shared" si="166"/>
        <v>4.6280318365726617E-2</v>
      </c>
      <c r="DS59" s="296">
        <f t="shared" si="167"/>
        <v>372.31972704714644</v>
      </c>
      <c r="DT59" s="300">
        <f t="shared" si="168"/>
        <v>5.4489686102505402E-2</v>
      </c>
      <c r="DU59" s="299">
        <f t="shared" si="169"/>
        <v>438.36312655086846</v>
      </c>
      <c r="DV59" s="295">
        <f t="shared" si="25"/>
        <v>2.1669339923588988E-3</v>
      </c>
      <c r="DW59" s="296">
        <f t="shared" si="97"/>
        <v>17.43272952853598</v>
      </c>
      <c r="DX59" s="295">
        <f t="shared" si="170"/>
        <v>3.8275128913917588E-5</v>
      </c>
      <c r="DY59" s="301">
        <f t="shared" si="171"/>
        <v>3.3031986942313075E-5</v>
      </c>
      <c r="DZ59" s="301">
        <f t="shared" si="172"/>
        <v>3.1461209587027579E-5</v>
      </c>
      <c r="EA59" s="296">
        <f t="shared" si="173"/>
        <v>0.25310173697270472</v>
      </c>
      <c r="EB59" s="304">
        <f>IFERROR(_xlfn.XLOOKUP(A59,'Pupil on roll 24-25'!E:E,'Pupil on roll 24-25'!R:R),0)</f>
        <v>102</v>
      </c>
      <c r="EC59" s="289">
        <f>IFERROR(_xlfn.XLOOKUP(A59,CFR20242025_BenchMarkDataReport!B:B,CFR20242025_BenchMarkDataReport!AK:AK),0)</f>
        <v>0</v>
      </c>
      <c r="ED59" s="289">
        <f>IFERROR(_xlfn.XLOOKUP(A59,CFR20242025_BenchMarkDataReport!B:B,CFR20242025_BenchMarkDataReport!AL:AL),0)</f>
        <v>79849.25</v>
      </c>
    </row>
    <row r="60" spans="1:134">
      <c r="A60" s="208">
        <v>3315</v>
      </c>
      <c r="B60" s="326">
        <v>10099</v>
      </c>
      <c r="C60" s="208" t="s">
        <v>92</v>
      </c>
      <c r="D60" s="289">
        <f>IFERROR(_xlfn.XLOOKUP($A60,CFR20242025_BenchMarkDataReport!$B:$B,CFR20242025_BenchMarkDataReport!T:T),0)</f>
        <v>1126791.3500000001</v>
      </c>
      <c r="E60" s="289">
        <f>IFERROR(_xlfn.XLOOKUP($A60,CFR20242025_BenchMarkDataReport!$B:$B,CFR20242025_BenchMarkDataReport!U:U),0)</f>
        <v>0</v>
      </c>
      <c r="F60" s="289">
        <f>IFERROR(_xlfn.XLOOKUP($A60,CFR20242025_BenchMarkDataReport!$B:$B,CFR20242025_BenchMarkDataReport!V:V),0)</f>
        <v>27454.05</v>
      </c>
      <c r="G60" s="289">
        <f>IFERROR(_xlfn.XLOOKUP($A60,CFR20242025_BenchMarkDataReport!$B:$B,CFR20242025_BenchMarkDataReport!W:W),0)</f>
        <v>0</v>
      </c>
      <c r="H60" s="289">
        <f>IFERROR(_xlfn.XLOOKUP($A60,CFR20242025_BenchMarkDataReport!$B:$B,CFR20242025_BenchMarkDataReport!X:X),0)</f>
        <v>17370</v>
      </c>
      <c r="I60" s="289">
        <f>IFERROR(_xlfn.XLOOKUP($A60,CFR20242025_BenchMarkDataReport!$B:$B,CFR20242025_BenchMarkDataReport!Y:Y),0)</f>
        <v>196.97</v>
      </c>
      <c r="J60" s="289">
        <f>IFERROR(_xlfn.XLOOKUP($A60,CFR20242025_BenchMarkDataReport!$B:$B,CFR20242025_BenchMarkDataReport!Z:Z),0)</f>
        <v>61282.36</v>
      </c>
      <c r="K60" s="289">
        <f>IFERROR(_xlfn.XLOOKUP($A60,CFR20242025_BenchMarkDataReport!$B:$B,CFR20242025_BenchMarkDataReport!AA:AA),0)</f>
        <v>91092.479999999996</v>
      </c>
      <c r="L60" s="289">
        <f>IFERROR(_xlfn.XLOOKUP($A60,CFR20242025_BenchMarkDataReport!$B:$B,CFR20242025_BenchMarkDataReport!AB:AB),0)</f>
        <v>0</v>
      </c>
      <c r="M60" s="289">
        <f>IFERROR(_xlfn.XLOOKUP($A60,CFR20242025_BenchMarkDataReport!$B:$B,CFR20242025_BenchMarkDataReport!AC:AC),0)</f>
        <v>1093.42</v>
      </c>
      <c r="N60" s="289">
        <f>IFERROR(_xlfn.XLOOKUP($A60,CFR20242025_BenchMarkDataReport!$B:$B,CFR20242025_BenchMarkDataReport!AD:AD),0)</f>
        <v>0</v>
      </c>
      <c r="O60" s="289">
        <f>IFERROR(_xlfn.XLOOKUP($A60,CFR20242025_BenchMarkDataReport!$B:$B,CFR20242025_BenchMarkDataReport!AE:AE),0)</f>
        <v>0</v>
      </c>
      <c r="P60" s="289">
        <f>IFERROR(_xlfn.XLOOKUP($A60,CFR20242025_BenchMarkDataReport!$B:$B,CFR20242025_BenchMarkDataReport!AF:AF),0)</f>
        <v>30499.599999999999</v>
      </c>
      <c r="Q60" s="289">
        <f>IFERROR(_xlfn.XLOOKUP($A60,CFR20242025_BenchMarkDataReport!$B:$B,CFR20242025_BenchMarkDataReport!AG:AG),0)</f>
        <v>12690.3</v>
      </c>
      <c r="R60" s="289">
        <f>IFERROR(_xlfn.XLOOKUP($A60,CFR20242025_BenchMarkDataReport!$B:$B,CFR20242025_BenchMarkDataReport!AH:AH),0)</f>
        <v>0</v>
      </c>
      <c r="S60" s="289">
        <f>IFERROR(_xlfn.XLOOKUP($A60,CFR20242025_BenchMarkDataReport!$B:$B,CFR20242025_BenchMarkDataReport!AI:AI),0)</f>
        <v>0</v>
      </c>
      <c r="T60" s="289">
        <f>IFERROR(_xlfn.XLOOKUP($A60,CFR20242025_BenchMarkDataReport!$B:$B,CFR20242025_BenchMarkDataReport!AJ:AJ),0)</f>
        <v>0</v>
      </c>
      <c r="U60" s="289">
        <f>INDEX(CFR20242025_BenchMarkDataReport!$B$3:$AM$87,MATCH(A60,CFR20242025_BenchMarkDataReport!$B$3:$B$87),MATCH($U$2,CFR20242025_BenchMarkDataReport!$B$3:$AM$3,0))</f>
        <v>51443.38</v>
      </c>
      <c r="V60" s="289">
        <f>IFERROR(_xlfn.XLOOKUP($A60,CFR20242025_BenchMarkDataReport!$B:$B,CFR20242025_BenchMarkDataReport!AN:AN),0)</f>
        <v>735054.18</v>
      </c>
      <c r="W60" s="289">
        <f>IFERROR(_xlfn.XLOOKUP($A60,CFR20242025_BenchMarkDataReport!$B:$B,CFR20242025_BenchMarkDataReport!AO:AO),0)</f>
        <v>0</v>
      </c>
      <c r="X60" s="289">
        <f>IFERROR(_xlfn.XLOOKUP($A60,CFR20242025_BenchMarkDataReport!$B:$B,CFR20242025_BenchMarkDataReport!AP:AP),0)</f>
        <v>223124.04</v>
      </c>
      <c r="Y60" s="289">
        <f>IFERROR(_xlfn.XLOOKUP($A60,CFR20242025_BenchMarkDataReport!$B:$B,CFR20242025_BenchMarkDataReport!AQ:AQ),0)</f>
        <v>41378.04</v>
      </c>
      <c r="Z60" s="289">
        <f>IFERROR(_xlfn.XLOOKUP($A60,CFR20242025_BenchMarkDataReport!$B:$B,CFR20242025_BenchMarkDataReport!AR:AR),0)</f>
        <v>69534.509999999995</v>
      </c>
      <c r="AA60" s="289">
        <f>IFERROR(_xlfn.XLOOKUP($A60,CFR20242025_BenchMarkDataReport!$B:$B,CFR20242025_BenchMarkDataReport!AS:AS),0)</f>
        <v>0</v>
      </c>
      <c r="AB60" s="289">
        <f>IFERROR(_xlfn.XLOOKUP($A60,CFR20242025_BenchMarkDataReport!$B:$B,CFR20242025_BenchMarkDataReport!AT:AT),0)</f>
        <v>36479.06</v>
      </c>
      <c r="AC60" s="289">
        <f>IFERROR(_xlfn.XLOOKUP($A60,CFR20242025_BenchMarkDataReport!$B:$B,CFR20242025_BenchMarkDataReport!AU:AU),0)</f>
        <v>336.66</v>
      </c>
      <c r="AD60" s="289">
        <f>IFERROR(_xlfn.XLOOKUP($A60,CFR20242025_BenchMarkDataReport!$B:$B,CFR20242025_BenchMarkDataReport!AV:AV),0)</f>
        <v>1404.56</v>
      </c>
      <c r="AE60" s="289">
        <f>IFERROR(_xlfn.XLOOKUP($A60,CFR20242025_BenchMarkDataReport!$B:$B,CFR20242025_BenchMarkDataReport!AW:AW),0)</f>
        <v>335.32</v>
      </c>
      <c r="AF60" s="289">
        <f>IFERROR(_xlfn.XLOOKUP($A60,CFR20242025_BenchMarkDataReport!$B:$B,CFR20242025_BenchMarkDataReport!AX:AX),0)</f>
        <v>5948.6</v>
      </c>
      <c r="AG60" s="289">
        <f>IFERROR(_xlfn.XLOOKUP($A60,CFR20242025_BenchMarkDataReport!$B:$B,CFR20242025_BenchMarkDataReport!AY:AY),0)</f>
        <v>33332.300000000003</v>
      </c>
      <c r="AH60" s="289">
        <f>IFERROR(_xlfn.XLOOKUP($A60,CFR20242025_BenchMarkDataReport!$B:$B,CFR20242025_BenchMarkDataReport!AZ:AZ),0)</f>
        <v>0</v>
      </c>
      <c r="AI60" s="289">
        <f>IFERROR(_xlfn.XLOOKUP($A60,CFR20242025_BenchMarkDataReport!$B:$B,CFR20242025_BenchMarkDataReport!BA:BA),0)</f>
        <v>2015.19</v>
      </c>
      <c r="AJ60" s="289">
        <f>IFERROR(_xlfn.XLOOKUP($A60,CFR20242025_BenchMarkDataReport!$B:$B,CFR20242025_BenchMarkDataReport!BB:BB),0)</f>
        <v>4450.04</v>
      </c>
      <c r="AK60" s="289">
        <f>IFERROR(_xlfn.XLOOKUP($A60,CFR20242025_BenchMarkDataReport!$B:$B,CFR20242025_BenchMarkDataReport!BC:BC),0)</f>
        <v>23966.44</v>
      </c>
      <c r="AL60" s="289">
        <f>IFERROR(_xlfn.XLOOKUP($A60,CFR20242025_BenchMarkDataReport!$B:$B,CFR20242025_BenchMarkDataReport!BD:BD),0)</f>
        <v>4180.8</v>
      </c>
      <c r="AM60" s="289">
        <f>IFERROR(_xlfn.XLOOKUP($A60,CFR20242025_BenchMarkDataReport!$B:$B,CFR20242025_BenchMarkDataReport!BE:BE),0)</f>
        <v>7602.26</v>
      </c>
      <c r="AN60" s="289">
        <f>IFERROR(_xlfn.XLOOKUP($A60,CFR20242025_BenchMarkDataReport!$B:$B,CFR20242025_BenchMarkDataReport!BF:BF),0)</f>
        <v>59821.21</v>
      </c>
      <c r="AO60" s="289">
        <f>IFERROR(_xlfn.XLOOKUP($A60,CFR20242025_BenchMarkDataReport!$B:$B,CFR20242025_BenchMarkDataReport!BN:BN),0)</f>
        <v>10653.37</v>
      </c>
      <c r="AP60" s="289">
        <f>IFERROR(_xlfn.XLOOKUP($A60,CFR20242025_BenchMarkDataReport!$B:$B,CFR20242025_BenchMarkDataReport!BO:BO),0)</f>
        <v>0</v>
      </c>
      <c r="AQ60" s="289">
        <f>IFERROR(_xlfn.XLOOKUP($A60,CFR20242025_BenchMarkDataReport!$B:$B,CFR20242025_BenchMarkDataReport!BP:BP),0)</f>
        <v>10676.85</v>
      </c>
      <c r="AR60" s="289">
        <f>IFERROR(_xlfn.XLOOKUP($A60,CFR20242025_BenchMarkDataReport!$B:$B,CFR20242025_BenchMarkDataReport!BQ:BQ),0)</f>
        <v>8259.7800000000007</v>
      </c>
      <c r="AS60" s="289">
        <f>IFERROR(_xlfn.XLOOKUP($A60,CFR20242025_BenchMarkDataReport!$B:$B,CFR20242025_BenchMarkDataReport!BR:BR),0)</f>
        <v>19097.39</v>
      </c>
      <c r="AT60" s="289">
        <f>IFERROR(_xlfn.XLOOKUP($A60,CFR20242025_BenchMarkDataReport!$B:$B,CFR20242025_BenchMarkDataReport!BS:BS),0)</f>
        <v>85538.15</v>
      </c>
      <c r="AU60" s="289">
        <f>IFERROR(_xlfn.XLOOKUP($A60,CFR20242025_BenchMarkDataReport!$B:$B,CFR20242025_BenchMarkDataReport!BT:BT),0)</f>
        <v>20250</v>
      </c>
      <c r="AV60" s="289">
        <f>IFERROR(_xlfn.XLOOKUP($A60,CFR20242025_BenchMarkDataReport!$B:$B,CFR20242025_BenchMarkDataReport!BU:BU),0)</f>
        <v>33046.080000000002</v>
      </c>
      <c r="AW60" s="289">
        <f>IFERROR(_xlfn.XLOOKUP($A60,CFR20242025_BenchMarkDataReport!$B:$B,CFR20242025_BenchMarkDataReport!BV:BV),0)</f>
        <v>40817</v>
      </c>
      <c r="AX60" s="289">
        <f>IFERROR(_xlfn.XLOOKUP($A60,CFR20242025_BenchMarkDataReport!$B:$B,CFR20242025_BenchMarkDataReport!BW:BW),0)</f>
        <v>280.8</v>
      </c>
      <c r="AY60" s="289">
        <f>IFERROR(_xlfn.XLOOKUP($A60,CFR20242025_BenchMarkDataReport!$B:$B,CFR20242025_BenchMarkDataReport!BX:BX),0)</f>
        <v>0</v>
      </c>
      <c r="AZ60" s="289">
        <f>IFERROR(_xlfn.XLOOKUP($A60,CFR20242025_BenchMarkDataReport!$B:$B,CFR20242025_BenchMarkDataReport!BY:BY),0)</f>
        <v>0</v>
      </c>
      <c r="BA60" s="289">
        <f>IFERROR(_xlfn.XLOOKUP($A60,CFR20242025_BenchMarkDataReport!$B:$B,CFR20242025_BenchMarkDataReport!BZ:BZ),0)</f>
        <v>0</v>
      </c>
      <c r="BB60" s="289">
        <f>IFERROR(_xlfn.XLOOKUP($A60,CFR20242025_BenchMarkDataReport!$B:$B,CFR20242025_BenchMarkDataReport!CA:CA),0)</f>
        <v>0</v>
      </c>
      <c r="BC60" s="290">
        <f t="shared" si="106"/>
        <v>1419913.9100000001</v>
      </c>
      <c r="BD60" s="291">
        <f t="shared" si="104"/>
        <v>1477582.6300000004</v>
      </c>
      <c r="BE60" s="327">
        <f t="shared" si="105"/>
        <v>-57668.720000000205</v>
      </c>
      <c r="BF60" s="289">
        <f>IFERROR(_xlfn.XLOOKUP(A60,CFR20242025_BenchMarkDataReport!B:B,CFR20242025_BenchMarkDataReport!Q:Q),0)</f>
        <v>102311.72</v>
      </c>
      <c r="BG60" s="290">
        <f t="shared" si="0"/>
        <v>44642.999999999796</v>
      </c>
      <c r="BH60" s="292">
        <f>_xlfn.XLOOKUP(A60,'Pupil on roll 24-25'!E:E,'Pupil on roll 24-25'!I:I)</f>
        <v>202</v>
      </c>
      <c r="BI60" s="291">
        <f t="shared" si="1"/>
        <v>1154245.4000000001</v>
      </c>
      <c r="BJ60" t="s">
        <v>190</v>
      </c>
      <c r="BK60" s="293">
        <f t="shared" si="107"/>
        <v>0.79356314637413472</v>
      </c>
      <c r="BL60" s="294">
        <f t="shared" si="108"/>
        <v>5578.1750000000002</v>
      </c>
      <c r="BM60" s="295">
        <f t="shared" si="109"/>
        <v>0</v>
      </c>
      <c r="BN60" s="296">
        <f t="shared" si="110"/>
        <v>0</v>
      </c>
      <c r="BO60" s="293">
        <f t="shared" si="111"/>
        <v>1.9335010247205759E-2</v>
      </c>
      <c r="BP60" s="294">
        <f t="shared" si="112"/>
        <v>135.9111386138614</v>
      </c>
      <c r="BQ60" s="295">
        <f t="shared" si="113"/>
        <v>0</v>
      </c>
      <c r="BR60" s="296">
        <f t="shared" si="114"/>
        <v>0</v>
      </c>
      <c r="BS60" s="293">
        <f t="shared" si="115"/>
        <v>1.2233136021605704E-2</v>
      </c>
      <c r="BT60" s="294">
        <f t="shared" si="116"/>
        <v>85.990099009900987</v>
      </c>
      <c r="BU60" s="295">
        <f t="shared" si="117"/>
        <v>1.3871967773032099E-4</v>
      </c>
      <c r="BV60" s="296">
        <f t="shared" si="118"/>
        <v>0.97509900990099008</v>
      </c>
      <c r="BW60" s="293">
        <f t="shared" si="119"/>
        <v>4.3159208152274524E-2</v>
      </c>
      <c r="BX60" s="294">
        <f t="shared" si="120"/>
        <v>303.3780198019802</v>
      </c>
      <c r="BY60" s="295">
        <f t="shared" si="121"/>
        <v>6.4153523223108633E-2</v>
      </c>
      <c r="BZ60" s="297">
        <f t="shared" si="122"/>
        <v>450.95287128712869</v>
      </c>
      <c r="CA60" s="298">
        <f t="shared" si="123"/>
        <v>2.1479893805674454E-2</v>
      </c>
      <c r="CB60" s="299">
        <f t="shared" si="124"/>
        <v>150.98811881188118</v>
      </c>
      <c r="CC60" s="295">
        <f t="shared" si="125"/>
        <v>8.9373728298781149E-3</v>
      </c>
      <c r="CD60" s="296">
        <f t="shared" si="126"/>
        <v>62.823267326732669</v>
      </c>
      <c r="CE60" s="300">
        <f t="shared" si="127"/>
        <v>0.65437053506992526</v>
      </c>
      <c r="CF60" s="298">
        <f t="shared" si="128"/>
        <v>0.53193660170566259</v>
      </c>
      <c r="CG60" s="298">
        <f t="shared" si="129"/>
        <v>0.51117559496486498</v>
      </c>
      <c r="CH60" s="299">
        <f t="shared" si="130"/>
        <v>3739.1296039603963</v>
      </c>
      <c r="CI60" s="295">
        <f t="shared" si="131"/>
        <v>0.19330728110330783</v>
      </c>
      <c r="CJ60" s="301">
        <f t="shared" si="132"/>
        <v>0.15713913247036224</v>
      </c>
      <c r="CK60" s="301">
        <f t="shared" si="133"/>
        <v>0.151006133579142</v>
      </c>
      <c r="CL60" s="302">
        <f t="shared" si="134"/>
        <v>1104.5744554455446</v>
      </c>
      <c r="CM60" s="300">
        <f t="shared" si="135"/>
        <v>3.5848563918903203E-2</v>
      </c>
      <c r="CN60" s="298">
        <f t="shared" si="136"/>
        <v>2.9141231527198712E-2</v>
      </c>
      <c r="CO60" s="298">
        <f t="shared" si="137"/>
        <v>2.8003875492228811E-2</v>
      </c>
      <c r="CP60" s="299">
        <f t="shared" si="138"/>
        <v>204.84178217821781</v>
      </c>
      <c r="CQ60" s="295">
        <f t="shared" si="139"/>
        <v>6.0242397327292779E-2</v>
      </c>
      <c r="CR60" s="301">
        <f t="shared" si="140"/>
        <v>4.8970933737806671E-2</v>
      </c>
      <c r="CS60" s="301">
        <f t="shared" si="141"/>
        <v>4.7059642275302044E-2</v>
      </c>
      <c r="CT60" s="296">
        <f t="shared" si="142"/>
        <v>344.23024752475243</v>
      </c>
      <c r="CU60" s="300">
        <f t="shared" si="143"/>
        <v>0.95782909769447633</v>
      </c>
      <c r="CV60" s="298">
        <f t="shared" si="144"/>
        <v>0.77861750787412176</v>
      </c>
      <c r="CW60" s="298">
        <f t="shared" si="145"/>
        <v>0.74822876741587019</v>
      </c>
      <c r="CX60" s="299">
        <f t="shared" si="146"/>
        <v>5473.1179702970303</v>
      </c>
      <c r="CY60" s="295">
        <f t="shared" si="147"/>
        <v>2.8878001159891996E-2</v>
      </c>
      <c r="CZ60" s="301">
        <f t="shared" si="148"/>
        <v>2.2558670712039972E-2</v>
      </c>
      <c r="DA60" s="296">
        <f t="shared" si="149"/>
        <v>165.01138613861389</v>
      </c>
      <c r="DB60" s="300">
        <f t="shared" si="150"/>
        <v>3.0117029732543614E-3</v>
      </c>
      <c r="DC60" s="299">
        <f t="shared" si="151"/>
        <v>22.029900990099009</v>
      </c>
      <c r="DD60" s="295">
        <f t="shared" si="152"/>
        <v>2.0763730139188769E-2</v>
      </c>
      <c r="DE60" s="301">
        <f t="shared" si="153"/>
        <v>1.6220033664039481E-2</v>
      </c>
      <c r="DF60" s="296">
        <f t="shared" si="154"/>
        <v>118.64574257425743</v>
      </c>
      <c r="DG60" s="300">
        <f t="shared" si="155"/>
        <v>6.5863463696714747E-3</v>
      </c>
      <c r="DH60" s="298">
        <f t="shared" si="156"/>
        <v>5.1450658972622045E-3</v>
      </c>
      <c r="DI60" s="303">
        <f t="shared" si="157"/>
        <v>37.634950495049509</v>
      </c>
      <c r="DJ60" s="295">
        <f t="shared" si="158"/>
        <v>5.1827115793573873E-2</v>
      </c>
      <c r="DK60" s="301">
        <f t="shared" si="159"/>
        <v>4.2130166891596967E-2</v>
      </c>
      <c r="DL60" s="301">
        <f t="shared" si="160"/>
        <v>4.0485864401370218E-2</v>
      </c>
      <c r="DM60" s="296">
        <f t="shared" si="161"/>
        <v>296.14460396039601</v>
      </c>
      <c r="DN60" s="300">
        <f t="shared" si="162"/>
        <v>9.2500693526697177E-3</v>
      </c>
      <c r="DO60" s="298">
        <f t="shared" si="163"/>
        <v>7.2258903043547536E-3</v>
      </c>
      <c r="DP60" s="299">
        <f t="shared" si="164"/>
        <v>52.85569306930693</v>
      </c>
      <c r="DQ60" s="295">
        <f t="shared" si="165"/>
        <v>2.8630029628014978E-2</v>
      </c>
      <c r="DR60" s="301">
        <f t="shared" si="166"/>
        <v>2.2364962425147076E-2</v>
      </c>
      <c r="DS60" s="296">
        <f t="shared" si="167"/>
        <v>163.59445544554455</v>
      </c>
      <c r="DT60" s="300">
        <f t="shared" si="168"/>
        <v>5.7890603383717348E-2</v>
      </c>
      <c r="DU60" s="299">
        <f t="shared" si="169"/>
        <v>423.45618811881184</v>
      </c>
      <c r="DV60" s="295">
        <f t="shared" si="25"/>
        <v>1.3638425080836254E-3</v>
      </c>
      <c r="DW60" s="296">
        <f t="shared" si="97"/>
        <v>9.9761881188118817</v>
      </c>
      <c r="DX60" s="295">
        <f t="shared" si="170"/>
        <v>8.6636689217041706E-6</v>
      </c>
      <c r="DY60" s="301">
        <f t="shared" si="171"/>
        <v>7.0426804960309175E-6</v>
      </c>
      <c r="DZ60" s="301">
        <f t="shared" si="172"/>
        <v>6.7678110157534795E-6</v>
      </c>
      <c r="EA60" s="296">
        <f t="shared" si="173"/>
        <v>4.9504950495049507E-2</v>
      </c>
      <c r="EB60" s="304">
        <f>IFERROR(_xlfn.XLOOKUP(A60,'Pupil on roll 24-25'!E:E,'Pupil on roll 24-25'!R:R),0)</f>
        <v>10</v>
      </c>
      <c r="EC60" s="289">
        <f>IFERROR(_xlfn.XLOOKUP(A60,CFR20242025_BenchMarkDataReport!B:B,CFR20242025_BenchMarkDataReport!AK:AK),0)</f>
        <v>0</v>
      </c>
      <c r="ED60" s="289">
        <f>IFERROR(_xlfn.XLOOKUP(A60,CFR20242025_BenchMarkDataReport!B:B,CFR20242025_BenchMarkDataReport!AL:AL),0)</f>
        <v>51443.38</v>
      </c>
    </row>
    <row r="61" spans="1:134">
      <c r="A61" s="208">
        <v>3504</v>
      </c>
      <c r="B61" s="326">
        <v>10088</v>
      </c>
      <c r="C61" s="208" t="s">
        <v>93</v>
      </c>
      <c r="D61" s="289">
        <f>IFERROR(_xlfn.XLOOKUP($A61,CFR20242025_BenchMarkDataReport!$B:$B,CFR20242025_BenchMarkDataReport!T:T),0)</f>
        <v>2453089.3199999998</v>
      </c>
      <c r="E61" s="289">
        <f>IFERROR(_xlfn.XLOOKUP($A61,CFR20242025_BenchMarkDataReport!$B:$B,CFR20242025_BenchMarkDataReport!U:U),0)</f>
        <v>0</v>
      </c>
      <c r="F61" s="289">
        <f>IFERROR(_xlfn.XLOOKUP($A61,CFR20242025_BenchMarkDataReport!$B:$B,CFR20242025_BenchMarkDataReport!V:V),0)</f>
        <v>73594.84</v>
      </c>
      <c r="G61" s="289">
        <f>IFERROR(_xlfn.XLOOKUP($A61,CFR20242025_BenchMarkDataReport!$B:$B,CFR20242025_BenchMarkDataReport!W:W),0)</f>
        <v>0</v>
      </c>
      <c r="H61" s="289">
        <f>IFERROR(_xlfn.XLOOKUP($A61,CFR20242025_BenchMarkDataReport!$B:$B,CFR20242025_BenchMarkDataReport!X:X),0)</f>
        <v>43220</v>
      </c>
      <c r="I61" s="289">
        <f>IFERROR(_xlfn.XLOOKUP($A61,CFR20242025_BenchMarkDataReport!$B:$B,CFR20242025_BenchMarkDataReport!Y:Y),0)</f>
        <v>6433.26</v>
      </c>
      <c r="J61" s="289">
        <f>IFERROR(_xlfn.XLOOKUP($A61,CFR20242025_BenchMarkDataReport!$B:$B,CFR20242025_BenchMarkDataReport!Z:Z),0)</f>
        <v>139623.45000000001</v>
      </c>
      <c r="K61" s="289">
        <f>IFERROR(_xlfn.XLOOKUP($A61,CFR20242025_BenchMarkDataReport!$B:$B,CFR20242025_BenchMarkDataReport!AA:AA),0)</f>
        <v>1398.75</v>
      </c>
      <c r="L61" s="289">
        <f>IFERROR(_xlfn.XLOOKUP($A61,CFR20242025_BenchMarkDataReport!$B:$B,CFR20242025_BenchMarkDataReport!AB:AB),0)</f>
        <v>204075.5</v>
      </c>
      <c r="M61" s="289">
        <f>IFERROR(_xlfn.XLOOKUP($A61,CFR20242025_BenchMarkDataReport!$B:$B,CFR20242025_BenchMarkDataReport!AC:AC),0)</f>
        <v>970.13</v>
      </c>
      <c r="N61" s="289">
        <f>IFERROR(_xlfn.XLOOKUP($A61,CFR20242025_BenchMarkDataReport!$B:$B,CFR20242025_BenchMarkDataReport!AD:AD),0)</f>
        <v>9200</v>
      </c>
      <c r="O61" s="289">
        <f>IFERROR(_xlfn.XLOOKUP($A61,CFR20242025_BenchMarkDataReport!$B:$B,CFR20242025_BenchMarkDataReport!AE:AE),0)</f>
        <v>0</v>
      </c>
      <c r="P61" s="289">
        <f>IFERROR(_xlfn.XLOOKUP($A61,CFR20242025_BenchMarkDataReport!$B:$B,CFR20242025_BenchMarkDataReport!AF:AF),0)</f>
        <v>154288.82999999999</v>
      </c>
      <c r="Q61" s="289">
        <f>IFERROR(_xlfn.XLOOKUP($A61,CFR20242025_BenchMarkDataReport!$B:$B,CFR20242025_BenchMarkDataReport!AG:AG),0)</f>
        <v>23644.639999999999</v>
      </c>
      <c r="R61" s="289">
        <f>IFERROR(_xlfn.XLOOKUP($A61,CFR20242025_BenchMarkDataReport!$B:$B,CFR20242025_BenchMarkDataReport!AH:AH),0)</f>
        <v>0</v>
      </c>
      <c r="S61" s="289">
        <f>IFERROR(_xlfn.XLOOKUP($A61,CFR20242025_BenchMarkDataReport!$B:$B,CFR20242025_BenchMarkDataReport!AI:AI),0)</f>
        <v>0</v>
      </c>
      <c r="T61" s="289">
        <f>IFERROR(_xlfn.XLOOKUP($A61,CFR20242025_BenchMarkDataReport!$B:$B,CFR20242025_BenchMarkDataReport!AJ:AJ),0)</f>
        <v>0</v>
      </c>
      <c r="U61" s="289">
        <f>INDEX(CFR20242025_BenchMarkDataReport!$B$3:$AM$87,MATCH(A61,CFR20242025_BenchMarkDataReport!$B$3:$B$87),MATCH($U$2,CFR20242025_BenchMarkDataReport!$B$3:$AM$3,0))</f>
        <v>104680</v>
      </c>
      <c r="V61" s="289">
        <f>IFERROR(_xlfn.XLOOKUP($A61,CFR20242025_BenchMarkDataReport!$B:$B,CFR20242025_BenchMarkDataReport!AN:AN),0)</f>
        <v>1445440.45</v>
      </c>
      <c r="W61" s="289">
        <f>IFERROR(_xlfn.XLOOKUP($A61,CFR20242025_BenchMarkDataReport!$B:$B,CFR20242025_BenchMarkDataReport!AO:AO),0)</f>
        <v>0</v>
      </c>
      <c r="X61" s="289">
        <f>IFERROR(_xlfn.XLOOKUP($A61,CFR20242025_BenchMarkDataReport!$B:$B,CFR20242025_BenchMarkDataReport!AP:AP),0)</f>
        <v>580137.80000000005</v>
      </c>
      <c r="Y61" s="289">
        <f>IFERROR(_xlfn.XLOOKUP($A61,CFR20242025_BenchMarkDataReport!$B:$B,CFR20242025_BenchMarkDataReport!AQ:AQ),0)</f>
        <v>91669.2</v>
      </c>
      <c r="Z61" s="289">
        <f>IFERROR(_xlfn.XLOOKUP($A61,CFR20242025_BenchMarkDataReport!$B:$B,CFR20242025_BenchMarkDataReport!AR:AR),0)</f>
        <v>150198.34</v>
      </c>
      <c r="AA61" s="289">
        <f>IFERROR(_xlfn.XLOOKUP($A61,CFR20242025_BenchMarkDataReport!$B:$B,CFR20242025_BenchMarkDataReport!AS:AS),0)</f>
        <v>0</v>
      </c>
      <c r="AB61" s="289">
        <f>IFERROR(_xlfn.XLOOKUP($A61,CFR20242025_BenchMarkDataReport!$B:$B,CFR20242025_BenchMarkDataReport!AT:AT),0)</f>
        <v>92460.77</v>
      </c>
      <c r="AC61" s="289">
        <f>IFERROR(_xlfn.XLOOKUP($A61,CFR20242025_BenchMarkDataReport!$B:$B,CFR20242025_BenchMarkDataReport!AU:AU),0)</f>
        <v>14144.78</v>
      </c>
      <c r="AD61" s="289">
        <f>IFERROR(_xlfn.XLOOKUP($A61,CFR20242025_BenchMarkDataReport!$B:$B,CFR20242025_BenchMarkDataReport!AV:AV),0)</f>
        <v>6521.36</v>
      </c>
      <c r="AE61" s="289">
        <f>IFERROR(_xlfn.XLOOKUP($A61,CFR20242025_BenchMarkDataReport!$B:$B,CFR20242025_BenchMarkDataReport!AW:AW),0)</f>
        <v>17980.099999999999</v>
      </c>
      <c r="AF61" s="289">
        <f>IFERROR(_xlfn.XLOOKUP($A61,CFR20242025_BenchMarkDataReport!$B:$B,CFR20242025_BenchMarkDataReport!AX:AX),0)</f>
        <v>0</v>
      </c>
      <c r="AG61" s="289">
        <f>IFERROR(_xlfn.XLOOKUP($A61,CFR20242025_BenchMarkDataReport!$B:$B,CFR20242025_BenchMarkDataReport!AY:AY),0)</f>
        <v>51829.74</v>
      </c>
      <c r="AH61" s="289">
        <f>IFERROR(_xlfn.XLOOKUP($A61,CFR20242025_BenchMarkDataReport!$B:$B,CFR20242025_BenchMarkDataReport!AZ:AZ),0)</f>
        <v>12119.92</v>
      </c>
      <c r="AI61" s="289">
        <f>IFERROR(_xlfn.XLOOKUP($A61,CFR20242025_BenchMarkDataReport!$B:$B,CFR20242025_BenchMarkDataReport!BA:BA),0)</f>
        <v>8886.7800000000007</v>
      </c>
      <c r="AJ61" s="289">
        <f>IFERROR(_xlfn.XLOOKUP($A61,CFR20242025_BenchMarkDataReport!$B:$B,CFR20242025_BenchMarkDataReport!BB:BB),0)</f>
        <v>10449.280000000001</v>
      </c>
      <c r="AK61" s="289">
        <f>IFERROR(_xlfn.XLOOKUP($A61,CFR20242025_BenchMarkDataReport!$B:$B,CFR20242025_BenchMarkDataReport!BC:BC),0)</f>
        <v>38270.589999999997</v>
      </c>
      <c r="AL61" s="289">
        <f>IFERROR(_xlfn.XLOOKUP($A61,CFR20242025_BenchMarkDataReport!$B:$B,CFR20242025_BenchMarkDataReport!BD:BD),0)</f>
        <v>8095.32</v>
      </c>
      <c r="AM61" s="289">
        <f>IFERROR(_xlfn.XLOOKUP($A61,CFR20242025_BenchMarkDataReport!$B:$B,CFR20242025_BenchMarkDataReport!BE:BE),0)</f>
        <v>14164.62</v>
      </c>
      <c r="AN61" s="289">
        <f>IFERROR(_xlfn.XLOOKUP($A61,CFR20242025_BenchMarkDataReport!$B:$B,CFR20242025_BenchMarkDataReport!BF:BF),0)</f>
        <v>89706.99</v>
      </c>
      <c r="AO61" s="289">
        <f>IFERROR(_xlfn.XLOOKUP($A61,CFR20242025_BenchMarkDataReport!$B:$B,CFR20242025_BenchMarkDataReport!BN:BN),0)</f>
        <v>52155.530000000006</v>
      </c>
      <c r="AP61" s="289">
        <f>IFERROR(_xlfn.XLOOKUP($A61,CFR20242025_BenchMarkDataReport!$B:$B,CFR20242025_BenchMarkDataReport!BO:BO),0)</f>
        <v>0</v>
      </c>
      <c r="AQ61" s="289">
        <f>IFERROR(_xlfn.XLOOKUP($A61,CFR20242025_BenchMarkDataReport!$B:$B,CFR20242025_BenchMarkDataReport!BP:BP),0)</f>
        <v>2113.85</v>
      </c>
      <c r="AR61" s="289">
        <f>IFERROR(_xlfn.XLOOKUP($A61,CFR20242025_BenchMarkDataReport!$B:$B,CFR20242025_BenchMarkDataReport!BQ:BQ),0)</f>
        <v>17852.189999999999</v>
      </c>
      <c r="AS61" s="289">
        <f>IFERROR(_xlfn.XLOOKUP($A61,CFR20242025_BenchMarkDataReport!$B:$B,CFR20242025_BenchMarkDataReport!BR:BR),0)</f>
        <v>39506.03</v>
      </c>
      <c r="AT61" s="289">
        <f>IFERROR(_xlfn.XLOOKUP($A61,CFR20242025_BenchMarkDataReport!$B:$B,CFR20242025_BenchMarkDataReport!BS:BS),0)</f>
        <v>200107.41</v>
      </c>
      <c r="AU61" s="289">
        <f>IFERROR(_xlfn.XLOOKUP($A61,CFR20242025_BenchMarkDataReport!$B:$B,CFR20242025_BenchMarkDataReport!BT:BT),0)</f>
        <v>23507.43</v>
      </c>
      <c r="AV61" s="289">
        <f>IFERROR(_xlfn.XLOOKUP($A61,CFR20242025_BenchMarkDataReport!$B:$B,CFR20242025_BenchMarkDataReport!BU:BU),0)</f>
        <v>125106.46</v>
      </c>
      <c r="AW61" s="289">
        <f>IFERROR(_xlfn.XLOOKUP($A61,CFR20242025_BenchMarkDataReport!$B:$B,CFR20242025_BenchMarkDataReport!BV:BV),0)</f>
        <v>51291.82</v>
      </c>
      <c r="AX61" s="289">
        <f>IFERROR(_xlfn.XLOOKUP($A61,CFR20242025_BenchMarkDataReport!$B:$B,CFR20242025_BenchMarkDataReport!BW:BW),0)</f>
        <v>0</v>
      </c>
      <c r="AY61" s="289">
        <f>IFERROR(_xlfn.XLOOKUP($A61,CFR20242025_BenchMarkDataReport!$B:$B,CFR20242025_BenchMarkDataReport!BX:BX),0)</f>
        <v>0</v>
      </c>
      <c r="AZ61" s="289">
        <f>IFERROR(_xlfn.XLOOKUP($A61,CFR20242025_BenchMarkDataReport!$B:$B,CFR20242025_BenchMarkDataReport!BY:BY),0)</f>
        <v>0</v>
      </c>
      <c r="BA61" s="289">
        <f>IFERROR(_xlfn.XLOOKUP($A61,CFR20242025_BenchMarkDataReport!$B:$B,CFR20242025_BenchMarkDataReport!BZ:BZ),0)</f>
        <v>0</v>
      </c>
      <c r="BB61" s="289">
        <f>IFERROR(_xlfn.XLOOKUP($A61,CFR20242025_BenchMarkDataReport!$B:$B,CFR20242025_BenchMarkDataReport!CA:CA),0)</f>
        <v>0</v>
      </c>
      <c r="BC61" s="290">
        <f t="shared" si="106"/>
        <v>3214218.7199999997</v>
      </c>
      <c r="BD61" s="291">
        <f t="shared" si="104"/>
        <v>3143716.7599999993</v>
      </c>
      <c r="BE61" s="327">
        <f t="shared" si="105"/>
        <v>70501.960000000428</v>
      </c>
      <c r="BF61" s="289">
        <f>IFERROR(_xlfn.XLOOKUP(A61,CFR20242025_BenchMarkDataReport!B:B,CFR20242025_BenchMarkDataReport!Q:Q),0)</f>
        <v>131396.04</v>
      </c>
      <c r="BG61" s="290">
        <f t="shared" si="0"/>
        <v>201898.00000000044</v>
      </c>
      <c r="BH61" s="292">
        <f>_xlfn.XLOOKUP(A61,'Pupil on roll 24-25'!E:E,'Pupil on roll 24-25'!I:I)</f>
        <v>421</v>
      </c>
      <c r="BI61" s="291">
        <f t="shared" si="1"/>
        <v>2526684.1599999997</v>
      </c>
      <c r="BJ61" t="s">
        <v>190</v>
      </c>
      <c r="BK61" s="293">
        <f t="shared" si="107"/>
        <v>0.76319925110759113</v>
      </c>
      <c r="BL61" s="294">
        <f t="shared" si="108"/>
        <v>5826.8154869358668</v>
      </c>
      <c r="BM61" s="295">
        <f t="shared" si="109"/>
        <v>0</v>
      </c>
      <c r="BN61" s="296">
        <f t="shared" si="110"/>
        <v>0</v>
      </c>
      <c r="BO61" s="293">
        <f t="shared" si="111"/>
        <v>2.2896649671681337E-2</v>
      </c>
      <c r="BP61" s="294">
        <f t="shared" si="112"/>
        <v>174.80959619952492</v>
      </c>
      <c r="BQ61" s="295">
        <f t="shared" si="113"/>
        <v>0</v>
      </c>
      <c r="BR61" s="296">
        <f t="shared" si="114"/>
        <v>0</v>
      </c>
      <c r="BS61" s="293">
        <f t="shared" si="115"/>
        <v>1.3446502483191312E-2</v>
      </c>
      <c r="BT61" s="294">
        <f t="shared" si="116"/>
        <v>102.6603325415677</v>
      </c>
      <c r="BU61" s="295">
        <f t="shared" si="117"/>
        <v>2.0015003832719886E-3</v>
      </c>
      <c r="BV61" s="296">
        <f t="shared" si="118"/>
        <v>15.280902612826603</v>
      </c>
      <c r="BW61" s="293">
        <f t="shared" si="119"/>
        <v>4.3439312057768124E-2</v>
      </c>
      <c r="BX61" s="294">
        <f t="shared" si="120"/>
        <v>331.64714964370552</v>
      </c>
      <c r="BY61" s="295">
        <f t="shared" si="121"/>
        <v>6.3926654624175669E-2</v>
      </c>
      <c r="BZ61" s="297">
        <f t="shared" si="122"/>
        <v>488.06235154394301</v>
      </c>
      <c r="CA61" s="298">
        <f t="shared" si="123"/>
        <v>4.8001969822389683E-2</v>
      </c>
      <c r="CB61" s="299">
        <f t="shared" si="124"/>
        <v>366.48178147268408</v>
      </c>
      <c r="CC61" s="295">
        <f t="shared" si="125"/>
        <v>7.3562635463712321E-3</v>
      </c>
      <c r="CD61" s="296">
        <f t="shared" si="126"/>
        <v>56.163040380047505</v>
      </c>
      <c r="CE61" s="300">
        <f t="shared" si="127"/>
        <v>0.58137376378692307</v>
      </c>
      <c r="CF61" s="298">
        <f t="shared" si="128"/>
        <v>0.45701553253351718</v>
      </c>
      <c r="CG61" s="298">
        <f t="shared" si="129"/>
        <v>0.46726470357972077</v>
      </c>
      <c r="CH61" s="299">
        <f t="shared" si="130"/>
        <v>3489.1873634204271</v>
      </c>
      <c r="CI61" s="295">
        <f t="shared" si="131"/>
        <v>0.22960439978378624</v>
      </c>
      <c r="CJ61" s="301">
        <f t="shared" si="132"/>
        <v>0.18049107747091961</v>
      </c>
      <c r="CK61" s="301">
        <f t="shared" si="133"/>
        <v>0.18453882594690246</v>
      </c>
      <c r="CL61" s="302">
        <f t="shared" si="134"/>
        <v>1377.9995249406177</v>
      </c>
      <c r="CM61" s="300">
        <f t="shared" si="135"/>
        <v>3.6280434828862826E-2</v>
      </c>
      <c r="CN61" s="298">
        <f t="shared" si="136"/>
        <v>2.8519901097458607E-2</v>
      </c>
      <c r="CO61" s="298">
        <f t="shared" si="137"/>
        <v>2.9159497180655681E-2</v>
      </c>
      <c r="CP61" s="299">
        <f t="shared" si="138"/>
        <v>217.74156769596198</v>
      </c>
      <c r="CQ61" s="295">
        <f t="shared" si="139"/>
        <v>5.9444841732810803E-2</v>
      </c>
      <c r="CR61" s="301">
        <f t="shared" si="140"/>
        <v>4.6729346408635193E-2</v>
      </c>
      <c r="CS61" s="301">
        <f t="shared" si="141"/>
        <v>4.777731311901013E-2</v>
      </c>
      <c r="CT61" s="296">
        <f t="shared" si="142"/>
        <v>356.76565320665082</v>
      </c>
      <c r="CU61" s="300">
        <f t="shared" si="143"/>
        <v>0.93399349129572262</v>
      </c>
      <c r="CV61" s="298">
        <f t="shared" si="144"/>
        <v>0.73420845486208863</v>
      </c>
      <c r="CW61" s="298">
        <f t="shared" si="145"/>
        <v>0.75067403973123858</v>
      </c>
      <c r="CX61" s="299">
        <f t="shared" si="146"/>
        <v>5605.4787648456058</v>
      </c>
      <c r="CY61" s="295">
        <f t="shared" si="147"/>
        <v>2.0512947688721018E-2</v>
      </c>
      <c r="CZ61" s="301">
        <f t="shared" si="148"/>
        <v>1.6486771537267884E-2</v>
      </c>
      <c r="DA61" s="296">
        <f t="shared" si="149"/>
        <v>123.1110213776722</v>
      </c>
      <c r="DB61" s="300">
        <f t="shared" si="150"/>
        <v>3.3238617845457561E-3</v>
      </c>
      <c r="DC61" s="299">
        <f t="shared" si="151"/>
        <v>24.820142517814727</v>
      </c>
      <c r="DD61" s="295">
        <f t="shared" si="152"/>
        <v>1.5146566636963442E-2</v>
      </c>
      <c r="DE61" s="301">
        <f t="shared" si="153"/>
        <v>1.2173676231569923E-2</v>
      </c>
      <c r="DF61" s="296">
        <f t="shared" si="154"/>
        <v>90.904014251781462</v>
      </c>
      <c r="DG61" s="300">
        <f t="shared" si="155"/>
        <v>5.6060113188029018E-3</v>
      </c>
      <c r="DH61" s="298">
        <f t="shared" si="156"/>
        <v>4.5056921731078609E-3</v>
      </c>
      <c r="DI61" s="303">
        <f t="shared" si="157"/>
        <v>33.64517814726841</v>
      </c>
      <c r="DJ61" s="295">
        <f t="shared" si="158"/>
        <v>3.5503839941751963E-2</v>
      </c>
      <c r="DK61" s="301">
        <f t="shared" si="159"/>
        <v>2.790942304013462E-2</v>
      </c>
      <c r="DL61" s="301">
        <f t="shared" si="160"/>
        <v>2.8535328354453927E-2</v>
      </c>
      <c r="DM61" s="296">
        <f t="shared" si="161"/>
        <v>213.08073634204277</v>
      </c>
      <c r="DN61" s="300">
        <f t="shared" si="162"/>
        <v>8.3661030272972475E-4</v>
      </c>
      <c r="DO61" s="298">
        <f t="shared" si="163"/>
        <v>6.724047238912199E-4</v>
      </c>
      <c r="DP61" s="299">
        <f t="shared" si="164"/>
        <v>5.0210213776722092</v>
      </c>
      <c r="DQ61" s="295">
        <f t="shared" si="165"/>
        <v>4.9514087269221657E-2</v>
      </c>
      <c r="DR61" s="301">
        <f t="shared" si="166"/>
        <v>3.9795716201862931E-2</v>
      </c>
      <c r="DS61" s="296">
        <f t="shared" si="167"/>
        <v>297.16498812351546</v>
      </c>
      <c r="DT61" s="300">
        <f t="shared" si="168"/>
        <v>6.36531294886757E-2</v>
      </c>
      <c r="DU61" s="299">
        <f t="shared" si="169"/>
        <v>475.31451306413305</v>
      </c>
      <c r="DV61" s="295">
        <f t="shared" si="25"/>
        <v>2.8268386366970297E-3</v>
      </c>
      <c r="DW61" s="296">
        <f t="shared" si="97"/>
        <v>21.108741092636581</v>
      </c>
      <c r="DX61" s="295">
        <f t="shared" si="170"/>
        <v>1.0685941847199455E-5</v>
      </c>
      <c r="DY61" s="301">
        <f t="shared" si="171"/>
        <v>8.4001750820491776E-6</v>
      </c>
      <c r="DZ61" s="301">
        <f t="shared" si="172"/>
        <v>8.5885599948259992E-6</v>
      </c>
      <c r="EA61" s="296">
        <f t="shared" si="173"/>
        <v>6.413301662707839E-2</v>
      </c>
      <c r="EB61" s="304">
        <f>IFERROR(_xlfn.XLOOKUP(A61,'Pupil on roll 24-25'!E:E,'Pupil on roll 24-25'!R:R),0)</f>
        <v>27</v>
      </c>
      <c r="EC61" s="289">
        <f>IFERROR(_xlfn.XLOOKUP(A61,CFR20242025_BenchMarkDataReport!B:B,CFR20242025_BenchMarkDataReport!AK:AK),0)</f>
        <v>3425</v>
      </c>
      <c r="ED61" s="289">
        <f>IFERROR(_xlfn.XLOOKUP(A61,CFR20242025_BenchMarkDataReport!B:B,CFR20242025_BenchMarkDataReport!AL:AL),0)</f>
        <v>101255</v>
      </c>
    </row>
    <row r="62" spans="1:134">
      <c r="A62" s="208">
        <v>3307</v>
      </c>
      <c r="B62" s="326">
        <v>10089</v>
      </c>
      <c r="C62" s="208" t="s">
        <v>94</v>
      </c>
      <c r="D62" s="289">
        <f>IFERROR(_xlfn.XLOOKUP($A62,CFR20242025_BenchMarkDataReport!$B:$B,CFR20242025_BenchMarkDataReport!T:T),0)</f>
        <v>1339695.77</v>
      </c>
      <c r="E62" s="289">
        <f>IFERROR(_xlfn.XLOOKUP($A62,CFR20242025_BenchMarkDataReport!$B:$B,CFR20242025_BenchMarkDataReport!U:U),0)</f>
        <v>0</v>
      </c>
      <c r="F62" s="289">
        <f>IFERROR(_xlfn.XLOOKUP($A62,CFR20242025_BenchMarkDataReport!$B:$B,CFR20242025_BenchMarkDataReport!V:V),0)</f>
        <v>83314.27</v>
      </c>
      <c r="G62" s="289">
        <f>IFERROR(_xlfn.XLOOKUP($A62,CFR20242025_BenchMarkDataReport!$B:$B,CFR20242025_BenchMarkDataReport!W:W),0)</f>
        <v>0</v>
      </c>
      <c r="H62" s="289">
        <f>IFERROR(_xlfn.XLOOKUP($A62,CFR20242025_BenchMarkDataReport!$B:$B,CFR20242025_BenchMarkDataReport!X:X),0)</f>
        <v>49150</v>
      </c>
      <c r="I62" s="289">
        <f>IFERROR(_xlfn.XLOOKUP($A62,CFR20242025_BenchMarkDataReport!$B:$B,CFR20242025_BenchMarkDataReport!Y:Y),0)</f>
        <v>0</v>
      </c>
      <c r="J62" s="289">
        <f>IFERROR(_xlfn.XLOOKUP($A62,CFR20242025_BenchMarkDataReport!$B:$B,CFR20242025_BenchMarkDataReport!Z:Z),0)</f>
        <v>55671.08</v>
      </c>
      <c r="K62" s="289">
        <f>IFERROR(_xlfn.XLOOKUP($A62,CFR20242025_BenchMarkDataReport!$B:$B,CFR20242025_BenchMarkDataReport!AA:AA),0)</f>
        <v>36999.839999999997</v>
      </c>
      <c r="L62" s="289">
        <f>IFERROR(_xlfn.XLOOKUP($A62,CFR20242025_BenchMarkDataReport!$B:$B,CFR20242025_BenchMarkDataReport!AB:AB),0)</f>
        <v>6192.61</v>
      </c>
      <c r="M62" s="289">
        <f>IFERROR(_xlfn.XLOOKUP($A62,CFR20242025_BenchMarkDataReport!$B:$B,CFR20242025_BenchMarkDataReport!AC:AC),0)</f>
        <v>1397.14</v>
      </c>
      <c r="N62" s="289">
        <f>IFERROR(_xlfn.XLOOKUP($A62,CFR20242025_BenchMarkDataReport!$B:$B,CFR20242025_BenchMarkDataReport!AD:AD),0)</f>
        <v>0</v>
      </c>
      <c r="O62" s="289">
        <f>IFERROR(_xlfn.XLOOKUP($A62,CFR20242025_BenchMarkDataReport!$B:$B,CFR20242025_BenchMarkDataReport!AE:AE),0)</f>
        <v>0</v>
      </c>
      <c r="P62" s="289">
        <f>IFERROR(_xlfn.XLOOKUP($A62,CFR20242025_BenchMarkDataReport!$B:$B,CFR20242025_BenchMarkDataReport!AF:AF),0)</f>
        <v>50354.76</v>
      </c>
      <c r="Q62" s="289">
        <f>IFERROR(_xlfn.XLOOKUP($A62,CFR20242025_BenchMarkDataReport!$B:$B,CFR20242025_BenchMarkDataReport!AG:AG),0)</f>
        <v>7371.4</v>
      </c>
      <c r="R62" s="289">
        <f>IFERROR(_xlfn.XLOOKUP($A62,CFR20242025_BenchMarkDataReport!$B:$B,CFR20242025_BenchMarkDataReport!AH:AH),0)</f>
        <v>0</v>
      </c>
      <c r="S62" s="289">
        <f>IFERROR(_xlfn.XLOOKUP($A62,CFR20242025_BenchMarkDataReport!$B:$B,CFR20242025_BenchMarkDataReport!AI:AI),0)</f>
        <v>0</v>
      </c>
      <c r="T62" s="289">
        <f>IFERROR(_xlfn.XLOOKUP($A62,CFR20242025_BenchMarkDataReport!$B:$B,CFR20242025_BenchMarkDataReport!AJ:AJ),0)</f>
        <v>0</v>
      </c>
      <c r="U62" s="289">
        <f>INDEX(CFR20242025_BenchMarkDataReport!$B$3:$AM$87,MATCH(A62,CFR20242025_BenchMarkDataReport!$B$3:$B$87),MATCH($U$2,CFR20242025_BenchMarkDataReport!$B$3:$AM$3,0))</f>
        <v>51128.5</v>
      </c>
      <c r="V62" s="289">
        <f>IFERROR(_xlfn.XLOOKUP($A62,CFR20242025_BenchMarkDataReport!$B:$B,CFR20242025_BenchMarkDataReport!AN:AN),0)</f>
        <v>610280.59</v>
      </c>
      <c r="W62" s="289">
        <f>IFERROR(_xlfn.XLOOKUP($A62,CFR20242025_BenchMarkDataReport!$B:$B,CFR20242025_BenchMarkDataReport!AO:AO),0)</f>
        <v>0</v>
      </c>
      <c r="X62" s="289">
        <f>IFERROR(_xlfn.XLOOKUP($A62,CFR20242025_BenchMarkDataReport!$B:$B,CFR20242025_BenchMarkDataReport!AP:AP),0)</f>
        <v>332678.37</v>
      </c>
      <c r="Y62" s="289">
        <f>IFERROR(_xlfn.XLOOKUP($A62,CFR20242025_BenchMarkDataReport!$B:$B,CFR20242025_BenchMarkDataReport!AQ:AQ),0)</f>
        <v>64467.5</v>
      </c>
      <c r="Z62" s="289">
        <f>IFERROR(_xlfn.XLOOKUP($A62,CFR20242025_BenchMarkDataReport!$B:$B,CFR20242025_BenchMarkDataReport!AR:AR),0)</f>
        <v>67918.23</v>
      </c>
      <c r="AA62" s="289">
        <f>IFERROR(_xlfn.XLOOKUP($A62,CFR20242025_BenchMarkDataReport!$B:$B,CFR20242025_BenchMarkDataReport!AS:AS),0)</f>
        <v>0</v>
      </c>
      <c r="AB62" s="289">
        <f>IFERROR(_xlfn.XLOOKUP($A62,CFR20242025_BenchMarkDataReport!$B:$B,CFR20242025_BenchMarkDataReport!AT:AT),0)</f>
        <v>20559.18</v>
      </c>
      <c r="AC62" s="289">
        <f>IFERROR(_xlfn.XLOOKUP($A62,CFR20242025_BenchMarkDataReport!$B:$B,CFR20242025_BenchMarkDataReport!AU:AU),0)</f>
        <v>683.02</v>
      </c>
      <c r="AD62" s="289">
        <f>IFERROR(_xlfn.XLOOKUP($A62,CFR20242025_BenchMarkDataReport!$B:$B,CFR20242025_BenchMarkDataReport!AV:AV),0)</f>
        <v>2427.77</v>
      </c>
      <c r="AE62" s="289">
        <f>IFERROR(_xlfn.XLOOKUP($A62,CFR20242025_BenchMarkDataReport!$B:$B,CFR20242025_BenchMarkDataReport!AW:AW),0)</f>
        <v>350.26</v>
      </c>
      <c r="AF62" s="289">
        <f>IFERROR(_xlfn.XLOOKUP($A62,CFR20242025_BenchMarkDataReport!$B:$B,CFR20242025_BenchMarkDataReport!AX:AX),0)</f>
        <v>0</v>
      </c>
      <c r="AG62" s="289">
        <f>IFERROR(_xlfn.XLOOKUP($A62,CFR20242025_BenchMarkDataReport!$B:$B,CFR20242025_BenchMarkDataReport!AY:AY),0)</f>
        <v>43183.47</v>
      </c>
      <c r="AH62" s="289">
        <f>IFERROR(_xlfn.XLOOKUP($A62,CFR20242025_BenchMarkDataReport!$B:$B,CFR20242025_BenchMarkDataReport!AZ:AZ),0)</f>
        <v>1687.52</v>
      </c>
      <c r="AI62" s="289">
        <f>IFERROR(_xlfn.XLOOKUP($A62,CFR20242025_BenchMarkDataReport!$B:$B,CFR20242025_BenchMarkDataReport!BA:BA),0)</f>
        <v>11935.52</v>
      </c>
      <c r="AJ62" s="289">
        <f>IFERROR(_xlfn.XLOOKUP($A62,CFR20242025_BenchMarkDataReport!$B:$B,CFR20242025_BenchMarkDataReport!BB:BB),0)</f>
        <v>12040.83</v>
      </c>
      <c r="AK62" s="289">
        <f>IFERROR(_xlfn.XLOOKUP($A62,CFR20242025_BenchMarkDataReport!$B:$B,CFR20242025_BenchMarkDataReport!BC:BC),0)</f>
        <v>42495.1</v>
      </c>
      <c r="AL62" s="289">
        <f>IFERROR(_xlfn.XLOOKUP($A62,CFR20242025_BenchMarkDataReport!$B:$B,CFR20242025_BenchMarkDataReport!BD:BD),0)</f>
        <v>5024.87</v>
      </c>
      <c r="AM62" s="289">
        <f>IFERROR(_xlfn.XLOOKUP($A62,CFR20242025_BenchMarkDataReport!$B:$B,CFR20242025_BenchMarkDataReport!BE:BE),0)</f>
        <v>7243.09</v>
      </c>
      <c r="AN62" s="289">
        <f>IFERROR(_xlfn.XLOOKUP($A62,CFR20242025_BenchMarkDataReport!$B:$B,CFR20242025_BenchMarkDataReport!BF:BF),0)</f>
        <v>52294.42</v>
      </c>
      <c r="AO62" s="289">
        <f>IFERROR(_xlfn.XLOOKUP($A62,CFR20242025_BenchMarkDataReport!$B:$B,CFR20242025_BenchMarkDataReport!BN:BN),0)</f>
        <v>34478.65</v>
      </c>
      <c r="AP62" s="289">
        <f>IFERROR(_xlfn.XLOOKUP($A62,CFR20242025_BenchMarkDataReport!$B:$B,CFR20242025_BenchMarkDataReport!BO:BO),0)</f>
        <v>0</v>
      </c>
      <c r="AQ62" s="289">
        <f>IFERROR(_xlfn.XLOOKUP($A62,CFR20242025_BenchMarkDataReport!$B:$B,CFR20242025_BenchMarkDataReport!BP:BP),0)</f>
        <v>3084.5</v>
      </c>
      <c r="AR62" s="289">
        <f>IFERROR(_xlfn.XLOOKUP($A62,CFR20242025_BenchMarkDataReport!$B:$B,CFR20242025_BenchMarkDataReport!BQ:BQ),0)</f>
        <v>9015.2900000000009</v>
      </c>
      <c r="AS62" s="289">
        <f>IFERROR(_xlfn.XLOOKUP($A62,CFR20242025_BenchMarkDataReport!$B:$B,CFR20242025_BenchMarkDataReport!BR:BR),0)</f>
        <v>1778.55</v>
      </c>
      <c r="AT62" s="289">
        <f>IFERROR(_xlfn.XLOOKUP($A62,CFR20242025_BenchMarkDataReport!$B:$B,CFR20242025_BenchMarkDataReport!BS:BS),0)</f>
        <v>83715.710000000006</v>
      </c>
      <c r="AU62" s="289">
        <f>IFERROR(_xlfn.XLOOKUP($A62,CFR20242025_BenchMarkDataReport!$B:$B,CFR20242025_BenchMarkDataReport!BT:BT),0)</f>
        <v>79945.31</v>
      </c>
      <c r="AV62" s="289">
        <f>IFERROR(_xlfn.XLOOKUP($A62,CFR20242025_BenchMarkDataReport!$B:$B,CFR20242025_BenchMarkDataReport!BU:BU),0)</f>
        <v>100319.29</v>
      </c>
      <c r="AW62" s="289">
        <f>IFERROR(_xlfn.XLOOKUP($A62,CFR20242025_BenchMarkDataReport!$B:$B,CFR20242025_BenchMarkDataReport!BV:BV),0)</f>
        <v>31680.1</v>
      </c>
      <c r="AX62" s="289">
        <f>IFERROR(_xlfn.XLOOKUP($A62,CFR20242025_BenchMarkDataReport!$B:$B,CFR20242025_BenchMarkDataReport!BW:BW),0)</f>
        <v>0</v>
      </c>
      <c r="AY62" s="289">
        <f>IFERROR(_xlfn.XLOOKUP($A62,CFR20242025_BenchMarkDataReport!$B:$B,CFR20242025_BenchMarkDataReport!BX:BX),0)</f>
        <v>0</v>
      </c>
      <c r="AZ62" s="289">
        <f>IFERROR(_xlfn.XLOOKUP($A62,CFR20242025_BenchMarkDataReport!$B:$B,CFR20242025_BenchMarkDataReport!BY:BY),0)</f>
        <v>0</v>
      </c>
      <c r="BA62" s="289">
        <f>IFERROR(_xlfn.XLOOKUP($A62,CFR20242025_BenchMarkDataReport!$B:$B,CFR20242025_BenchMarkDataReport!BZ:BZ),0)</f>
        <v>0</v>
      </c>
      <c r="BB62" s="289">
        <f>IFERROR(_xlfn.XLOOKUP($A62,CFR20242025_BenchMarkDataReport!$B:$B,CFR20242025_BenchMarkDataReport!CA:CA),0)</f>
        <v>0</v>
      </c>
      <c r="BC62" s="290">
        <f t="shared" si="106"/>
        <v>1681275.37</v>
      </c>
      <c r="BD62" s="291">
        <f t="shared" si="104"/>
        <v>1619287.1400000004</v>
      </c>
      <c r="BE62" s="327">
        <f t="shared" si="105"/>
        <v>61988.229999999749</v>
      </c>
      <c r="BF62" s="289">
        <f>IFERROR(_xlfn.XLOOKUP(A62,CFR20242025_BenchMarkDataReport!B:B,CFR20242025_BenchMarkDataReport!Q:Q),0)</f>
        <v>165385.20000000001</v>
      </c>
      <c r="BG62" s="290">
        <f t="shared" si="0"/>
        <v>227373.42999999976</v>
      </c>
      <c r="BH62" s="292">
        <f>_xlfn.XLOOKUP(A62,'Pupil on roll 24-25'!E:E,'Pupil on roll 24-25'!I:I)</f>
        <v>211</v>
      </c>
      <c r="BI62" s="291">
        <f t="shared" si="1"/>
        <v>1423010.04</v>
      </c>
      <c r="BJ62" t="s">
        <v>190</v>
      </c>
      <c r="BK62" s="293">
        <f t="shared" si="107"/>
        <v>0.79683304347698847</v>
      </c>
      <c r="BL62" s="294">
        <f t="shared" si="108"/>
        <v>6349.2690521327013</v>
      </c>
      <c r="BM62" s="295">
        <f t="shared" si="109"/>
        <v>0</v>
      </c>
      <c r="BN62" s="296">
        <f t="shared" si="110"/>
        <v>0</v>
      </c>
      <c r="BO62" s="293">
        <f t="shared" si="111"/>
        <v>4.9554208362666968E-2</v>
      </c>
      <c r="BP62" s="294">
        <f t="shared" si="112"/>
        <v>394.85436018957347</v>
      </c>
      <c r="BQ62" s="295">
        <f t="shared" si="113"/>
        <v>0</v>
      </c>
      <c r="BR62" s="296">
        <f t="shared" si="114"/>
        <v>0</v>
      </c>
      <c r="BS62" s="293">
        <f t="shared" si="115"/>
        <v>2.9233759607148708E-2</v>
      </c>
      <c r="BT62" s="294">
        <f t="shared" si="116"/>
        <v>232.93838862559241</v>
      </c>
      <c r="BU62" s="295">
        <f t="shared" si="117"/>
        <v>0</v>
      </c>
      <c r="BV62" s="296">
        <f t="shared" si="118"/>
        <v>0</v>
      </c>
      <c r="BW62" s="293">
        <f t="shared" si="119"/>
        <v>3.3112410372133153E-2</v>
      </c>
      <c r="BX62" s="294">
        <f t="shared" si="120"/>
        <v>263.84398104265404</v>
      </c>
      <c r="BY62" s="295">
        <f t="shared" si="121"/>
        <v>2.5690288914420958E-2</v>
      </c>
      <c r="BZ62" s="297">
        <f t="shared" si="122"/>
        <v>204.70355450236966</v>
      </c>
      <c r="CA62" s="298">
        <f t="shared" si="123"/>
        <v>2.9950334667663631E-2</v>
      </c>
      <c r="CB62" s="299">
        <f t="shared" si="124"/>
        <v>238.64815165876777</v>
      </c>
      <c r="CC62" s="295">
        <f t="shared" si="125"/>
        <v>4.3844096758522072E-3</v>
      </c>
      <c r="CD62" s="296">
        <f t="shared" si="126"/>
        <v>34.935545023696683</v>
      </c>
      <c r="CE62" s="300">
        <f t="shared" si="127"/>
        <v>0.48504640206192773</v>
      </c>
      <c r="CF62" s="298">
        <f t="shared" si="128"/>
        <v>0.41053709125590765</v>
      </c>
      <c r="CG62" s="298">
        <f t="shared" si="129"/>
        <v>0.42625293744999404</v>
      </c>
      <c r="CH62" s="299">
        <f t="shared" si="130"/>
        <v>3271.2127962085306</v>
      </c>
      <c r="CI62" s="295">
        <f t="shared" si="131"/>
        <v>0.23378497737092563</v>
      </c>
      <c r="CJ62" s="301">
        <f t="shared" si="132"/>
        <v>0.19787262451837379</v>
      </c>
      <c r="CK62" s="301">
        <f t="shared" si="133"/>
        <v>0.20544742299379956</v>
      </c>
      <c r="CL62" s="302">
        <f t="shared" si="134"/>
        <v>1576.6747393364928</v>
      </c>
      <c r="CM62" s="300">
        <f t="shared" si="135"/>
        <v>4.5303615707447856E-2</v>
      </c>
      <c r="CN62" s="298">
        <f t="shared" si="136"/>
        <v>3.8344402797026639E-2</v>
      </c>
      <c r="CO62" s="298">
        <f t="shared" si="137"/>
        <v>3.9812271960611004E-2</v>
      </c>
      <c r="CP62" s="299">
        <f t="shared" si="138"/>
        <v>305.53317535545023</v>
      </c>
      <c r="CQ62" s="295">
        <f t="shared" si="139"/>
        <v>4.7728566974833145E-2</v>
      </c>
      <c r="CR62" s="301">
        <f t="shared" si="140"/>
        <v>4.0396850636073962E-2</v>
      </c>
      <c r="CS62" s="301">
        <f t="shared" si="141"/>
        <v>4.1943289934359619E-2</v>
      </c>
      <c r="CT62" s="296">
        <f t="shared" si="142"/>
        <v>321.88734597156395</v>
      </c>
      <c r="CU62" s="300">
        <f t="shared" si="143"/>
        <v>0.77013080666669076</v>
      </c>
      <c r="CV62" s="298">
        <f t="shared" si="144"/>
        <v>0.65182889701167734</v>
      </c>
      <c r="CW62" s="298">
        <f t="shared" si="145"/>
        <v>0.67678167937528344</v>
      </c>
      <c r="CX62" s="299">
        <f t="shared" si="146"/>
        <v>5193.8572037914682</v>
      </c>
      <c r="CY62" s="295">
        <f t="shared" si="147"/>
        <v>3.0346567336938818E-2</v>
      </c>
      <c r="CZ62" s="301">
        <f t="shared" si="148"/>
        <v>2.6668197957775416E-2</v>
      </c>
      <c r="DA62" s="296">
        <f t="shared" si="149"/>
        <v>204.66099526066353</v>
      </c>
      <c r="DB62" s="300">
        <f t="shared" si="150"/>
        <v>7.4358831751112388E-3</v>
      </c>
      <c r="DC62" s="299">
        <f t="shared" si="151"/>
        <v>57.065545023696679</v>
      </c>
      <c r="DD62" s="295">
        <f t="shared" si="152"/>
        <v>2.9862825142119163E-2</v>
      </c>
      <c r="DE62" s="301">
        <f t="shared" si="153"/>
        <v>2.624309114194533E-2</v>
      </c>
      <c r="DF62" s="296">
        <f t="shared" si="154"/>
        <v>201.39857819905214</v>
      </c>
      <c r="DG62" s="300">
        <f t="shared" si="155"/>
        <v>5.0899781423889325E-3</v>
      </c>
      <c r="DH62" s="298">
        <f t="shared" si="156"/>
        <v>4.473011500603901E-3</v>
      </c>
      <c r="DI62" s="303">
        <f t="shared" si="157"/>
        <v>34.327440758293839</v>
      </c>
      <c r="DJ62" s="295">
        <f t="shared" si="158"/>
        <v>3.674915744094117E-2</v>
      </c>
      <c r="DK62" s="301">
        <f t="shared" si="159"/>
        <v>3.1104018373861026E-2</v>
      </c>
      <c r="DL62" s="301">
        <f t="shared" si="160"/>
        <v>3.2294717044439682E-2</v>
      </c>
      <c r="DM62" s="296">
        <f t="shared" si="161"/>
        <v>247.84085308056871</v>
      </c>
      <c r="DN62" s="300">
        <f t="shared" si="162"/>
        <v>2.167588360796105E-3</v>
      </c>
      <c r="DO62" s="298">
        <f t="shared" si="163"/>
        <v>1.9048505504712396E-3</v>
      </c>
      <c r="DP62" s="299">
        <f t="shared" si="164"/>
        <v>14.618483412322275</v>
      </c>
      <c r="DQ62" s="295">
        <f t="shared" si="165"/>
        <v>7.0497949543630756E-2</v>
      </c>
      <c r="DR62" s="301">
        <f t="shared" si="166"/>
        <v>6.1952749158496974E-2</v>
      </c>
      <c r="DS62" s="296">
        <f t="shared" si="167"/>
        <v>475.44687203791466</v>
      </c>
      <c r="DT62" s="300">
        <f t="shared" si="168"/>
        <v>5.1699113722350677E-2</v>
      </c>
      <c r="DU62" s="299">
        <f t="shared" si="169"/>
        <v>396.75691943127964</v>
      </c>
      <c r="DV62" s="295">
        <f t="shared" si="25"/>
        <v>7.3708483845551925E-3</v>
      </c>
      <c r="DW62" s="296">
        <f t="shared" si="97"/>
        <v>56.566445497630333</v>
      </c>
      <c r="DX62" s="295">
        <f t="shared" si="170"/>
        <v>1.9676600454625043E-5</v>
      </c>
      <c r="DY62" s="301">
        <f t="shared" si="171"/>
        <v>1.6654023784337005E-5</v>
      </c>
      <c r="DZ62" s="301">
        <f t="shared" si="172"/>
        <v>1.7291559543911399E-5</v>
      </c>
      <c r="EA62" s="296">
        <f t="shared" si="173"/>
        <v>0.13270142180094788</v>
      </c>
      <c r="EB62" s="304">
        <f>IFERROR(_xlfn.XLOOKUP(A62,'Pupil on roll 24-25'!E:E,'Pupil on roll 24-25'!R:R),0)</f>
        <v>28</v>
      </c>
      <c r="EC62" s="289">
        <f>IFERROR(_xlfn.XLOOKUP(A62,CFR20242025_BenchMarkDataReport!B:B,CFR20242025_BenchMarkDataReport!AK:AK),0)</f>
        <v>2777.5</v>
      </c>
      <c r="ED62" s="289">
        <f>IFERROR(_xlfn.XLOOKUP(A62,CFR20242025_BenchMarkDataReport!B:B,CFR20242025_BenchMarkDataReport!AL:AL),0)</f>
        <v>48351</v>
      </c>
    </row>
    <row r="63" spans="1:134">
      <c r="A63" s="208">
        <v>3309</v>
      </c>
      <c r="B63" s="326">
        <v>10116</v>
      </c>
      <c r="C63" s="208" t="s">
        <v>95</v>
      </c>
      <c r="D63" s="289">
        <f>IFERROR(_xlfn.XLOOKUP($A63,CFR20242025_BenchMarkDataReport!$B:$B,CFR20242025_BenchMarkDataReport!T:T),0)</f>
        <v>1285627.58</v>
      </c>
      <c r="E63" s="289">
        <f>IFERROR(_xlfn.XLOOKUP($A63,CFR20242025_BenchMarkDataReport!$B:$B,CFR20242025_BenchMarkDataReport!U:U),0)</f>
        <v>0</v>
      </c>
      <c r="F63" s="289">
        <f>IFERROR(_xlfn.XLOOKUP($A63,CFR20242025_BenchMarkDataReport!$B:$B,CFR20242025_BenchMarkDataReport!V:V),0)</f>
        <v>95203.96</v>
      </c>
      <c r="G63" s="289">
        <f>IFERROR(_xlfn.XLOOKUP($A63,CFR20242025_BenchMarkDataReport!$B:$B,CFR20242025_BenchMarkDataReport!W:W),0)</f>
        <v>0</v>
      </c>
      <c r="H63" s="289">
        <f>IFERROR(_xlfn.XLOOKUP($A63,CFR20242025_BenchMarkDataReport!$B:$B,CFR20242025_BenchMarkDataReport!X:X),0)</f>
        <v>40270</v>
      </c>
      <c r="I63" s="289">
        <f>IFERROR(_xlfn.XLOOKUP($A63,CFR20242025_BenchMarkDataReport!$B:$B,CFR20242025_BenchMarkDataReport!Y:Y),0)</f>
        <v>10888.84</v>
      </c>
      <c r="J63" s="289">
        <f>IFERROR(_xlfn.XLOOKUP($A63,CFR20242025_BenchMarkDataReport!$B:$B,CFR20242025_BenchMarkDataReport!Z:Z),0)</f>
        <v>52418.48</v>
      </c>
      <c r="K63" s="289">
        <f>IFERROR(_xlfn.XLOOKUP($A63,CFR20242025_BenchMarkDataReport!$B:$B,CFR20242025_BenchMarkDataReport!AA:AA),0)</f>
        <v>12994</v>
      </c>
      <c r="L63" s="289">
        <f>IFERROR(_xlfn.XLOOKUP($A63,CFR20242025_BenchMarkDataReport!$B:$B,CFR20242025_BenchMarkDataReport!AB:AB),0)</f>
        <v>100629.21</v>
      </c>
      <c r="M63" s="289">
        <f>IFERROR(_xlfn.XLOOKUP($A63,CFR20242025_BenchMarkDataReport!$B:$B,CFR20242025_BenchMarkDataReport!AC:AC),0)</f>
        <v>4740.05</v>
      </c>
      <c r="N63" s="289">
        <f>IFERROR(_xlfn.XLOOKUP($A63,CFR20242025_BenchMarkDataReport!$B:$B,CFR20242025_BenchMarkDataReport!AD:AD),0)</f>
        <v>0</v>
      </c>
      <c r="O63" s="289">
        <f>IFERROR(_xlfn.XLOOKUP($A63,CFR20242025_BenchMarkDataReport!$B:$B,CFR20242025_BenchMarkDataReport!AE:AE),0)</f>
        <v>0</v>
      </c>
      <c r="P63" s="289">
        <f>IFERROR(_xlfn.XLOOKUP($A63,CFR20242025_BenchMarkDataReport!$B:$B,CFR20242025_BenchMarkDataReport!AF:AF),0)</f>
        <v>82735.12</v>
      </c>
      <c r="Q63" s="289">
        <f>IFERROR(_xlfn.XLOOKUP($A63,CFR20242025_BenchMarkDataReport!$B:$B,CFR20242025_BenchMarkDataReport!AG:AG),0)</f>
        <v>52400.02</v>
      </c>
      <c r="R63" s="289">
        <f>IFERROR(_xlfn.XLOOKUP($A63,CFR20242025_BenchMarkDataReport!$B:$B,CFR20242025_BenchMarkDataReport!AH:AH),0)</f>
        <v>0</v>
      </c>
      <c r="S63" s="289">
        <f>IFERROR(_xlfn.XLOOKUP($A63,CFR20242025_BenchMarkDataReport!$B:$B,CFR20242025_BenchMarkDataReport!AI:AI),0)</f>
        <v>0</v>
      </c>
      <c r="T63" s="289">
        <f>IFERROR(_xlfn.XLOOKUP($A63,CFR20242025_BenchMarkDataReport!$B:$B,CFR20242025_BenchMarkDataReport!AJ:AJ),0)</f>
        <v>0</v>
      </c>
      <c r="U63" s="289">
        <f>INDEX(CFR20242025_BenchMarkDataReport!$B$3:$AM$87,MATCH(A63,CFR20242025_BenchMarkDataReport!$B$3:$B$87),MATCH($U$2,CFR20242025_BenchMarkDataReport!$B$3:$AM$3,0))</f>
        <v>54890</v>
      </c>
      <c r="V63" s="289">
        <f>IFERROR(_xlfn.XLOOKUP($A63,CFR20242025_BenchMarkDataReport!$B:$B,CFR20242025_BenchMarkDataReport!AN:AN),0)</f>
        <v>809681.94</v>
      </c>
      <c r="W63" s="289">
        <f>IFERROR(_xlfn.XLOOKUP($A63,CFR20242025_BenchMarkDataReport!$B:$B,CFR20242025_BenchMarkDataReport!AO:AO),0)</f>
        <v>0</v>
      </c>
      <c r="X63" s="289">
        <f>IFERROR(_xlfn.XLOOKUP($A63,CFR20242025_BenchMarkDataReport!$B:$B,CFR20242025_BenchMarkDataReport!AP:AP),0)</f>
        <v>267912.87</v>
      </c>
      <c r="Y63" s="289">
        <f>IFERROR(_xlfn.XLOOKUP($A63,CFR20242025_BenchMarkDataReport!$B:$B,CFR20242025_BenchMarkDataReport!AQ:AQ),0)</f>
        <v>21185.91</v>
      </c>
      <c r="Z63" s="289">
        <f>IFERROR(_xlfn.XLOOKUP($A63,CFR20242025_BenchMarkDataReport!$B:$B,CFR20242025_BenchMarkDataReport!AR:AR),0)</f>
        <v>62343.06</v>
      </c>
      <c r="AA63" s="289">
        <f>IFERROR(_xlfn.XLOOKUP($A63,CFR20242025_BenchMarkDataReport!$B:$B,CFR20242025_BenchMarkDataReport!AS:AS),0)</f>
        <v>0</v>
      </c>
      <c r="AB63" s="289">
        <f>IFERROR(_xlfn.XLOOKUP($A63,CFR20242025_BenchMarkDataReport!$B:$B,CFR20242025_BenchMarkDataReport!AT:AT),0)</f>
        <v>48138.27</v>
      </c>
      <c r="AC63" s="289">
        <f>IFERROR(_xlfn.XLOOKUP($A63,CFR20242025_BenchMarkDataReport!$B:$B,CFR20242025_BenchMarkDataReport!AU:AU),0)</f>
        <v>7040.65</v>
      </c>
      <c r="AD63" s="289">
        <f>IFERROR(_xlfn.XLOOKUP($A63,CFR20242025_BenchMarkDataReport!$B:$B,CFR20242025_BenchMarkDataReport!AV:AV),0)</f>
        <v>7479.86</v>
      </c>
      <c r="AE63" s="289">
        <f>IFERROR(_xlfn.XLOOKUP($A63,CFR20242025_BenchMarkDataReport!$B:$B,CFR20242025_BenchMarkDataReport!AW:AW),0)</f>
        <v>341.96</v>
      </c>
      <c r="AF63" s="289">
        <f>IFERROR(_xlfn.XLOOKUP($A63,CFR20242025_BenchMarkDataReport!$B:$B,CFR20242025_BenchMarkDataReport!AX:AX),0)</f>
        <v>0</v>
      </c>
      <c r="AG63" s="289">
        <f>IFERROR(_xlfn.XLOOKUP($A63,CFR20242025_BenchMarkDataReport!$B:$B,CFR20242025_BenchMarkDataReport!AY:AY),0)</f>
        <v>59700.84</v>
      </c>
      <c r="AH63" s="289">
        <f>IFERROR(_xlfn.XLOOKUP($A63,CFR20242025_BenchMarkDataReport!$B:$B,CFR20242025_BenchMarkDataReport!AZ:AZ),0)</f>
        <v>3718.25</v>
      </c>
      <c r="AI63" s="289">
        <f>IFERROR(_xlfn.XLOOKUP($A63,CFR20242025_BenchMarkDataReport!$B:$B,CFR20242025_BenchMarkDataReport!BA:BA),0)</f>
        <v>25826.89</v>
      </c>
      <c r="AJ63" s="289">
        <f>IFERROR(_xlfn.XLOOKUP($A63,CFR20242025_BenchMarkDataReport!$B:$B,CFR20242025_BenchMarkDataReport!BB:BB),0)</f>
        <v>2276.58</v>
      </c>
      <c r="AK63" s="289">
        <f>IFERROR(_xlfn.XLOOKUP($A63,CFR20242025_BenchMarkDataReport!$B:$B,CFR20242025_BenchMarkDataReport!BC:BC),0)</f>
        <v>27608.13</v>
      </c>
      <c r="AL63" s="289">
        <f>IFERROR(_xlfn.XLOOKUP($A63,CFR20242025_BenchMarkDataReport!$B:$B,CFR20242025_BenchMarkDataReport!BD:BD),0)</f>
        <v>5694.43</v>
      </c>
      <c r="AM63" s="289">
        <f>IFERROR(_xlfn.XLOOKUP($A63,CFR20242025_BenchMarkDataReport!$B:$B,CFR20242025_BenchMarkDataReport!BE:BE),0)</f>
        <v>8659.69</v>
      </c>
      <c r="AN63" s="289">
        <f>IFERROR(_xlfn.XLOOKUP($A63,CFR20242025_BenchMarkDataReport!$B:$B,CFR20242025_BenchMarkDataReport!BF:BF),0)</f>
        <v>92345.98</v>
      </c>
      <c r="AO63" s="289">
        <f>IFERROR(_xlfn.XLOOKUP($A63,CFR20242025_BenchMarkDataReport!$B:$B,CFR20242025_BenchMarkDataReport!BN:BN),0)</f>
        <v>25397.17</v>
      </c>
      <c r="AP63" s="289">
        <f>IFERROR(_xlfn.XLOOKUP($A63,CFR20242025_BenchMarkDataReport!$B:$B,CFR20242025_BenchMarkDataReport!BO:BO),0)</f>
        <v>0</v>
      </c>
      <c r="AQ63" s="289">
        <f>IFERROR(_xlfn.XLOOKUP($A63,CFR20242025_BenchMarkDataReport!$B:$B,CFR20242025_BenchMarkDataReport!BP:BP),0)</f>
        <v>6254.96</v>
      </c>
      <c r="AR63" s="289">
        <f>IFERROR(_xlfn.XLOOKUP($A63,CFR20242025_BenchMarkDataReport!$B:$B,CFR20242025_BenchMarkDataReport!BQ:BQ),0)</f>
        <v>8685.84</v>
      </c>
      <c r="AS63" s="289">
        <f>IFERROR(_xlfn.XLOOKUP($A63,CFR20242025_BenchMarkDataReport!$B:$B,CFR20242025_BenchMarkDataReport!BR:BR),0)</f>
        <v>8150.86</v>
      </c>
      <c r="AT63" s="289">
        <f>IFERROR(_xlfn.XLOOKUP($A63,CFR20242025_BenchMarkDataReport!$B:$B,CFR20242025_BenchMarkDataReport!BS:BS),0)</f>
        <v>102145.7</v>
      </c>
      <c r="AU63" s="289">
        <f>IFERROR(_xlfn.XLOOKUP($A63,CFR20242025_BenchMarkDataReport!$B:$B,CFR20242025_BenchMarkDataReport!BT:BT),0)</f>
        <v>9987.69</v>
      </c>
      <c r="AV63" s="289">
        <f>IFERROR(_xlfn.XLOOKUP($A63,CFR20242025_BenchMarkDataReport!$B:$B,CFR20242025_BenchMarkDataReport!BU:BU),0)</f>
        <v>165819.70000000001</v>
      </c>
      <c r="AW63" s="289">
        <f>IFERROR(_xlfn.XLOOKUP($A63,CFR20242025_BenchMarkDataReport!$B:$B,CFR20242025_BenchMarkDataReport!BV:BV),0)</f>
        <v>25152.02</v>
      </c>
      <c r="AX63" s="289">
        <f>IFERROR(_xlfn.XLOOKUP($A63,CFR20242025_BenchMarkDataReport!$B:$B,CFR20242025_BenchMarkDataReport!BW:BW),0)</f>
        <v>0</v>
      </c>
      <c r="AY63" s="289">
        <f>IFERROR(_xlfn.XLOOKUP($A63,CFR20242025_BenchMarkDataReport!$B:$B,CFR20242025_BenchMarkDataReport!BX:BX),0)</f>
        <v>0</v>
      </c>
      <c r="AZ63" s="289">
        <f>IFERROR(_xlfn.XLOOKUP($A63,CFR20242025_BenchMarkDataReport!$B:$B,CFR20242025_BenchMarkDataReport!BY:BY),0)</f>
        <v>0</v>
      </c>
      <c r="BA63" s="289">
        <f>IFERROR(_xlfn.XLOOKUP($A63,CFR20242025_BenchMarkDataReport!$B:$B,CFR20242025_BenchMarkDataReport!BZ:BZ),0)</f>
        <v>0</v>
      </c>
      <c r="BB63" s="289">
        <f>IFERROR(_xlfn.XLOOKUP($A63,CFR20242025_BenchMarkDataReport!$B:$B,CFR20242025_BenchMarkDataReport!CA:CA),0)</f>
        <v>0</v>
      </c>
      <c r="BC63" s="290">
        <f t="shared" si="106"/>
        <v>1792797.2600000002</v>
      </c>
      <c r="BD63" s="291">
        <f t="shared" si="104"/>
        <v>1801549.2499999998</v>
      </c>
      <c r="BE63" s="327">
        <f t="shared" si="105"/>
        <v>-8751.989999999525</v>
      </c>
      <c r="BF63" s="289">
        <f>IFERROR(_xlfn.XLOOKUP(A63,CFR20242025_BenchMarkDataReport!B:B,CFR20242025_BenchMarkDataReport!Q:Q),0)</f>
        <v>155004.99</v>
      </c>
      <c r="BG63" s="290">
        <f t="shared" si="0"/>
        <v>146253.00000000047</v>
      </c>
      <c r="BH63" s="292">
        <f>_xlfn.XLOOKUP(A63,'Pupil on roll 24-25'!E:E,'Pupil on roll 24-25'!I:I)</f>
        <v>206</v>
      </c>
      <c r="BI63" s="291">
        <f t="shared" si="1"/>
        <v>1380831.54</v>
      </c>
      <c r="BJ63" t="s">
        <v>190</v>
      </c>
      <c r="BK63" s="293">
        <f t="shared" si="107"/>
        <v>0.71710706429794513</v>
      </c>
      <c r="BL63" s="294">
        <f t="shared" si="108"/>
        <v>6240.9105825242723</v>
      </c>
      <c r="BM63" s="295">
        <f t="shared" si="109"/>
        <v>0</v>
      </c>
      <c r="BN63" s="296">
        <f t="shared" si="110"/>
        <v>0</v>
      </c>
      <c r="BO63" s="293">
        <f t="shared" si="111"/>
        <v>5.3103584060586968E-2</v>
      </c>
      <c r="BP63" s="294">
        <f t="shared" si="112"/>
        <v>462.15514563106797</v>
      </c>
      <c r="BQ63" s="295">
        <f t="shared" si="113"/>
        <v>0</v>
      </c>
      <c r="BR63" s="296">
        <f t="shared" si="114"/>
        <v>0</v>
      </c>
      <c r="BS63" s="293">
        <f t="shared" si="115"/>
        <v>2.2462104833872846E-2</v>
      </c>
      <c r="BT63" s="294">
        <f t="shared" si="116"/>
        <v>195.48543689320388</v>
      </c>
      <c r="BU63" s="295">
        <f t="shared" si="117"/>
        <v>6.0736594387700025E-3</v>
      </c>
      <c r="BV63" s="296">
        <f t="shared" si="118"/>
        <v>52.85844660194175</v>
      </c>
      <c r="BW63" s="293">
        <f t="shared" si="119"/>
        <v>2.9238375788236088E-2</v>
      </c>
      <c r="BX63" s="294">
        <f t="shared" si="120"/>
        <v>254.45864077669904</v>
      </c>
      <c r="BY63" s="295">
        <f t="shared" si="121"/>
        <v>6.337761248028681E-2</v>
      </c>
      <c r="BZ63" s="297">
        <f t="shared" si="122"/>
        <v>551.56898058252432</v>
      </c>
      <c r="CA63" s="298">
        <f t="shared" si="123"/>
        <v>4.6148620285151473E-2</v>
      </c>
      <c r="CB63" s="299">
        <f t="shared" si="124"/>
        <v>401.62679611650481</v>
      </c>
      <c r="CC63" s="295">
        <f t="shared" si="125"/>
        <v>2.9228079029973524E-2</v>
      </c>
      <c r="CD63" s="296">
        <f t="shared" si="126"/>
        <v>254.36902912621358</v>
      </c>
      <c r="CE63" s="300">
        <f t="shared" si="127"/>
        <v>0.59360581378377253</v>
      </c>
      <c r="CF63" s="298">
        <f t="shared" si="128"/>
        <v>0.4572015187037935</v>
      </c>
      <c r="CG63" s="298">
        <f t="shared" si="129"/>
        <v>0.45498041754895124</v>
      </c>
      <c r="CH63" s="299">
        <f t="shared" si="130"/>
        <v>3978.9787864077666</v>
      </c>
      <c r="CI63" s="295">
        <f t="shared" si="131"/>
        <v>0.19402284944910803</v>
      </c>
      <c r="CJ63" s="301">
        <f t="shared" si="132"/>
        <v>0.14943846467056734</v>
      </c>
      <c r="CK63" s="301">
        <f t="shared" si="133"/>
        <v>0.14871248732167608</v>
      </c>
      <c r="CL63" s="302">
        <f t="shared" si="134"/>
        <v>1300.5479126213593</v>
      </c>
      <c r="CM63" s="300">
        <f t="shared" si="135"/>
        <v>1.5342863619699764E-2</v>
      </c>
      <c r="CN63" s="298">
        <f t="shared" si="136"/>
        <v>1.181723693620549E-2</v>
      </c>
      <c r="CO63" s="298">
        <f t="shared" si="137"/>
        <v>1.1759828381044815E-2</v>
      </c>
      <c r="CP63" s="299">
        <f t="shared" si="138"/>
        <v>102.84422330097087</v>
      </c>
      <c r="CQ63" s="295">
        <f t="shared" si="139"/>
        <v>4.5148925262816636E-2</v>
      </c>
      <c r="CR63" s="301">
        <f t="shared" si="140"/>
        <v>3.4774182999364911E-2</v>
      </c>
      <c r="CS63" s="301">
        <f t="shared" si="141"/>
        <v>3.460524878795293E-2</v>
      </c>
      <c r="CT63" s="296">
        <f t="shared" si="142"/>
        <v>302.63621359223299</v>
      </c>
      <c r="CU63" s="300">
        <f t="shared" si="143"/>
        <v>0.87574915184802338</v>
      </c>
      <c r="CV63" s="298">
        <f t="shared" si="144"/>
        <v>0.67451132204430064</v>
      </c>
      <c r="CW63" s="298">
        <f t="shared" si="145"/>
        <v>0.67123452217584401</v>
      </c>
      <c r="CX63" s="299">
        <f t="shared" si="146"/>
        <v>5870.2041262135926</v>
      </c>
      <c r="CY63" s="295">
        <f t="shared" si="147"/>
        <v>4.3235426096944453E-2</v>
      </c>
      <c r="CZ63" s="301">
        <f t="shared" si="148"/>
        <v>3.3138611114850176E-2</v>
      </c>
      <c r="DA63" s="296">
        <f t="shared" si="149"/>
        <v>289.80990291262134</v>
      </c>
      <c r="DB63" s="300">
        <f t="shared" si="150"/>
        <v>1.2636790251501591E-3</v>
      </c>
      <c r="DC63" s="299">
        <f t="shared" si="151"/>
        <v>11.05135922330097</v>
      </c>
      <c r="DD63" s="295">
        <f t="shared" si="152"/>
        <v>1.9993843709566483E-2</v>
      </c>
      <c r="DE63" s="301">
        <f t="shared" si="153"/>
        <v>1.5324660150145773E-2</v>
      </c>
      <c r="DF63" s="296">
        <f t="shared" si="154"/>
        <v>134.02004854368931</v>
      </c>
      <c r="DG63" s="300">
        <f t="shared" si="155"/>
        <v>6.2713587784937186E-3</v>
      </c>
      <c r="DH63" s="298">
        <f t="shared" si="156"/>
        <v>4.8068017013689754E-3</v>
      </c>
      <c r="DI63" s="303">
        <f t="shared" si="157"/>
        <v>42.037330097087384</v>
      </c>
      <c r="DJ63" s="295">
        <f t="shared" si="158"/>
        <v>6.6877079009942081E-2</v>
      </c>
      <c r="DK63" s="301">
        <f t="shared" si="159"/>
        <v>5.1509438384572268E-2</v>
      </c>
      <c r="DL63" s="301">
        <f t="shared" si="160"/>
        <v>5.1259203710362071E-2</v>
      </c>
      <c r="DM63" s="296">
        <f t="shared" si="161"/>
        <v>448.28145631067957</v>
      </c>
      <c r="DN63" s="300">
        <f t="shared" si="162"/>
        <v>4.5298501799864738E-3</v>
      </c>
      <c r="DO63" s="298">
        <f t="shared" si="163"/>
        <v>3.4719894557420513E-3</v>
      </c>
      <c r="DP63" s="299">
        <f t="shared" si="164"/>
        <v>30.363883495145632</v>
      </c>
      <c r="DQ63" s="295">
        <f t="shared" si="165"/>
        <v>0.12008684274404682</v>
      </c>
      <c r="DR63" s="301">
        <f t="shared" si="166"/>
        <v>9.2042834798993167E-2</v>
      </c>
      <c r="DS63" s="296">
        <f t="shared" si="167"/>
        <v>804.95</v>
      </c>
      <c r="DT63" s="300">
        <f t="shared" si="168"/>
        <v>5.6698810759683652E-2</v>
      </c>
      <c r="DU63" s="299">
        <f t="shared" si="169"/>
        <v>495.85291262135922</v>
      </c>
      <c r="DV63" s="295">
        <f t="shared" si="25"/>
        <v>1.4335933364019886E-2</v>
      </c>
      <c r="DW63" s="296">
        <f t="shared" si="97"/>
        <v>125.37325242718447</v>
      </c>
      <c r="DX63" s="295">
        <f t="shared" si="170"/>
        <v>1.5932428658169266E-5</v>
      </c>
      <c r="DY63" s="301">
        <f t="shared" si="171"/>
        <v>1.2271326206734606E-5</v>
      </c>
      <c r="DZ63" s="301">
        <f t="shared" si="172"/>
        <v>1.2211711669830843E-5</v>
      </c>
      <c r="EA63" s="296">
        <f t="shared" si="173"/>
        <v>0.10679611650485436</v>
      </c>
      <c r="EB63" s="304">
        <f>IFERROR(_xlfn.XLOOKUP(A63,'Pupil on roll 24-25'!E:E,'Pupil on roll 24-25'!R:R),0)</f>
        <v>22</v>
      </c>
      <c r="EC63" s="289">
        <f>IFERROR(_xlfn.XLOOKUP(A63,CFR20242025_BenchMarkDataReport!B:B,CFR20242025_BenchMarkDataReport!AK:AK),0)</f>
        <v>943</v>
      </c>
      <c r="ED63" s="289">
        <f>IFERROR(_xlfn.XLOOKUP(A63,CFR20242025_BenchMarkDataReport!B:B,CFR20242025_BenchMarkDataReport!AL:AL),0)</f>
        <v>53947</v>
      </c>
    </row>
    <row r="64" spans="1:134">
      <c r="A64" s="208">
        <v>3509</v>
      </c>
      <c r="B64" s="326">
        <v>10107</v>
      </c>
      <c r="C64" s="15" t="s">
        <v>411</v>
      </c>
      <c r="D64" s="289">
        <f>IFERROR(_xlfn.XLOOKUP($A64,CFR20242025_BenchMarkDataReport!$B:$B,CFR20242025_BenchMarkDataReport!T:T),0)</f>
        <v>2694687.59</v>
      </c>
      <c r="E64" s="289">
        <f>IFERROR(_xlfn.XLOOKUP($A64,CFR20242025_BenchMarkDataReport!$B:$B,CFR20242025_BenchMarkDataReport!U:U),0)</f>
        <v>0</v>
      </c>
      <c r="F64" s="289">
        <f>IFERROR(_xlfn.XLOOKUP($A64,CFR20242025_BenchMarkDataReport!$B:$B,CFR20242025_BenchMarkDataReport!V:V),0)</f>
        <v>234474.98</v>
      </c>
      <c r="G64" s="289">
        <f>IFERROR(_xlfn.XLOOKUP($A64,CFR20242025_BenchMarkDataReport!$B:$B,CFR20242025_BenchMarkDataReport!W:W),0)</f>
        <v>0</v>
      </c>
      <c r="H64" s="289">
        <f>IFERROR(_xlfn.XLOOKUP($A64,CFR20242025_BenchMarkDataReport!$B:$B,CFR20242025_BenchMarkDataReport!X:X),0)</f>
        <v>153920</v>
      </c>
      <c r="I64" s="289">
        <f>IFERROR(_xlfn.XLOOKUP($A64,CFR20242025_BenchMarkDataReport!$B:$B,CFR20242025_BenchMarkDataReport!Y:Y),0)</f>
        <v>2700</v>
      </c>
      <c r="J64" s="289">
        <f>IFERROR(_xlfn.XLOOKUP($A64,CFR20242025_BenchMarkDataReport!$B:$B,CFR20242025_BenchMarkDataReport!Z:Z),0)</f>
        <v>124003.37</v>
      </c>
      <c r="K64" s="289">
        <f>IFERROR(_xlfn.XLOOKUP($A64,CFR20242025_BenchMarkDataReport!$B:$B,CFR20242025_BenchMarkDataReport!AA:AA),0)</f>
        <v>13563.64</v>
      </c>
      <c r="L64" s="289">
        <f>IFERROR(_xlfn.XLOOKUP($A64,CFR20242025_BenchMarkDataReport!$B:$B,CFR20242025_BenchMarkDataReport!AB:AB),0)</f>
        <v>21297.81</v>
      </c>
      <c r="M64" s="289">
        <f>IFERROR(_xlfn.XLOOKUP($A64,CFR20242025_BenchMarkDataReport!$B:$B,CFR20242025_BenchMarkDataReport!AC:AC),0)</f>
        <v>2014.97</v>
      </c>
      <c r="N64" s="289">
        <f>IFERROR(_xlfn.XLOOKUP($A64,CFR20242025_BenchMarkDataReport!$B:$B,CFR20242025_BenchMarkDataReport!AD:AD),0)</f>
        <v>0</v>
      </c>
      <c r="O64" s="289">
        <f>IFERROR(_xlfn.XLOOKUP($A64,CFR20242025_BenchMarkDataReport!$B:$B,CFR20242025_BenchMarkDataReport!AE:AE),0)</f>
        <v>0</v>
      </c>
      <c r="P64" s="289">
        <f>IFERROR(_xlfn.XLOOKUP($A64,CFR20242025_BenchMarkDataReport!$B:$B,CFR20242025_BenchMarkDataReport!AF:AF),0)</f>
        <v>36959.35</v>
      </c>
      <c r="Q64" s="289">
        <f>IFERROR(_xlfn.XLOOKUP($A64,CFR20242025_BenchMarkDataReport!$B:$B,CFR20242025_BenchMarkDataReport!AG:AG),0)</f>
        <v>2392.1999999999998</v>
      </c>
      <c r="R64" s="289">
        <f>IFERROR(_xlfn.XLOOKUP($A64,CFR20242025_BenchMarkDataReport!$B:$B,CFR20242025_BenchMarkDataReport!AH:AH),0)</f>
        <v>0</v>
      </c>
      <c r="S64" s="289">
        <f>IFERROR(_xlfn.XLOOKUP($A64,CFR20242025_BenchMarkDataReport!$B:$B,CFR20242025_BenchMarkDataReport!AI:AI),0)</f>
        <v>0</v>
      </c>
      <c r="T64" s="289">
        <f>IFERROR(_xlfn.XLOOKUP($A64,CFR20242025_BenchMarkDataReport!$B:$B,CFR20242025_BenchMarkDataReport!AJ:AJ),0)</f>
        <v>0</v>
      </c>
      <c r="U64" s="289">
        <f>INDEX(CFR20242025_BenchMarkDataReport!$B$3:$AM$87,MATCH(A64,CFR20242025_BenchMarkDataReport!$B$3:$B$87),MATCH($U$2,CFR20242025_BenchMarkDataReport!$B$3:$AM$3,0))</f>
        <v>113280.13</v>
      </c>
      <c r="V64" s="289">
        <f>IFERROR(_xlfn.XLOOKUP($A64,CFR20242025_BenchMarkDataReport!$B:$B,CFR20242025_BenchMarkDataReport!AN:AN),0)</f>
        <v>1362669.47</v>
      </c>
      <c r="W64" s="289">
        <f>IFERROR(_xlfn.XLOOKUP($A64,CFR20242025_BenchMarkDataReport!$B:$B,CFR20242025_BenchMarkDataReport!AO:AO),0)</f>
        <v>0</v>
      </c>
      <c r="X64" s="289">
        <f>IFERROR(_xlfn.XLOOKUP($A64,CFR20242025_BenchMarkDataReport!$B:$B,CFR20242025_BenchMarkDataReport!AP:AP),0)</f>
        <v>628014.88</v>
      </c>
      <c r="Y64" s="289">
        <f>IFERROR(_xlfn.XLOOKUP($A64,CFR20242025_BenchMarkDataReport!$B:$B,CFR20242025_BenchMarkDataReport!AQ:AQ),0)</f>
        <v>147022.6</v>
      </c>
      <c r="Z64" s="289">
        <f>IFERROR(_xlfn.XLOOKUP($A64,CFR20242025_BenchMarkDataReport!$B:$B,CFR20242025_BenchMarkDataReport!AR:AR),0)</f>
        <v>123267.18</v>
      </c>
      <c r="AA64" s="289">
        <f>IFERROR(_xlfn.XLOOKUP($A64,CFR20242025_BenchMarkDataReport!$B:$B,CFR20242025_BenchMarkDataReport!AS:AS),0)</f>
        <v>0</v>
      </c>
      <c r="AB64" s="289">
        <f>IFERROR(_xlfn.XLOOKUP($A64,CFR20242025_BenchMarkDataReport!$B:$B,CFR20242025_BenchMarkDataReport!AT:AT),0)</f>
        <v>81788.3</v>
      </c>
      <c r="AC64" s="289">
        <f>IFERROR(_xlfn.XLOOKUP($A64,CFR20242025_BenchMarkDataReport!$B:$B,CFR20242025_BenchMarkDataReport!AU:AU),0)</f>
        <v>9491.7800000000007</v>
      </c>
      <c r="AD64" s="289">
        <f>IFERROR(_xlfn.XLOOKUP($A64,CFR20242025_BenchMarkDataReport!$B:$B,CFR20242025_BenchMarkDataReport!AV:AV),0)</f>
        <v>9198.2000000000007</v>
      </c>
      <c r="AE64" s="289">
        <f>IFERROR(_xlfn.XLOOKUP($A64,CFR20242025_BenchMarkDataReport!$B:$B,CFR20242025_BenchMarkDataReport!AW:AW),0)</f>
        <v>735.4</v>
      </c>
      <c r="AF64" s="289">
        <f>IFERROR(_xlfn.XLOOKUP($A64,CFR20242025_BenchMarkDataReport!$B:$B,CFR20242025_BenchMarkDataReport!AX:AX),0)</f>
        <v>0</v>
      </c>
      <c r="AG64" s="289">
        <f>IFERROR(_xlfn.XLOOKUP($A64,CFR20242025_BenchMarkDataReport!$B:$B,CFR20242025_BenchMarkDataReport!AY:AY),0)</f>
        <v>30498.45</v>
      </c>
      <c r="AH64" s="289">
        <f>IFERROR(_xlfn.XLOOKUP($A64,CFR20242025_BenchMarkDataReport!$B:$B,CFR20242025_BenchMarkDataReport!AZ:AZ),0)</f>
        <v>225</v>
      </c>
      <c r="AI64" s="289">
        <f>IFERROR(_xlfn.XLOOKUP($A64,CFR20242025_BenchMarkDataReport!$B:$B,CFR20242025_BenchMarkDataReport!BA:BA),0)</f>
        <v>2835.92</v>
      </c>
      <c r="AJ64" s="289">
        <f>IFERROR(_xlfn.XLOOKUP($A64,CFR20242025_BenchMarkDataReport!$B:$B,CFR20242025_BenchMarkDataReport!BB:BB),0)</f>
        <v>8649.14</v>
      </c>
      <c r="AK64" s="289">
        <f>IFERROR(_xlfn.XLOOKUP($A64,CFR20242025_BenchMarkDataReport!$B:$B,CFR20242025_BenchMarkDataReport!BC:BC),0)</f>
        <v>83764.19</v>
      </c>
      <c r="AL64" s="289">
        <f>IFERROR(_xlfn.XLOOKUP($A64,CFR20242025_BenchMarkDataReport!$B:$B,CFR20242025_BenchMarkDataReport!BD:BD),0)</f>
        <v>14476.8</v>
      </c>
      <c r="AM64" s="289">
        <f>IFERROR(_xlfn.XLOOKUP($A64,CFR20242025_BenchMarkDataReport!$B:$B,CFR20242025_BenchMarkDataReport!BE:BE),0)</f>
        <v>21538.84</v>
      </c>
      <c r="AN64" s="289">
        <f>IFERROR(_xlfn.XLOOKUP($A64,CFR20242025_BenchMarkDataReport!$B:$B,CFR20242025_BenchMarkDataReport!BF:BF),0)</f>
        <v>105885.36</v>
      </c>
      <c r="AO64" s="289">
        <f>IFERROR(_xlfn.XLOOKUP($A64,CFR20242025_BenchMarkDataReport!$B:$B,CFR20242025_BenchMarkDataReport!BN:BN),0)</f>
        <v>14044.71</v>
      </c>
      <c r="AP64" s="289">
        <f>IFERROR(_xlfn.XLOOKUP($A64,CFR20242025_BenchMarkDataReport!$B:$B,CFR20242025_BenchMarkDataReport!BO:BO),0)</f>
        <v>0</v>
      </c>
      <c r="AQ64" s="289">
        <f>IFERROR(_xlfn.XLOOKUP($A64,CFR20242025_BenchMarkDataReport!$B:$B,CFR20242025_BenchMarkDataReport!BP:BP),0)</f>
        <v>17343.28</v>
      </c>
      <c r="AR64" s="289">
        <f>IFERROR(_xlfn.XLOOKUP($A64,CFR20242025_BenchMarkDataReport!$B:$B,CFR20242025_BenchMarkDataReport!BQ:BQ),0)</f>
        <v>7039.25</v>
      </c>
      <c r="AS64" s="289">
        <f>IFERROR(_xlfn.XLOOKUP($A64,CFR20242025_BenchMarkDataReport!$B:$B,CFR20242025_BenchMarkDataReport!BR:BR),0)</f>
        <v>5889.11</v>
      </c>
      <c r="AT64" s="289">
        <f>IFERROR(_xlfn.XLOOKUP($A64,CFR20242025_BenchMarkDataReport!$B:$B,CFR20242025_BenchMarkDataReport!BS:BS),0)</f>
        <v>170559.64</v>
      </c>
      <c r="AU64" s="289">
        <f>IFERROR(_xlfn.XLOOKUP($A64,CFR20242025_BenchMarkDataReport!$B:$B,CFR20242025_BenchMarkDataReport!BT:BT),0)</f>
        <v>154507.20000000001</v>
      </c>
      <c r="AV64" s="289">
        <f>IFERROR(_xlfn.XLOOKUP($A64,CFR20242025_BenchMarkDataReport!$B:$B,CFR20242025_BenchMarkDataReport!BU:BU),0)</f>
        <v>286744.36</v>
      </c>
      <c r="AW64" s="289">
        <f>IFERROR(_xlfn.XLOOKUP($A64,CFR20242025_BenchMarkDataReport!$B:$B,CFR20242025_BenchMarkDataReport!BV:BV),0)</f>
        <v>40932.04</v>
      </c>
      <c r="AX64" s="289">
        <f>IFERROR(_xlfn.XLOOKUP($A64,CFR20242025_BenchMarkDataReport!$B:$B,CFR20242025_BenchMarkDataReport!BW:BW),0)</f>
        <v>0</v>
      </c>
      <c r="AY64" s="289">
        <f>IFERROR(_xlfn.XLOOKUP($A64,CFR20242025_BenchMarkDataReport!$B:$B,CFR20242025_BenchMarkDataReport!BX:BX),0)</f>
        <v>0</v>
      </c>
      <c r="AZ64" s="289">
        <f>IFERROR(_xlfn.XLOOKUP($A64,CFR20242025_BenchMarkDataReport!$B:$B,CFR20242025_BenchMarkDataReport!BY:BY),0)</f>
        <v>0</v>
      </c>
      <c r="BA64" s="289">
        <f>IFERROR(_xlfn.XLOOKUP($A64,CFR20242025_BenchMarkDataReport!$B:$B,CFR20242025_BenchMarkDataReport!BZ:BZ),0)</f>
        <v>0</v>
      </c>
      <c r="BB64" s="289">
        <f>IFERROR(_xlfn.XLOOKUP($A64,CFR20242025_BenchMarkDataReport!$B:$B,CFR20242025_BenchMarkDataReport!CA:CA),0)</f>
        <v>0</v>
      </c>
      <c r="BC64" s="290">
        <f t="shared" si="106"/>
        <v>3399294.0400000005</v>
      </c>
      <c r="BD64" s="291">
        <f t="shared" si="104"/>
        <v>3327121.0999999996</v>
      </c>
      <c r="BE64" s="327">
        <f t="shared" si="105"/>
        <v>72172.940000000875</v>
      </c>
      <c r="BF64" s="289">
        <f>IFERROR(_xlfn.XLOOKUP(A64,CFR20242025_BenchMarkDataReport!B:B,CFR20242025_BenchMarkDataReport!Q:Q),0)</f>
        <v>-697085.94</v>
      </c>
      <c r="BG64" s="290">
        <f t="shared" si="0"/>
        <v>-624912.99999999907</v>
      </c>
      <c r="BH64" s="292">
        <f>_xlfn.XLOOKUP(A64,'Pupil on roll 24-25'!E:E,'Pupil on roll 24-25'!I:I)</f>
        <v>443</v>
      </c>
      <c r="BI64" s="291">
        <f t="shared" si="1"/>
        <v>2929162.57</v>
      </c>
      <c r="BJ64" t="s">
        <v>190</v>
      </c>
      <c r="BK64" s="293">
        <f t="shared" si="107"/>
        <v>0.79271977013203587</v>
      </c>
      <c r="BL64" s="294">
        <f t="shared" si="108"/>
        <v>6082.816230248307</v>
      </c>
      <c r="BM64" s="295">
        <f t="shared" si="109"/>
        <v>0</v>
      </c>
      <c r="BN64" s="296">
        <f t="shared" si="110"/>
        <v>0</v>
      </c>
      <c r="BO64" s="293">
        <f t="shared" si="111"/>
        <v>6.8977551585975766E-2</v>
      </c>
      <c r="BP64" s="294">
        <f t="shared" si="112"/>
        <v>529.28889390519191</v>
      </c>
      <c r="BQ64" s="295">
        <f t="shared" si="113"/>
        <v>0</v>
      </c>
      <c r="BR64" s="296">
        <f t="shared" si="114"/>
        <v>0</v>
      </c>
      <c r="BS64" s="293">
        <f t="shared" si="115"/>
        <v>4.5279989959326958E-2</v>
      </c>
      <c r="BT64" s="294">
        <f t="shared" si="116"/>
        <v>347.44920993227993</v>
      </c>
      <c r="BU64" s="295">
        <f t="shared" si="117"/>
        <v>7.9428256815347446E-4</v>
      </c>
      <c r="BV64" s="296">
        <f t="shared" si="118"/>
        <v>6.0948081264108351</v>
      </c>
      <c r="BW64" s="293">
        <f t="shared" si="119"/>
        <v>3.6479153771587225E-2</v>
      </c>
      <c r="BX64" s="294">
        <f t="shared" si="120"/>
        <v>279.91731376975167</v>
      </c>
      <c r="BY64" s="295">
        <f t="shared" si="121"/>
        <v>1.0255497050205164E-2</v>
      </c>
      <c r="BZ64" s="297">
        <f t="shared" si="122"/>
        <v>78.694018058690745</v>
      </c>
      <c r="CA64" s="298">
        <f t="shared" si="123"/>
        <v>1.0872654605660413E-2</v>
      </c>
      <c r="CB64" s="299">
        <f t="shared" si="124"/>
        <v>83.42968397291196</v>
      </c>
      <c r="CC64" s="295">
        <f t="shared" si="125"/>
        <v>7.0373435538397834E-4</v>
      </c>
      <c r="CD64" s="296">
        <f t="shared" si="126"/>
        <v>5.3999999999999995</v>
      </c>
      <c r="CE64" s="300">
        <f t="shared" si="127"/>
        <v>0.51795577532591508</v>
      </c>
      <c r="CF64" s="298">
        <f t="shared" si="128"/>
        <v>0.44632110436671718</v>
      </c>
      <c r="CG64" s="298">
        <f t="shared" si="129"/>
        <v>0.45600283981247336</v>
      </c>
      <c r="CH64" s="299">
        <f t="shared" si="130"/>
        <v>3424.7780361173814</v>
      </c>
      <c r="CI64" s="295">
        <f t="shared" si="131"/>
        <v>0.2144008278789388</v>
      </c>
      <c r="CJ64" s="301">
        <f t="shared" si="132"/>
        <v>0.18474861915740595</v>
      </c>
      <c r="CK64" s="301">
        <f t="shared" si="133"/>
        <v>0.18875624334804048</v>
      </c>
      <c r="CL64" s="302">
        <f t="shared" si="134"/>
        <v>1417.6408126410836</v>
      </c>
      <c r="CM64" s="300">
        <f t="shared" si="135"/>
        <v>5.0192707467240374E-2</v>
      </c>
      <c r="CN64" s="298">
        <f t="shared" si="136"/>
        <v>4.3250921594296672E-2</v>
      </c>
      <c r="CO64" s="298">
        <f t="shared" si="137"/>
        <v>4.4189133963293381E-2</v>
      </c>
      <c r="CP64" s="299">
        <f t="shared" si="138"/>
        <v>331.87945823927765</v>
      </c>
      <c r="CQ64" s="295">
        <f t="shared" si="139"/>
        <v>4.2082737661091989E-2</v>
      </c>
      <c r="CR64" s="301">
        <f t="shared" si="140"/>
        <v>3.6262582333124668E-2</v>
      </c>
      <c r="CS64" s="301">
        <f t="shared" si="141"/>
        <v>3.7049201485332174E-2</v>
      </c>
      <c r="CT64" s="296">
        <f t="shared" si="142"/>
        <v>278.25548532731375</v>
      </c>
      <c r="CU64" s="300">
        <f t="shared" si="143"/>
        <v>0.79980621560379983</v>
      </c>
      <c r="CV64" s="298">
        <f t="shared" si="144"/>
        <v>0.68919087387921285</v>
      </c>
      <c r="CW64" s="298">
        <f t="shared" si="145"/>
        <v>0.70414101548633157</v>
      </c>
      <c r="CX64" s="299">
        <f t="shared" si="146"/>
        <v>5288.4027765237024</v>
      </c>
      <c r="CY64" s="295">
        <f t="shared" si="147"/>
        <v>1.0412003182192786E-2</v>
      </c>
      <c r="CZ64" s="301">
        <f t="shared" si="148"/>
        <v>9.1666185519968003E-3</v>
      </c>
      <c r="DA64" s="296">
        <f t="shared" si="149"/>
        <v>68.845259593679458</v>
      </c>
      <c r="DB64" s="300">
        <f t="shared" si="150"/>
        <v>2.5995867718791479E-3</v>
      </c>
      <c r="DC64" s="299">
        <f t="shared" si="151"/>
        <v>19.524018058690743</v>
      </c>
      <c r="DD64" s="295">
        <f t="shared" si="152"/>
        <v>2.8596634020214184E-2</v>
      </c>
      <c r="DE64" s="301">
        <f t="shared" si="153"/>
        <v>2.5176177085949776E-2</v>
      </c>
      <c r="DF64" s="296">
        <f t="shared" si="154"/>
        <v>189.08395033860046</v>
      </c>
      <c r="DG64" s="300">
        <f t="shared" si="155"/>
        <v>7.3532415785307545E-3</v>
      </c>
      <c r="DH64" s="298">
        <f t="shared" si="156"/>
        <v>6.4737168719226973E-3</v>
      </c>
      <c r="DI64" s="303">
        <f t="shared" si="157"/>
        <v>48.620406320541761</v>
      </c>
      <c r="DJ64" s="295">
        <f t="shared" si="158"/>
        <v>3.6148679859718404E-2</v>
      </c>
      <c r="DK64" s="301">
        <f t="shared" si="159"/>
        <v>3.1149220618761179E-2</v>
      </c>
      <c r="DL64" s="301">
        <f t="shared" si="160"/>
        <v>3.1824919147066817E-2</v>
      </c>
      <c r="DM64" s="296">
        <f t="shared" si="161"/>
        <v>239.01887133182845</v>
      </c>
      <c r="DN64" s="300">
        <f t="shared" si="162"/>
        <v>5.9209004572252201E-3</v>
      </c>
      <c r="DO64" s="298">
        <f t="shared" si="163"/>
        <v>5.2126987502799345E-3</v>
      </c>
      <c r="DP64" s="299">
        <f t="shared" si="164"/>
        <v>39.149616252821666</v>
      </c>
      <c r="DQ64" s="295">
        <f t="shared" si="165"/>
        <v>9.7892948290678183E-2</v>
      </c>
      <c r="DR64" s="301">
        <f t="shared" si="166"/>
        <v>8.6183926398110372E-2</v>
      </c>
      <c r="DS64" s="296">
        <f t="shared" si="167"/>
        <v>647.2784650112867</v>
      </c>
      <c r="DT64" s="300">
        <f t="shared" si="168"/>
        <v>5.12634301168058E-2</v>
      </c>
      <c r="DU64" s="299">
        <f t="shared" si="169"/>
        <v>385.01047404063206</v>
      </c>
      <c r="DV64" s="295">
        <f t="shared" si="25"/>
        <v>8.5236452619653685E-4</v>
      </c>
      <c r="DW64" s="296">
        <f t="shared" si="97"/>
        <v>6.4016252821670427</v>
      </c>
      <c r="DX64" s="295">
        <f t="shared" si="170"/>
        <v>3.550502831940803E-5</v>
      </c>
      <c r="DY64" s="301">
        <f t="shared" si="171"/>
        <v>3.0594587810356053E-5</v>
      </c>
      <c r="DZ64" s="301">
        <f t="shared" si="172"/>
        <v>3.1258255072230466E-5</v>
      </c>
      <c r="EA64" s="296">
        <f t="shared" si="173"/>
        <v>0.23476297968397292</v>
      </c>
      <c r="EB64" s="304">
        <f>IFERROR(_xlfn.XLOOKUP(A64,'Pupil on roll 24-25'!E:E,'Pupil on roll 24-25'!R:R),0)</f>
        <v>104</v>
      </c>
      <c r="EC64" s="289">
        <f>IFERROR(_xlfn.XLOOKUP(A64,CFR20242025_BenchMarkDataReport!B:B,CFR20242025_BenchMarkDataReport!AK:AK),0)</f>
        <v>0</v>
      </c>
      <c r="ED64" s="289">
        <f>IFERROR(_xlfn.XLOOKUP(A64,CFR20242025_BenchMarkDataReport!B:B,CFR20242025_BenchMarkDataReport!AL:AL),0)</f>
        <v>113280.13</v>
      </c>
    </row>
    <row r="65" spans="1:228">
      <c r="A65" s="208">
        <v>3312</v>
      </c>
      <c r="B65" s="326">
        <v>10093</v>
      </c>
      <c r="C65" s="208" t="s">
        <v>98</v>
      </c>
      <c r="D65" s="289">
        <f>IFERROR(_xlfn.XLOOKUP($A65,CFR20242025_BenchMarkDataReport!$B:$B,CFR20242025_BenchMarkDataReport!T:T),0)</f>
        <v>1170353.5900000001</v>
      </c>
      <c r="E65" s="289">
        <f>IFERROR(_xlfn.XLOOKUP($A65,CFR20242025_BenchMarkDataReport!$B:$B,CFR20242025_BenchMarkDataReport!U:U),0)</f>
        <v>0</v>
      </c>
      <c r="F65" s="289">
        <f>IFERROR(_xlfn.XLOOKUP($A65,CFR20242025_BenchMarkDataReport!$B:$B,CFR20242025_BenchMarkDataReport!V:V),0)</f>
        <v>84571.43</v>
      </c>
      <c r="G65" s="289">
        <f>IFERROR(_xlfn.XLOOKUP($A65,CFR20242025_BenchMarkDataReport!$B:$B,CFR20242025_BenchMarkDataReport!W:W),0)</f>
        <v>0</v>
      </c>
      <c r="H65" s="289">
        <f>IFERROR(_xlfn.XLOOKUP($A65,CFR20242025_BenchMarkDataReport!$B:$B,CFR20242025_BenchMarkDataReport!X:X),0)</f>
        <v>45800</v>
      </c>
      <c r="I65" s="289">
        <f>IFERROR(_xlfn.XLOOKUP($A65,CFR20242025_BenchMarkDataReport!$B:$B,CFR20242025_BenchMarkDataReport!Y:Y),0)</f>
        <v>520</v>
      </c>
      <c r="J65" s="289">
        <f>IFERROR(_xlfn.XLOOKUP($A65,CFR20242025_BenchMarkDataReport!$B:$B,CFR20242025_BenchMarkDataReport!Z:Z),0)</f>
        <v>54999.45</v>
      </c>
      <c r="K65" s="289">
        <f>IFERROR(_xlfn.XLOOKUP($A65,CFR20242025_BenchMarkDataReport!$B:$B,CFR20242025_BenchMarkDataReport!AA:AA),0)</f>
        <v>0</v>
      </c>
      <c r="L65" s="289">
        <f>IFERROR(_xlfn.XLOOKUP($A65,CFR20242025_BenchMarkDataReport!$B:$B,CFR20242025_BenchMarkDataReport!AB:AB),0)</f>
        <v>17816.599999999999</v>
      </c>
      <c r="M65" s="289">
        <f>IFERROR(_xlfn.XLOOKUP($A65,CFR20242025_BenchMarkDataReport!$B:$B,CFR20242025_BenchMarkDataReport!AC:AC),0)</f>
        <v>2093.46</v>
      </c>
      <c r="N65" s="289">
        <f>IFERROR(_xlfn.XLOOKUP($A65,CFR20242025_BenchMarkDataReport!$B:$B,CFR20242025_BenchMarkDataReport!AD:AD),0)</f>
        <v>1591.2</v>
      </c>
      <c r="O65" s="289">
        <f>IFERROR(_xlfn.XLOOKUP($A65,CFR20242025_BenchMarkDataReport!$B:$B,CFR20242025_BenchMarkDataReport!AE:AE),0)</f>
        <v>5055</v>
      </c>
      <c r="P65" s="289">
        <f>IFERROR(_xlfn.XLOOKUP($A65,CFR20242025_BenchMarkDataReport!$B:$B,CFR20242025_BenchMarkDataReport!AF:AF),0)</f>
        <v>41597.360000000001</v>
      </c>
      <c r="Q65" s="289">
        <f>IFERROR(_xlfn.XLOOKUP($A65,CFR20242025_BenchMarkDataReport!$B:$B,CFR20242025_BenchMarkDataReport!AG:AG),0)</f>
        <v>38224.870000000003</v>
      </c>
      <c r="R65" s="289">
        <f>IFERROR(_xlfn.XLOOKUP($A65,CFR20242025_BenchMarkDataReport!$B:$B,CFR20242025_BenchMarkDataReport!AH:AH),0)</f>
        <v>0</v>
      </c>
      <c r="S65" s="289">
        <f>IFERROR(_xlfn.XLOOKUP($A65,CFR20242025_BenchMarkDataReport!$B:$B,CFR20242025_BenchMarkDataReport!AI:AI),0)</f>
        <v>0</v>
      </c>
      <c r="T65" s="289">
        <f>IFERROR(_xlfn.XLOOKUP($A65,CFR20242025_BenchMarkDataReport!$B:$B,CFR20242025_BenchMarkDataReport!AJ:AJ),0)</f>
        <v>0</v>
      </c>
      <c r="U65" s="289">
        <f>INDEX(CFR20242025_BenchMarkDataReport!$B$3:$AM$87,MATCH(A65,CFR20242025_BenchMarkDataReport!$B$3:$B$87),MATCH($U$2,CFR20242025_BenchMarkDataReport!$B$3:$AM$3,0))</f>
        <v>55544</v>
      </c>
      <c r="V65" s="289">
        <f>IFERROR(_xlfn.XLOOKUP($A65,CFR20242025_BenchMarkDataReport!$B:$B,CFR20242025_BenchMarkDataReport!AN:AN),0)</f>
        <v>735978.21</v>
      </c>
      <c r="W65" s="289">
        <f>IFERROR(_xlfn.XLOOKUP($A65,CFR20242025_BenchMarkDataReport!$B:$B,CFR20242025_BenchMarkDataReport!AO:AO),0)</f>
        <v>0</v>
      </c>
      <c r="X65" s="289">
        <f>IFERROR(_xlfn.XLOOKUP($A65,CFR20242025_BenchMarkDataReport!$B:$B,CFR20242025_BenchMarkDataReport!AP:AP),0)</f>
        <v>384331.32</v>
      </c>
      <c r="Y65" s="289">
        <f>IFERROR(_xlfn.XLOOKUP($A65,CFR20242025_BenchMarkDataReport!$B:$B,CFR20242025_BenchMarkDataReport!AQ:AQ),0)</f>
        <v>39383.24</v>
      </c>
      <c r="Z65" s="289">
        <f>IFERROR(_xlfn.XLOOKUP($A65,CFR20242025_BenchMarkDataReport!$B:$B,CFR20242025_BenchMarkDataReport!AR:AR),0)</f>
        <v>64703.23</v>
      </c>
      <c r="AA65" s="289">
        <f>IFERROR(_xlfn.XLOOKUP($A65,CFR20242025_BenchMarkDataReport!$B:$B,CFR20242025_BenchMarkDataReport!AS:AS),0)</f>
        <v>0</v>
      </c>
      <c r="AB65" s="289">
        <f>IFERROR(_xlfn.XLOOKUP($A65,CFR20242025_BenchMarkDataReport!$B:$B,CFR20242025_BenchMarkDataReport!AT:AT),0)</f>
        <v>5794.49</v>
      </c>
      <c r="AC65" s="289">
        <f>IFERROR(_xlfn.XLOOKUP($A65,CFR20242025_BenchMarkDataReport!$B:$B,CFR20242025_BenchMarkDataReport!AU:AU),0)</f>
        <v>1689.7</v>
      </c>
      <c r="AD65" s="289">
        <f>IFERROR(_xlfn.XLOOKUP($A65,CFR20242025_BenchMarkDataReport!$B:$B,CFR20242025_BenchMarkDataReport!AV:AV),0)</f>
        <v>0</v>
      </c>
      <c r="AE65" s="289">
        <f>IFERROR(_xlfn.XLOOKUP($A65,CFR20242025_BenchMarkDataReport!$B:$B,CFR20242025_BenchMarkDataReport!AW:AW),0)</f>
        <v>346.94</v>
      </c>
      <c r="AF65" s="289">
        <f>IFERROR(_xlfn.XLOOKUP($A65,CFR20242025_BenchMarkDataReport!$B:$B,CFR20242025_BenchMarkDataReport!AX:AX),0)</f>
        <v>8211.84</v>
      </c>
      <c r="AG65" s="289">
        <f>IFERROR(_xlfn.XLOOKUP($A65,CFR20242025_BenchMarkDataReport!$B:$B,CFR20242025_BenchMarkDataReport!AY:AY),0)</f>
        <v>2718.39</v>
      </c>
      <c r="AH65" s="289">
        <f>IFERROR(_xlfn.XLOOKUP($A65,CFR20242025_BenchMarkDataReport!$B:$B,CFR20242025_BenchMarkDataReport!AZ:AZ),0)</f>
        <v>240.24</v>
      </c>
      <c r="AI65" s="289">
        <f>IFERROR(_xlfn.XLOOKUP($A65,CFR20242025_BenchMarkDataReport!$B:$B,CFR20242025_BenchMarkDataReport!BA:BA),0)</f>
        <v>21223.84</v>
      </c>
      <c r="AJ65" s="289">
        <f>IFERROR(_xlfn.XLOOKUP($A65,CFR20242025_BenchMarkDataReport!$B:$B,CFR20242025_BenchMarkDataReport!BB:BB),0)</f>
        <v>0</v>
      </c>
      <c r="AK65" s="289">
        <f>IFERROR(_xlfn.XLOOKUP($A65,CFR20242025_BenchMarkDataReport!$B:$B,CFR20242025_BenchMarkDataReport!BC:BC),0)</f>
        <v>15865.49</v>
      </c>
      <c r="AL65" s="289">
        <f>IFERROR(_xlfn.XLOOKUP($A65,CFR20242025_BenchMarkDataReport!$B:$B,CFR20242025_BenchMarkDataReport!BD:BD),0)</f>
        <v>4336.8</v>
      </c>
      <c r="AM65" s="289">
        <f>IFERROR(_xlfn.XLOOKUP($A65,CFR20242025_BenchMarkDataReport!$B:$B,CFR20242025_BenchMarkDataReport!BE:BE),0)</f>
        <v>8225.68</v>
      </c>
      <c r="AN65" s="289">
        <f>IFERROR(_xlfn.XLOOKUP($A65,CFR20242025_BenchMarkDataReport!$B:$B,CFR20242025_BenchMarkDataReport!BF:BF),0)</f>
        <v>102105.71</v>
      </c>
      <c r="AO65" s="289">
        <f>IFERROR(_xlfn.XLOOKUP($A65,CFR20242025_BenchMarkDataReport!$B:$B,CFR20242025_BenchMarkDataReport!BN:BN),0)</f>
        <v>29022.22</v>
      </c>
      <c r="AP65" s="289">
        <f>IFERROR(_xlfn.XLOOKUP($A65,CFR20242025_BenchMarkDataReport!$B:$B,CFR20242025_BenchMarkDataReport!BO:BO),0)</f>
        <v>0</v>
      </c>
      <c r="AQ65" s="289">
        <f>IFERROR(_xlfn.XLOOKUP($A65,CFR20242025_BenchMarkDataReport!$B:$B,CFR20242025_BenchMarkDataReport!BP:BP),0)</f>
        <v>589.92999999999995</v>
      </c>
      <c r="AR65" s="289">
        <f>IFERROR(_xlfn.XLOOKUP($A65,CFR20242025_BenchMarkDataReport!$B:$B,CFR20242025_BenchMarkDataReport!BQ:BQ),0)</f>
        <v>8546.01</v>
      </c>
      <c r="AS65" s="289">
        <f>IFERROR(_xlfn.XLOOKUP($A65,CFR20242025_BenchMarkDataReport!$B:$B,CFR20242025_BenchMarkDataReport!BR:BR),0)</f>
        <v>917.95</v>
      </c>
      <c r="AT65" s="289">
        <f>IFERROR(_xlfn.XLOOKUP($A65,CFR20242025_BenchMarkDataReport!$B:$B,CFR20242025_BenchMarkDataReport!BS:BS),0)</f>
        <v>89508.57</v>
      </c>
      <c r="AU65" s="289">
        <f>IFERROR(_xlfn.XLOOKUP($A65,CFR20242025_BenchMarkDataReport!$B:$B,CFR20242025_BenchMarkDataReport!BT:BT),0)</f>
        <v>0</v>
      </c>
      <c r="AV65" s="289">
        <f>IFERROR(_xlfn.XLOOKUP($A65,CFR20242025_BenchMarkDataReport!$B:$B,CFR20242025_BenchMarkDataReport!BU:BU),0)</f>
        <v>31822.89</v>
      </c>
      <c r="AW65" s="289">
        <f>IFERROR(_xlfn.XLOOKUP($A65,CFR20242025_BenchMarkDataReport!$B:$B,CFR20242025_BenchMarkDataReport!BV:BV),0)</f>
        <v>23663.74</v>
      </c>
      <c r="AX65" s="289">
        <f>IFERROR(_xlfn.XLOOKUP($A65,CFR20242025_BenchMarkDataReport!$B:$B,CFR20242025_BenchMarkDataReport!BW:BW),0)</f>
        <v>0</v>
      </c>
      <c r="AY65" s="289">
        <f>IFERROR(_xlfn.XLOOKUP($A65,CFR20242025_BenchMarkDataReport!$B:$B,CFR20242025_BenchMarkDataReport!BX:BX),0)</f>
        <v>0</v>
      </c>
      <c r="AZ65" s="289">
        <f>IFERROR(_xlfn.XLOOKUP($A65,CFR20242025_BenchMarkDataReport!$B:$B,CFR20242025_BenchMarkDataReport!BY:BY),0)</f>
        <v>0</v>
      </c>
      <c r="BA65" s="289">
        <f>IFERROR(_xlfn.XLOOKUP($A65,CFR20242025_BenchMarkDataReport!$B:$B,CFR20242025_BenchMarkDataReport!BZ:BZ),0)</f>
        <v>0</v>
      </c>
      <c r="BB65" s="289">
        <f>IFERROR(_xlfn.XLOOKUP($A65,CFR20242025_BenchMarkDataReport!$B:$B,CFR20242025_BenchMarkDataReport!CA:CA),0)</f>
        <v>0</v>
      </c>
      <c r="BC65" s="290">
        <f t="shared" si="106"/>
        <v>1518166.9600000002</v>
      </c>
      <c r="BD65" s="291">
        <f t="shared" si="104"/>
        <v>1579226.4299999997</v>
      </c>
      <c r="BE65" s="327">
        <f t="shared" si="105"/>
        <v>-61059.469999999506</v>
      </c>
      <c r="BF65" s="289">
        <f>IFERROR(_xlfn.XLOOKUP(A65,CFR20242025_BenchMarkDataReport!B:B,CFR20242025_BenchMarkDataReport!Q:Q),0)</f>
        <v>129135.47</v>
      </c>
      <c r="BG65" s="290">
        <f t="shared" si="0"/>
        <v>68076.000000000495</v>
      </c>
      <c r="BH65" s="292">
        <f>_xlfn.XLOOKUP(A65,'Pupil on roll 24-25'!E:E,'Pupil on roll 24-25'!I:I)</f>
        <v>209</v>
      </c>
      <c r="BI65" s="291">
        <f t="shared" ref="BI65:BI90" si="174">D65+E65+F65</f>
        <v>1254925.02</v>
      </c>
      <c r="BJ65" t="s">
        <v>190</v>
      </c>
      <c r="BK65" s="293">
        <f t="shared" si="107"/>
        <v>0.77089913088347006</v>
      </c>
      <c r="BL65" s="294">
        <f t="shared" si="108"/>
        <v>5599.7779425837325</v>
      </c>
      <c r="BM65" s="295">
        <f t="shared" si="109"/>
        <v>0</v>
      </c>
      <c r="BN65" s="296">
        <f t="shared" si="110"/>
        <v>0</v>
      </c>
      <c r="BO65" s="293">
        <f t="shared" si="111"/>
        <v>5.5706277522993904E-2</v>
      </c>
      <c r="BP65" s="294">
        <f t="shared" si="112"/>
        <v>404.64799043062197</v>
      </c>
      <c r="BQ65" s="295">
        <f t="shared" si="113"/>
        <v>0</v>
      </c>
      <c r="BR65" s="296">
        <f t="shared" si="114"/>
        <v>0</v>
      </c>
      <c r="BS65" s="293">
        <f t="shared" si="115"/>
        <v>3.0167959919243661E-2</v>
      </c>
      <c r="BT65" s="294">
        <f t="shared" si="116"/>
        <v>219.13875598086125</v>
      </c>
      <c r="BU65" s="295">
        <f t="shared" si="117"/>
        <v>3.4251832222722059E-4</v>
      </c>
      <c r="BV65" s="296">
        <f t="shared" si="118"/>
        <v>2.4880382775119618</v>
      </c>
      <c r="BW65" s="293">
        <f t="shared" si="119"/>
        <v>3.6227537187345976E-2</v>
      </c>
      <c r="BX65" s="294">
        <f t="shared" si="120"/>
        <v>263.15526315789475</v>
      </c>
      <c r="BY65" s="295">
        <f t="shared" si="121"/>
        <v>1.1735599884218266E-2</v>
      </c>
      <c r="BZ65" s="297">
        <f t="shared" si="122"/>
        <v>85.246889952153097</v>
      </c>
      <c r="CA65" s="298">
        <f t="shared" si="123"/>
        <v>2.7399726839003265E-2</v>
      </c>
      <c r="CB65" s="299">
        <f t="shared" si="124"/>
        <v>199.03043062200956</v>
      </c>
      <c r="CC65" s="295">
        <f t="shared" si="125"/>
        <v>2.517830449952619E-2</v>
      </c>
      <c r="CD65" s="296">
        <f t="shared" si="126"/>
        <v>182.89411483253591</v>
      </c>
      <c r="CE65" s="300">
        <f t="shared" si="127"/>
        <v>0.58647185949005942</v>
      </c>
      <c r="CF65" s="298">
        <f t="shared" si="128"/>
        <v>0.48478081093267889</v>
      </c>
      <c r="CG65" s="298">
        <f t="shared" si="129"/>
        <v>0.46603716605730827</v>
      </c>
      <c r="CH65" s="299">
        <f t="shared" si="130"/>
        <v>3521.4268421052629</v>
      </c>
      <c r="CI65" s="295">
        <f t="shared" si="131"/>
        <v>0.3062583930313223</v>
      </c>
      <c r="CJ65" s="301">
        <f t="shared" si="132"/>
        <v>0.25315484404956351</v>
      </c>
      <c r="CK65" s="301">
        <f t="shared" si="133"/>
        <v>0.2433668235909654</v>
      </c>
      <c r="CL65" s="302">
        <f t="shared" si="134"/>
        <v>1838.9058373205742</v>
      </c>
      <c r="CM65" s="300">
        <f t="shared" si="135"/>
        <v>3.1382942703620652E-2</v>
      </c>
      <c r="CN65" s="298">
        <f t="shared" si="136"/>
        <v>2.5941310170523004E-2</v>
      </c>
      <c r="CO65" s="298">
        <f t="shared" si="137"/>
        <v>2.493831109450214E-2</v>
      </c>
      <c r="CP65" s="299">
        <f t="shared" si="138"/>
        <v>188.43655502392343</v>
      </c>
      <c r="CQ65" s="295">
        <f t="shared" si="139"/>
        <v>5.1559438985446321E-2</v>
      </c>
      <c r="CR65" s="301">
        <f t="shared" si="140"/>
        <v>4.2619311119773018E-2</v>
      </c>
      <c r="CS65" s="301">
        <f t="shared" si="141"/>
        <v>4.0971471076506755E-2</v>
      </c>
      <c r="CT65" s="296">
        <f t="shared" si="142"/>
        <v>309.5848325358852</v>
      </c>
      <c r="CU65" s="300">
        <f t="shared" si="143"/>
        <v>0.98029003358304223</v>
      </c>
      <c r="CV65" s="298">
        <f t="shared" si="144"/>
        <v>0.81031304356669698</v>
      </c>
      <c r="CW65" s="298">
        <f t="shared" si="145"/>
        <v>0.77898296699606284</v>
      </c>
      <c r="CX65" s="299">
        <f t="shared" si="146"/>
        <v>5886.0788995215307</v>
      </c>
      <c r="CY65" s="295">
        <f t="shared" si="147"/>
        <v>2.1661772270665223E-3</v>
      </c>
      <c r="CZ65" s="301">
        <f t="shared" si="148"/>
        <v>1.7213427715998904E-3</v>
      </c>
      <c r="DA65" s="296">
        <f t="shared" si="149"/>
        <v>13.006650717703348</v>
      </c>
      <c r="DB65" s="300">
        <f t="shared" si="150"/>
        <v>0</v>
      </c>
      <c r="DC65" s="299">
        <f t="shared" si="151"/>
        <v>0</v>
      </c>
      <c r="DD65" s="295">
        <f t="shared" si="152"/>
        <v>1.2642580032391099E-2</v>
      </c>
      <c r="DE65" s="301">
        <f t="shared" si="153"/>
        <v>1.0046368081618292E-2</v>
      </c>
      <c r="DF65" s="296">
        <f t="shared" si="154"/>
        <v>75.911435406698558</v>
      </c>
      <c r="DG65" s="300">
        <f t="shared" si="155"/>
        <v>6.5547183050027966E-3</v>
      </c>
      <c r="DH65" s="298">
        <f t="shared" si="156"/>
        <v>5.2086767570119772E-3</v>
      </c>
      <c r="DI65" s="303">
        <f t="shared" si="157"/>
        <v>39.357320574162678</v>
      </c>
      <c r="DJ65" s="295">
        <f t="shared" si="158"/>
        <v>8.1363992567460325E-2</v>
      </c>
      <c r="DK65" s="301">
        <f t="shared" si="159"/>
        <v>6.7255916305806046E-2</v>
      </c>
      <c r="DL65" s="301">
        <f t="shared" si="160"/>
        <v>6.4655522514273034E-2</v>
      </c>
      <c r="DM65" s="296">
        <f t="shared" si="161"/>
        <v>488.54406698564594</v>
      </c>
      <c r="DN65" s="300">
        <f t="shared" si="162"/>
        <v>4.7009183066570778E-4</v>
      </c>
      <c r="DO65" s="298">
        <f t="shared" si="163"/>
        <v>3.7355631136441915E-4</v>
      </c>
      <c r="DP65" s="299">
        <f t="shared" si="164"/>
        <v>2.8226315789473682</v>
      </c>
      <c r="DQ65" s="295">
        <f t="shared" si="165"/>
        <v>2.5358399500234684E-2</v>
      </c>
      <c r="DR65" s="301">
        <f t="shared" si="166"/>
        <v>2.0150935543802928E-2</v>
      </c>
      <c r="DS65" s="296">
        <f t="shared" si="167"/>
        <v>152.26263157894738</v>
      </c>
      <c r="DT65" s="300">
        <f t="shared" si="168"/>
        <v>5.6678743655525082E-2</v>
      </c>
      <c r="DU65" s="299">
        <f t="shared" si="169"/>
        <v>428.27066985645934</v>
      </c>
      <c r="DV65" s="295">
        <f t="shared" si="25"/>
        <v>1.3439390068971937E-2</v>
      </c>
      <c r="DW65" s="296">
        <f t="shared" si="97"/>
        <v>101.54947368421053</v>
      </c>
      <c r="DX65" s="295">
        <f t="shared" si="170"/>
        <v>1.9124648578605914E-5</v>
      </c>
      <c r="DY65" s="301">
        <f t="shared" si="171"/>
        <v>1.5808537948948643E-5</v>
      </c>
      <c r="DZ65" s="301">
        <f t="shared" si="172"/>
        <v>1.5197314041913549E-5</v>
      </c>
      <c r="EA65" s="296">
        <f t="shared" si="173"/>
        <v>0.11483253588516747</v>
      </c>
      <c r="EB65" s="304">
        <f>IFERROR(_xlfn.XLOOKUP(A65,'Pupil on roll 24-25'!E:E,'Pupil on roll 24-25'!R:R),0)</f>
        <v>24</v>
      </c>
      <c r="EC65" s="289">
        <f>IFERROR(_xlfn.XLOOKUP(A65,CFR20242025_BenchMarkDataReport!B:B,CFR20242025_BenchMarkDataReport!AK:AK),0)</f>
        <v>1055</v>
      </c>
      <c r="ED65" s="289">
        <f>IFERROR(_xlfn.XLOOKUP(A65,CFR20242025_BenchMarkDataReport!B:B,CFR20242025_BenchMarkDataReport!AL:AL),0)</f>
        <v>54489</v>
      </c>
    </row>
    <row r="66" spans="1:228">
      <c r="A66" s="208">
        <v>3311</v>
      </c>
      <c r="B66" s="326">
        <v>10092</v>
      </c>
      <c r="C66" s="208" t="s">
        <v>99</v>
      </c>
      <c r="D66" s="289">
        <f>IFERROR(_xlfn.XLOOKUP($A66,CFR20242025_BenchMarkDataReport!$B:$B,CFR20242025_BenchMarkDataReport!T:T),0)</f>
        <v>2459731.17</v>
      </c>
      <c r="E66" s="289">
        <f>IFERROR(_xlfn.XLOOKUP($A66,CFR20242025_BenchMarkDataReport!$B:$B,CFR20242025_BenchMarkDataReport!U:U),0)</f>
        <v>0</v>
      </c>
      <c r="F66" s="289">
        <f>IFERROR(_xlfn.XLOOKUP($A66,CFR20242025_BenchMarkDataReport!$B:$B,CFR20242025_BenchMarkDataReport!V:V),0)</f>
        <v>72231.67</v>
      </c>
      <c r="G66" s="289">
        <f>IFERROR(_xlfn.XLOOKUP($A66,CFR20242025_BenchMarkDataReport!$B:$B,CFR20242025_BenchMarkDataReport!W:W),0)</f>
        <v>0</v>
      </c>
      <c r="H66" s="289">
        <f>IFERROR(_xlfn.XLOOKUP($A66,CFR20242025_BenchMarkDataReport!$B:$B,CFR20242025_BenchMarkDataReport!X:X),0)</f>
        <v>95030</v>
      </c>
      <c r="I66" s="289">
        <f>IFERROR(_xlfn.XLOOKUP($A66,CFR20242025_BenchMarkDataReport!$B:$B,CFR20242025_BenchMarkDataReport!Y:Y),0)</f>
        <v>4574.03</v>
      </c>
      <c r="J66" s="289">
        <f>IFERROR(_xlfn.XLOOKUP($A66,CFR20242025_BenchMarkDataReport!$B:$B,CFR20242025_BenchMarkDataReport!Z:Z),0)</f>
        <v>117223.65</v>
      </c>
      <c r="K66" s="289">
        <f>IFERROR(_xlfn.XLOOKUP($A66,CFR20242025_BenchMarkDataReport!$B:$B,CFR20242025_BenchMarkDataReport!AA:AA),0)</f>
        <v>57336.77</v>
      </c>
      <c r="L66" s="289">
        <f>IFERROR(_xlfn.XLOOKUP($A66,CFR20242025_BenchMarkDataReport!$B:$B,CFR20242025_BenchMarkDataReport!AB:AB),0)</f>
        <v>2733.05</v>
      </c>
      <c r="M66" s="289">
        <f>IFERROR(_xlfn.XLOOKUP($A66,CFR20242025_BenchMarkDataReport!$B:$B,CFR20242025_BenchMarkDataReport!AC:AC),0)</f>
        <v>11523.55</v>
      </c>
      <c r="N66" s="289">
        <f>IFERROR(_xlfn.XLOOKUP($A66,CFR20242025_BenchMarkDataReport!$B:$B,CFR20242025_BenchMarkDataReport!AD:AD),0)</f>
        <v>0</v>
      </c>
      <c r="O66" s="289">
        <f>IFERROR(_xlfn.XLOOKUP($A66,CFR20242025_BenchMarkDataReport!$B:$B,CFR20242025_BenchMarkDataReport!AE:AE),0)</f>
        <v>0</v>
      </c>
      <c r="P66" s="289">
        <f>IFERROR(_xlfn.XLOOKUP($A66,CFR20242025_BenchMarkDataReport!$B:$B,CFR20242025_BenchMarkDataReport!AF:AF),0)</f>
        <v>86936.26</v>
      </c>
      <c r="Q66" s="289">
        <f>IFERROR(_xlfn.XLOOKUP($A66,CFR20242025_BenchMarkDataReport!$B:$B,CFR20242025_BenchMarkDataReport!AG:AG),0)</f>
        <v>22560.799999999999</v>
      </c>
      <c r="R66" s="289">
        <f>IFERROR(_xlfn.XLOOKUP($A66,CFR20242025_BenchMarkDataReport!$B:$B,CFR20242025_BenchMarkDataReport!AH:AH),0)</f>
        <v>0</v>
      </c>
      <c r="S66" s="289">
        <f>IFERROR(_xlfn.XLOOKUP($A66,CFR20242025_BenchMarkDataReport!$B:$B,CFR20242025_BenchMarkDataReport!AI:AI),0)</f>
        <v>0</v>
      </c>
      <c r="T66" s="289">
        <f>IFERROR(_xlfn.XLOOKUP($A66,CFR20242025_BenchMarkDataReport!$B:$B,CFR20242025_BenchMarkDataReport!AJ:AJ),0)</f>
        <v>0</v>
      </c>
      <c r="U66" s="289">
        <f>INDEX(CFR20242025_BenchMarkDataReport!$B$3:$AM$87,MATCH(A66,CFR20242025_BenchMarkDataReport!$B$3:$B$87),MATCH($U$2,CFR20242025_BenchMarkDataReport!$B$3:$AM$3,0))</f>
        <v>90892</v>
      </c>
      <c r="V66" s="289">
        <f>IFERROR(_xlfn.XLOOKUP($A66,CFR20242025_BenchMarkDataReport!$B:$B,CFR20242025_BenchMarkDataReport!AN:AN),0)</f>
        <v>1401099.75</v>
      </c>
      <c r="W66" s="289">
        <f>IFERROR(_xlfn.XLOOKUP($A66,CFR20242025_BenchMarkDataReport!$B:$B,CFR20242025_BenchMarkDataReport!AO:AO),0)</f>
        <v>0</v>
      </c>
      <c r="X66" s="289">
        <f>IFERROR(_xlfn.XLOOKUP($A66,CFR20242025_BenchMarkDataReport!$B:$B,CFR20242025_BenchMarkDataReport!AP:AP),0)</f>
        <v>556526.5</v>
      </c>
      <c r="Y66" s="289">
        <f>IFERROR(_xlfn.XLOOKUP($A66,CFR20242025_BenchMarkDataReport!$B:$B,CFR20242025_BenchMarkDataReport!AQ:AQ),0)</f>
        <v>43179.18</v>
      </c>
      <c r="Z66" s="289">
        <f>IFERROR(_xlfn.XLOOKUP($A66,CFR20242025_BenchMarkDataReport!$B:$B,CFR20242025_BenchMarkDataReport!AR:AR),0)</f>
        <v>102176.01</v>
      </c>
      <c r="AA66" s="289">
        <f>IFERROR(_xlfn.XLOOKUP($A66,CFR20242025_BenchMarkDataReport!$B:$B,CFR20242025_BenchMarkDataReport!AS:AS),0)</f>
        <v>0</v>
      </c>
      <c r="AB66" s="289">
        <f>IFERROR(_xlfn.XLOOKUP($A66,CFR20242025_BenchMarkDataReport!$B:$B,CFR20242025_BenchMarkDataReport!AT:AT),0)</f>
        <v>36598.050000000003</v>
      </c>
      <c r="AC66" s="289">
        <f>IFERROR(_xlfn.XLOOKUP($A66,CFR20242025_BenchMarkDataReport!$B:$B,CFR20242025_BenchMarkDataReport!AU:AU),0)</f>
        <v>10196.969999999999</v>
      </c>
      <c r="AD66" s="289">
        <f>IFERROR(_xlfn.XLOOKUP($A66,CFR20242025_BenchMarkDataReport!$B:$B,CFR20242025_BenchMarkDataReport!AV:AV),0)</f>
        <v>5958.49</v>
      </c>
      <c r="AE66" s="289">
        <f>IFERROR(_xlfn.XLOOKUP($A66,CFR20242025_BenchMarkDataReport!$B:$B,CFR20242025_BenchMarkDataReport!AW:AW),0)</f>
        <v>680.6</v>
      </c>
      <c r="AF66" s="289">
        <f>IFERROR(_xlfn.XLOOKUP($A66,CFR20242025_BenchMarkDataReport!$B:$B,CFR20242025_BenchMarkDataReport!AX:AX),0)</f>
        <v>0</v>
      </c>
      <c r="AG66" s="289">
        <f>IFERROR(_xlfn.XLOOKUP($A66,CFR20242025_BenchMarkDataReport!$B:$B,CFR20242025_BenchMarkDataReport!AY:AY),0)</f>
        <v>40532.85</v>
      </c>
      <c r="AH66" s="289">
        <f>IFERROR(_xlfn.XLOOKUP($A66,CFR20242025_BenchMarkDataReport!$B:$B,CFR20242025_BenchMarkDataReport!AZ:AZ),0)</f>
        <v>3480</v>
      </c>
      <c r="AI66" s="289">
        <f>IFERROR(_xlfn.XLOOKUP($A66,CFR20242025_BenchMarkDataReport!$B:$B,CFR20242025_BenchMarkDataReport!BA:BA),0)</f>
        <v>67582.45</v>
      </c>
      <c r="AJ66" s="289">
        <f>IFERROR(_xlfn.XLOOKUP($A66,CFR20242025_BenchMarkDataReport!$B:$B,CFR20242025_BenchMarkDataReport!BB:BB),0)</f>
        <v>6438.58</v>
      </c>
      <c r="AK66" s="289">
        <f>IFERROR(_xlfn.XLOOKUP($A66,CFR20242025_BenchMarkDataReport!$B:$B,CFR20242025_BenchMarkDataReport!BC:BC),0)</f>
        <v>50141.87</v>
      </c>
      <c r="AL66" s="289">
        <f>IFERROR(_xlfn.XLOOKUP($A66,CFR20242025_BenchMarkDataReport!$B:$B,CFR20242025_BenchMarkDataReport!BD:BD),0)</f>
        <v>29111.040000000001</v>
      </c>
      <c r="AM66" s="289">
        <f>IFERROR(_xlfn.XLOOKUP($A66,CFR20242025_BenchMarkDataReport!$B:$B,CFR20242025_BenchMarkDataReport!BE:BE),0)</f>
        <v>18477.259999999998</v>
      </c>
      <c r="AN66" s="289">
        <f>IFERROR(_xlfn.XLOOKUP($A66,CFR20242025_BenchMarkDataReport!$B:$B,CFR20242025_BenchMarkDataReport!BF:BF),0)</f>
        <v>98697.5</v>
      </c>
      <c r="AO66" s="289">
        <f>IFERROR(_xlfn.XLOOKUP($A66,CFR20242025_BenchMarkDataReport!$B:$B,CFR20242025_BenchMarkDataReport!BN:BN),0)</f>
        <v>44512.59</v>
      </c>
      <c r="AP66" s="289">
        <f>IFERROR(_xlfn.XLOOKUP($A66,CFR20242025_BenchMarkDataReport!$B:$B,CFR20242025_BenchMarkDataReport!BO:BO),0)</f>
        <v>0</v>
      </c>
      <c r="AQ66" s="289">
        <f>IFERROR(_xlfn.XLOOKUP($A66,CFR20242025_BenchMarkDataReport!$B:$B,CFR20242025_BenchMarkDataReport!BP:BP),0)</f>
        <v>5419.39</v>
      </c>
      <c r="AR66" s="289">
        <f>IFERROR(_xlfn.XLOOKUP($A66,CFR20242025_BenchMarkDataReport!$B:$B,CFR20242025_BenchMarkDataReport!BQ:BQ),0)</f>
        <v>17389.900000000001</v>
      </c>
      <c r="AS66" s="289">
        <f>IFERROR(_xlfn.XLOOKUP($A66,CFR20242025_BenchMarkDataReport!$B:$B,CFR20242025_BenchMarkDataReport!BR:BR),0)</f>
        <v>2388.87</v>
      </c>
      <c r="AT66" s="289">
        <f>IFERROR(_xlfn.XLOOKUP($A66,CFR20242025_BenchMarkDataReport!$B:$B,CFR20242025_BenchMarkDataReport!BS:BS),0)</f>
        <v>159710.54999999999</v>
      </c>
      <c r="AU66" s="289">
        <f>IFERROR(_xlfn.XLOOKUP($A66,CFR20242025_BenchMarkDataReport!$B:$B,CFR20242025_BenchMarkDataReport!BT:BT),0)</f>
        <v>158337.56</v>
      </c>
      <c r="AV66" s="289">
        <f>IFERROR(_xlfn.XLOOKUP($A66,CFR20242025_BenchMarkDataReport!$B:$B,CFR20242025_BenchMarkDataReport!BU:BU),0)</f>
        <v>160748.34</v>
      </c>
      <c r="AW66" s="289">
        <f>IFERROR(_xlfn.XLOOKUP($A66,CFR20242025_BenchMarkDataReport!$B:$B,CFR20242025_BenchMarkDataReport!BV:BV),0)</f>
        <v>44467.86</v>
      </c>
      <c r="AX66" s="289">
        <f>IFERROR(_xlfn.XLOOKUP($A66,CFR20242025_BenchMarkDataReport!$B:$B,CFR20242025_BenchMarkDataReport!BW:BW),0)</f>
        <v>867.51</v>
      </c>
      <c r="AY66" s="289">
        <f>IFERROR(_xlfn.XLOOKUP($A66,CFR20242025_BenchMarkDataReport!$B:$B,CFR20242025_BenchMarkDataReport!BX:BX),0)</f>
        <v>0</v>
      </c>
      <c r="AZ66" s="289">
        <f>IFERROR(_xlfn.XLOOKUP($A66,CFR20242025_BenchMarkDataReport!$B:$B,CFR20242025_BenchMarkDataReport!BY:BY),0)</f>
        <v>8210</v>
      </c>
      <c r="BA66" s="289">
        <f>IFERROR(_xlfn.XLOOKUP($A66,CFR20242025_BenchMarkDataReport!$B:$B,CFR20242025_BenchMarkDataReport!BZ:BZ),0)</f>
        <v>0</v>
      </c>
      <c r="BB66" s="289">
        <f>IFERROR(_xlfn.XLOOKUP($A66,CFR20242025_BenchMarkDataReport!$B:$B,CFR20242025_BenchMarkDataReport!CA:CA),0)</f>
        <v>0</v>
      </c>
      <c r="BC66" s="290">
        <f t="shared" si="106"/>
        <v>3020772.9499999988</v>
      </c>
      <c r="BD66" s="291">
        <f t="shared" ref="BD66:BD78" si="175">SUM(V66:AZ66)</f>
        <v>3072929.67</v>
      </c>
      <c r="BE66" s="327">
        <f t="shared" ref="BE66:BE78" si="176">BC66-BD66</f>
        <v>-52156.720000001136</v>
      </c>
      <c r="BF66" s="289">
        <f>IFERROR(_xlfn.XLOOKUP(A66,CFR20242025_BenchMarkDataReport!B:B,CFR20242025_BenchMarkDataReport!Q:Q),0)</f>
        <v>-22446.28</v>
      </c>
      <c r="BG66" s="290">
        <f t="shared" ref="BG66:BG94" si="177">SUM(BE66:BF66)</f>
        <v>-74603.000000001135</v>
      </c>
      <c r="BH66" s="292">
        <f>_xlfn.XLOOKUP(A66,'Pupil on roll 24-25'!E:E,'Pupil on roll 24-25'!I:I)</f>
        <v>410</v>
      </c>
      <c r="BI66" s="291">
        <f t="shared" si="174"/>
        <v>2531962.84</v>
      </c>
      <c r="BJ66" t="s">
        <v>190</v>
      </c>
      <c r="BK66" s="293">
        <f t="shared" si="107"/>
        <v>0.81427211204337646</v>
      </c>
      <c r="BL66" s="294">
        <f t="shared" si="108"/>
        <v>5999.3443170731707</v>
      </c>
      <c r="BM66" s="295">
        <f t="shared" si="109"/>
        <v>0</v>
      </c>
      <c r="BN66" s="296">
        <f t="shared" si="110"/>
        <v>0</v>
      </c>
      <c r="BO66" s="293">
        <f t="shared" si="111"/>
        <v>2.3911651486418412E-2</v>
      </c>
      <c r="BP66" s="294">
        <f t="shared" si="112"/>
        <v>176.17480487804877</v>
      </c>
      <c r="BQ66" s="295">
        <f t="shared" si="113"/>
        <v>0</v>
      </c>
      <c r="BR66" s="296">
        <f t="shared" si="114"/>
        <v>0</v>
      </c>
      <c r="BS66" s="293">
        <f t="shared" si="115"/>
        <v>3.1458835726134282E-2</v>
      </c>
      <c r="BT66" s="294">
        <f t="shared" si="116"/>
        <v>231.78048780487805</v>
      </c>
      <c r="BU66" s="295">
        <f t="shared" si="117"/>
        <v>1.5141919223025358E-3</v>
      </c>
      <c r="BV66" s="296">
        <f t="shared" si="118"/>
        <v>11.156170731707316</v>
      </c>
      <c r="BW66" s="293">
        <f t="shared" si="119"/>
        <v>3.8805846033545831E-2</v>
      </c>
      <c r="BX66" s="294">
        <f t="shared" si="120"/>
        <v>285.9113414634146</v>
      </c>
      <c r="BY66" s="295">
        <f t="shared" si="121"/>
        <v>1.9885579285262078E-2</v>
      </c>
      <c r="BZ66" s="297">
        <f t="shared" si="122"/>
        <v>146.51175609756098</v>
      </c>
      <c r="CA66" s="298">
        <f t="shared" si="123"/>
        <v>2.8779475134005032E-2</v>
      </c>
      <c r="CB66" s="299">
        <f t="shared" si="124"/>
        <v>212.03965853658536</v>
      </c>
      <c r="CC66" s="295">
        <f t="shared" si="125"/>
        <v>7.4685520472500284E-3</v>
      </c>
      <c r="CD66" s="296">
        <f t="shared" si="126"/>
        <v>55.026341463414632</v>
      </c>
      <c r="CE66" s="300">
        <f t="shared" si="127"/>
        <v>0.61590055168424196</v>
      </c>
      <c r="CF66" s="298">
        <f t="shared" si="128"/>
        <v>0.51623784237077486</v>
      </c>
      <c r="CG66" s="298">
        <f t="shared" si="129"/>
        <v>0.50747575684021429</v>
      </c>
      <c r="CH66" s="299">
        <f t="shared" si="130"/>
        <v>3803.5056341463414</v>
      </c>
      <c r="CI66" s="295">
        <f t="shared" si="131"/>
        <v>0.21980042171550987</v>
      </c>
      <c r="CJ66" s="301">
        <f t="shared" si="132"/>
        <v>0.18423314469894211</v>
      </c>
      <c r="CK66" s="301">
        <f t="shared" si="133"/>
        <v>0.18110616244595015</v>
      </c>
      <c r="CL66" s="302">
        <f t="shared" si="134"/>
        <v>1357.3817073170733</v>
      </c>
      <c r="CM66" s="300">
        <f t="shared" si="135"/>
        <v>1.7053638907275591E-2</v>
      </c>
      <c r="CN66" s="298">
        <f t="shared" si="136"/>
        <v>1.4294083241178394E-2</v>
      </c>
      <c r="CO66" s="298">
        <f t="shared" si="137"/>
        <v>1.4051470302605397E-2</v>
      </c>
      <c r="CP66" s="299">
        <f t="shared" si="138"/>
        <v>105.31507317073171</v>
      </c>
      <c r="CQ66" s="295">
        <f t="shared" si="139"/>
        <v>4.0354466655600683E-2</v>
      </c>
      <c r="CR66" s="301">
        <f t="shared" si="140"/>
        <v>3.3824458736628996E-2</v>
      </c>
      <c r="CS66" s="301">
        <f t="shared" si="141"/>
        <v>3.3250357467504293E-2</v>
      </c>
      <c r="CT66" s="296">
        <f t="shared" si="142"/>
        <v>249.20978048780486</v>
      </c>
      <c r="CU66" s="300">
        <f t="shared" si="143"/>
        <v>0.84502799812022511</v>
      </c>
      <c r="CV66" s="298">
        <f t="shared" si="144"/>
        <v>0.70828874775245876</v>
      </c>
      <c r="CW66" s="298">
        <f t="shared" si="145"/>
        <v>0.69626698941014153</v>
      </c>
      <c r="CX66" s="299">
        <f t="shared" si="146"/>
        <v>5218.4865609756089</v>
      </c>
      <c r="CY66" s="295">
        <f t="shared" si="147"/>
        <v>1.6008469539782029E-2</v>
      </c>
      <c r="CZ66" s="301">
        <f t="shared" si="148"/>
        <v>1.3190295370476213E-2</v>
      </c>
      <c r="DA66" s="296">
        <f t="shared" si="149"/>
        <v>98.86060975609756</v>
      </c>
      <c r="DB66" s="300">
        <f t="shared" si="150"/>
        <v>2.0952578455855127E-3</v>
      </c>
      <c r="DC66" s="299">
        <f t="shared" si="151"/>
        <v>15.703853658536586</v>
      </c>
      <c r="DD66" s="295">
        <f t="shared" si="152"/>
        <v>1.9803556832611337E-2</v>
      </c>
      <c r="DE66" s="301">
        <f t="shared" si="153"/>
        <v>1.6317285256971081E-2</v>
      </c>
      <c r="DF66" s="296">
        <f t="shared" si="154"/>
        <v>122.29724390243904</v>
      </c>
      <c r="DG66" s="300">
        <f t="shared" si="155"/>
        <v>7.2976031512374008E-3</v>
      </c>
      <c r="DH66" s="298">
        <f t="shared" si="156"/>
        <v>6.0129134032540351E-3</v>
      </c>
      <c r="DI66" s="303">
        <f t="shared" si="157"/>
        <v>45.066487804878044</v>
      </c>
      <c r="DJ66" s="295">
        <f t="shared" si="158"/>
        <v>3.8980627377611911E-2</v>
      </c>
      <c r="DK66" s="301">
        <f t="shared" si="159"/>
        <v>3.2672928960119307E-2</v>
      </c>
      <c r="DL66" s="301">
        <f t="shared" si="160"/>
        <v>3.2118372562688687E-2</v>
      </c>
      <c r="DM66" s="296">
        <f t="shared" si="161"/>
        <v>240.72560975609755</v>
      </c>
      <c r="DN66" s="300">
        <f t="shared" si="162"/>
        <v>2.1403908123706905E-3</v>
      </c>
      <c r="DO66" s="298">
        <f t="shared" si="163"/>
        <v>1.7635906388967244E-3</v>
      </c>
      <c r="DP66" s="299">
        <f t="shared" si="164"/>
        <v>13.218024390243903</v>
      </c>
      <c r="DQ66" s="295">
        <f t="shared" si="165"/>
        <v>6.3487637914938749E-2</v>
      </c>
      <c r="DR66" s="301">
        <f t="shared" si="166"/>
        <v>5.2311102844081685E-2</v>
      </c>
      <c r="DS66" s="296">
        <f t="shared" si="167"/>
        <v>392.06912195121953</v>
      </c>
      <c r="DT66" s="300">
        <f t="shared" si="168"/>
        <v>5.1973382781650188E-2</v>
      </c>
      <c r="DU66" s="299">
        <f t="shared" si="169"/>
        <v>389.53792682926826</v>
      </c>
      <c r="DV66" s="295">
        <f t="shared" ref="DV66:DV94" si="178">IFERROR(AI66/BD66,0)</f>
        <v>2.1992839816604069E-2</v>
      </c>
      <c r="DW66" s="296">
        <f t="shared" ref="DW66:DW94" si="179">IFERROR((AI66/BH66),0)</f>
        <v>164.835243902439</v>
      </c>
      <c r="DX66" s="295">
        <f t="shared" si="170"/>
        <v>2.3302079741423064E-5</v>
      </c>
      <c r="DY66" s="301">
        <f t="shared" si="171"/>
        <v>1.9531424895737372E-5</v>
      </c>
      <c r="DZ66" s="301">
        <f t="shared" si="172"/>
        <v>1.9199918753753971E-5</v>
      </c>
      <c r="EA66" s="296">
        <f t="shared" si="173"/>
        <v>0.14390243902439023</v>
      </c>
      <c r="EB66" s="304">
        <f>IFERROR(_xlfn.XLOOKUP(A66,'Pupil on roll 24-25'!E:E,'Pupil on roll 24-25'!R:R),0)</f>
        <v>59</v>
      </c>
      <c r="EC66" s="289">
        <f>IFERROR(_xlfn.XLOOKUP(A66,CFR20242025_BenchMarkDataReport!B:B,CFR20242025_BenchMarkDataReport!AK:AK),0)</f>
        <v>6790</v>
      </c>
      <c r="ED66" s="289">
        <f>IFERROR(_xlfn.XLOOKUP(A66,CFR20242025_BenchMarkDataReport!B:B,CFR20242025_BenchMarkDataReport!AL:AL),0)</f>
        <v>84102</v>
      </c>
    </row>
    <row r="67" spans="1:228">
      <c r="A67" s="208">
        <v>3313</v>
      </c>
      <c r="B67" s="326">
        <v>10094</v>
      </c>
      <c r="C67" s="208" t="s">
        <v>100</v>
      </c>
      <c r="D67" s="289">
        <f>IFERROR(_xlfn.XLOOKUP($A67,CFR20242025_BenchMarkDataReport!$B:$B,CFR20242025_BenchMarkDataReport!T:T),0)</f>
        <v>1364537.95</v>
      </c>
      <c r="E67" s="289">
        <f>IFERROR(_xlfn.XLOOKUP($A67,CFR20242025_BenchMarkDataReport!$B:$B,CFR20242025_BenchMarkDataReport!U:U),0)</f>
        <v>0</v>
      </c>
      <c r="F67" s="289">
        <f>IFERROR(_xlfn.XLOOKUP($A67,CFR20242025_BenchMarkDataReport!$B:$B,CFR20242025_BenchMarkDataReport!V:V),0)</f>
        <v>117194.4</v>
      </c>
      <c r="G67" s="289">
        <f>IFERROR(_xlfn.XLOOKUP($A67,CFR20242025_BenchMarkDataReport!$B:$B,CFR20242025_BenchMarkDataReport!W:W),0)</f>
        <v>0</v>
      </c>
      <c r="H67" s="289">
        <f>IFERROR(_xlfn.XLOOKUP($A67,CFR20242025_BenchMarkDataReport!$B:$B,CFR20242025_BenchMarkDataReport!X:X),0)</f>
        <v>77660</v>
      </c>
      <c r="I67" s="289">
        <f>IFERROR(_xlfn.XLOOKUP($A67,CFR20242025_BenchMarkDataReport!$B:$B,CFR20242025_BenchMarkDataReport!Y:Y),0)</f>
        <v>5400</v>
      </c>
      <c r="J67" s="289">
        <f>IFERROR(_xlfn.XLOOKUP($A67,CFR20242025_BenchMarkDataReport!$B:$B,CFR20242025_BenchMarkDataReport!Z:Z),0)</f>
        <v>39698.410000000003</v>
      </c>
      <c r="K67" s="289">
        <f>IFERROR(_xlfn.XLOOKUP($A67,CFR20242025_BenchMarkDataReport!$B:$B,CFR20242025_BenchMarkDataReport!AA:AA),0)</f>
        <v>1407.12</v>
      </c>
      <c r="L67" s="289">
        <f>IFERROR(_xlfn.XLOOKUP($A67,CFR20242025_BenchMarkDataReport!$B:$B,CFR20242025_BenchMarkDataReport!AB:AB),0)</f>
        <v>16054.75</v>
      </c>
      <c r="M67" s="289">
        <f>IFERROR(_xlfn.XLOOKUP($A67,CFR20242025_BenchMarkDataReport!$B:$B,CFR20242025_BenchMarkDataReport!AC:AC),0)</f>
        <v>105.03</v>
      </c>
      <c r="N67" s="289">
        <f>IFERROR(_xlfn.XLOOKUP($A67,CFR20242025_BenchMarkDataReport!$B:$B,CFR20242025_BenchMarkDataReport!AD:AD),0)</f>
        <v>0</v>
      </c>
      <c r="O67" s="289">
        <f>IFERROR(_xlfn.XLOOKUP($A67,CFR20242025_BenchMarkDataReport!$B:$B,CFR20242025_BenchMarkDataReport!AE:AE),0)</f>
        <v>0</v>
      </c>
      <c r="P67" s="289">
        <f>IFERROR(_xlfn.XLOOKUP($A67,CFR20242025_BenchMarkDataReport!$B:$B,CFR20242025_BenchMarkDataReport!AF:AF),0)</f>
        <v>17498.400000000001</v>
      </c>
      <c r="Q67" s="289">
        <f>IFERROR(_xlfn.XLOOKUP($A67,CFR20242025_BenchMarkDataReport!$B:$B,CFR20242025_BenchMarkDataReport!AG:AG),0)</f>
        <v>10504.44</v>
      </c>
      <c r="R67" s="289">
        <f>IFERROR(_xlfn.XLOOKUP($A67,CFR20242025_BenchMarkDataReport!$B:$B,CFR20242025_BenchMarkDataReport!AH:AH),0)</f>
        <v>0</v>
      </c>
      <c r="S67" s="289">
        <f>IFERROR(_xlfn.XLOOKUP($A67,CFR20242025_BenchMarkDataReport!$B:$B,CFR20242025_BenchMarkDataReport!AI:AI),0)</f>
        <v>0</v>
      </c>
      <c r="T67" s="289">
        <f>IFERROR(_xlfn.XLOOKUP($A67,CFR20242025_BenchMarkDataReport!$B:$B,CFR20242025_BenchMarkDataReport!AJ:AJ),0)</f>
        <v>0</v>
      </c>
      <c r="U67" s="289">
        <f>INDEX(CFR20242025_BenchMarkDataReport!$B$3:$AM$87,MATCH(A67,CFR20242025_BenchMarkDataReport!$B$3:$B$87),MATCH($U$2,CFR20242025_BenchMarkDataReport!$B$3:$AM$3,0))</f>
        <v>48745.38</v>
      </c>
      <c r="V67" s="289">
        <f>IFERROR(_xlfn.XLOOKUP($A67,CFR20242025_BenchMarkDataReport!$B:$B,CFR20242025_BenchMarkDataReport!AN:AN),0)</f>
        <v>681399.7</v>
      </c>
      <c r="W67" s="289">
        <f>IFERROR(_xlfn.XLOOKUP($A67,CFR20242025_BenchMarkDataReport!$B:$B,CFR20242025_BenchMarkDataReport!AO:AO),0)</f>
        <v>30285.19</v>
      </c>
      <c r="X67" s="289">
        <f>IFERROR(_xlfn.XLOOKUP($A67,CFR20242025_BenchMarkDataReport!$B:$B,CFR20242025_BenchMarkDataReport!AP:AP),0)</f>
        <v>422758.54</v>
      </c>
      <c r="Y67" s="289">
        <f>IFERROR(_xlfn.XLOOKUP($A67,CFR20242025_BenchMarkDataReport!$B:$B,CFR20242025_BenchMarkDataReport!AQ:AQ),0)</f>
        <v>44267.92</v>
      </c>
      <c r="Z67" s="289">
        <f>IFERROR(_xlfn.XLOOKUP($A67,CFR20242025_BenchMarkDataReport!$B:$B,CFR20242025_BenchMarkDataReport!AR:AR),0)</f>
        <v>68381.279999999999</v>
      </c>
      <c r="AA67" s="289">
        <f>IFERROR(_xlfn.XLOOKUP($A67,CFR20242025_BenchMarkDataReport!$B:$B,CFR20242025_BenchMarkDataReport!AS:AS),0)</f>
        <v>0</v>
      </c>
      <c r="AB67" s="289">
        <f>IFERROR(_xlfn.XLOOKUP($A67,CFR20242025_BenchMarkDataReport!$B:$B,CFR20242025_BenchMarkDataReport!AT:AT),0)</f>
        <v>13873.7</v>
      </c>
      <c r="AC67" s="289">
        <f>IFERROR(_xlfn.XLOOKUP($A67,CFR20242025_BenchMarkDataReport!$B:$B,CFR20242025_BenchMarkDataReport!AU:AU),0)</f>
        <v>6555.77</v>
      </c>
      <c r="AD67" s="289">
        <f>IFERROR(_xlfn.XLOOKUP($A67,CFR20242025_BenchMarkDataReport!$B:$B,CFR20242025_BenchMarkDataReport!AV:AV),0)</f>
        <v>3239.85</v>
      </c>
      <c r="AE67" s="289">
        <f>IFERROR(_xlfn.XLOOKUP($A67,CFR20242025_BenchMarkDataReport!$B:$B,CFR20242025_BenchMarkDataReport!AW:AW),0)</f>
        <v>8431.44</v>
      </c>
      <c r="AF67" s="289">
        <f>IFERROR(_xlfn.XLOOKUP($A67,CFR20242025_BenchMarkDataReport!$B:$B,CFR20242025_BenchMarkDataReport!AX:AX),0)</f>
        <v>0</v>
      </c>
      <c r="AG67" s="289">
        <f>IFERROR(_xlfn.XLOOKUP($A67,CFR20242025_BenchMarkDataReport!$B:$B,CFR20242025_BenchMarkDataReport!AY:AY),0)</f>
        <v>35479.31</v>
      </c>
      <c r="AH67" s="289">
        <f>IFERROR(_xlfn.XLOOKUP($A67,CFR20242025_BenchMarkDataReport!$B:$B,CFR20242025_BenchMarkDataReport!AZ:AZ),0)</f>
        <v>1600.82</v>
      </c>
      <c r="AI67" s="289">
        <f>IFERROR(_xlfn.XLOOKUP($A67,CFR20242025_BenchMarkDataReport!$B:$B,CFR20242025_BenchMarkDataReport!BA:BA),0)</f>
        <v>24478.73</v>
      </c>
      <c r="AJ67" s="289">
        <f>IFERROR(_xlfn.XLOOKUP($A67,CFR20242025_BenchMarkDataReport!$B:$B,CFR20242025_BenchMarkDataReport!BB:BB),0)</f>
        <v>2849.28</v>
      </c>
      <c r="AK67" s="289">
        <f>IFERROR(_xlfn.XLOOKUP($A67,CFR20242025_BenchMarkDataReport!$B:$B,CFR20242025_BenchMarkDataReport!BC:BC),0)</f>
        <v>30214.22</v>
      </c>
      <c r="AL67" s="289">
        <f>IFERROR(_xlfn.XLOOKUP($A67,CFR20242025_BenchMarkDataReport!$B:$B,CFR20242025_BenchMarkDataReport!BD:BD),0)</f>
        <v>5699.7</v>
      </c>
      <c r="AM67" s="289">
        <f>IFERROR(_xlfn.XLOOKUP($A67,CFR20242025_BenchMarkDataReport!$B:$B,CFR20242025_BenchMarkDataReport!BE:BE),0)</f>
        <v>8359.43</v>
      </c>
      <c r="AN67" s="289">
        <f>IFERROR(_xlfn.XLOOKUP($A67,CFR20242025_BenchMarkDataReport!$B:$B,CFR20242025_BenchMarkDataReport!BF:BF),0)</f>
        <v>48062.559999999998</v>
      </c>
      <c r="AO67" s="289">
        <f>IFERROR(_xlfn.XLOOKUP($A67,CFR20242025_BenchMarkDataReport!$B:$B,CFR20242025_BenchMarkDataReport!BN:BN),0)</f>
        <v>13225.52</v>
      </c>
      <c r="AP67" s="289">
        <f>IFERROR(_xlfn.XLOOKUP($A67,CFR20242025_BenchMarkDataReport!$B:$B,CFR20242025_BenchMarkDataReport!BO:BO),0)</f>
        <v>0</v>
      </c>
      <c r="AQ67" s="289">
        <f>IFERROR(_xlfn.XLOOKUP($A67,CFR20242025_BenchMarkDataReport!$B:$B,CFR20242025_BenchMarkDataReport!BP:BP),0)</f>
        <v>6870.35</v>
      </c>
      <c r="AR67" s="289">
        <f>IFERROR(_xlfn.XLOOKUP($A67,CFR20242025_BenchMarkDataReport!$B:$B,CFR20242025_BenchMarkDataReport!BQ:BQ),0)</f>
        <v>8232.2800000000007</v>
      </c>
      <c r="AS67" s="289">
        <f>IFERROR(_xlfn.XLOOKUP($A67,CFR20242025_BenchMarkDataReport!$B:$B,CFR20242025_BenchMarkDataReport!BR:BR),0)</f>
        <v>5824.06</v>
      </c>
      <c r="AT67" s="289">
        <f>IFERROR(_xlfn.XLOOKUP($A67,CFR20242025_BenchMarkDataReport!$B:$B,CFR20242025_BenchMarkDataReport!BS:BS),0)</f>
        <v>77832.399999999994</v>
      </c>
      <c r="AU67" s="289">
        <f>IFERROR(_xlfn.XLOOKUP($A67,CFR20242025_BenchMarkDataReport!$B:$B,CFR20242025_BenchMarkDataReport!BT:BT),0)</f>
        <v>17105.93</v>
      </c>
      <c r="AV67" s="289">
        <f>IFERROR(_xlfn.XLOOKUP($A67,CFR20242025_BenchMarkDataReport!$B:$B,CFR20242025_BenchMarkDataReport!BU:BU),0)</f>
        <v>123149.23</v>
      </c>
      <c r="AW67" s="289">
        <f>IFERROR(_xlfn.XLOOKUP($A67,CFR20242025_BenchMarkDataReport!$B:$B,CFR20242025_BenchMarkDataReport!BV:BV),0)</f>
        <v>31708.57</v>
      </c>
      <c r="AX67" s="289">
        <f>IFERROR(_xlfn.XLOOKUP($A67,CFR20242025_BenchMarkDataReport!$B:$B,CFR20242025_BenchMarkDataReport!BW:BW),0)</f>
        <v>0</v>
      </c>
      <c r="AY67" s="289">
        <f>IFERROR(_xlfn.XLOOKUP($A67,CFR20242025_BenchMarkDataReport!$B:$B,CFR20242025_BenchMarkDataReport!BX:BX),0)</f>
        <v>0</v>
      </c>
      <c r="AZ67" s="289">
        <f>IFERROR(_xlfn.XLOOKUP($A67,CFR20242025_BenchMarkDataReport!$B:$B,CFR20242025_BenchMarkDataReport!BY:BY),0)</f>
        <v>0</v>
      </c>
      <c r="BA67" s="289">
        <f>IFERROR(_xlfn.XLOOKUP($A67,CFR20242025_BenchMarkDataReport!$B:$B,CFR20242025_BenchMarkDataReport!BZ:BZ),0)</f>
        <v>0</v>
      </c>
      <c r="BB67" s="289">
        <f>IFERROR(_xlfn.XLOOKUP($A67,CFR20242025_BenchMarkDataReport!$B:$B,CFR20242025_BenchMarkDataReport!CA:CA),0)</f>
        <v>0</v>
      </c>
      <c r="BC67" s="290">
        <f t="shared" si="106"/>
        <v>1698805.8799999997</v>
      </c>
      <c r="BD67" s="291">
        <f t="shared" si="175"/>
        <v>1719885.78</v>
      </c>
      <c r="BE67" s="327">
        <f t="shared" si="176"/>
        <v>-21079.900000000373</v>
      </c>
      <c r="BF67" s="289">
        <f>IFERROR(_xlfn.XLOOKUP(A67,CFR20242025_BenchMarkDataReport!B:B,CFR20242025_BenchMarkDataReport!Q:Q),0)</f>
        <v>181780.9</v>
      </c>
      <c r="BG67" s="290">
        <f t="shared" si="177"/>
        <v>160700.99999999962</v>
      </c>
      <c r="BH67" s="292">
        <f>_xlfn.XLOOKUP(A67,'Pupil on roll 24-25'!E:E,'Pupil on roll 24-25'!I:I)</f>
        <v>193</v>
      </c>
      <c r="BI67" s="291">
        <f t="shared" si="174"/>
        <v>1481732.3499999999</v>
      </c>
      <c r="BJ67" t="s">
        <v>190</v>
      </c>
      <c r="BK67" s="293">
        <f t="shared" si="107"/>
        <v>0.8032335925279469</v>
      </c>
      <c r="BL67" s="294">
        <f t="shared" si="108"/>
        <v>7070.1448186528496</v>
      </c>
      <c r="BM67" s="295">
        <f t="shared" si="109"/>
        <v>0</v>
      </c>
      <c r="BN67" s="296">
        <f t="shared" si="110"/>
        <v>0</v>
      </c>
      <c r="BO67" s="293">
        <f t="shared" si="111"/>
        <v>6.8986339981352091E-2</v>
      </c>
      <c r="BP67" s="294">
        <f t="shared" si="112"/>
        <v>607.22487046632125</v>
      </c>
      <c r="BQ67" s="295">
        <f t="shared" si="113"/>
        <v>0</v>
      </c>
      <c r="BR67" s="296">
        <f t="shared" si="114"/>
        <v>0</v>
      </c>
      <c r="BS67" s="293">
        <f t="shared" si="115"/>
        <v>4.5714463856223533E-2</v>
      </c>
      <c r="BT67" s="294">
        <f t="shared" si="116"/>
        <v>402.38341968911919</v>
      </c>
      <c r="BU67" s="295">
        <f t="shared" si="117"/>
        <v>3.1787033842854378E-3</v>
      </c>
      <c r="BV67" s="296">
        <f t="shared" si="118"/>
        <v>27.979274611398964</v>
      </c>
      <c r="BW67" s="293">
        <f t="shared" si="119"/>
        <v>2.3368420410694608E-2</v>
      </c>
      <c r="BX67" s="294">
        <f t="shared" si="120"/>
        <v>205.69124352331607</v>
      </c>
      <c r="BY67" s="295">
        <f t="shared" si="121"/>
        <v>1.0278908382398583E-2</v>
      </c>
      <c r="BZ67" s="297">
        <f t="shared" si="122"/>
        <v>90.476010362694296</v>
      </c>
      <c r="CA67" s="298">
        <f t="shared" si="123"/>
        <v>1.0300411722144501E-2</v>
      </c>
      <c r="CB67" s="299">
        <f t="shared" si="124"/>
        <v>90.665284974093268</v>
      </c>
      <c r="CC67" s="295">
        <f t="shared" si="125"/>
        <v>6.1834257366709857E-3</v>
      </c>
      <c r="CD67" s="296">
        <f t="shared" si="126"/>
        <v>54.427150259067361</v>
      </c>
      <c r="CE67" s="300">
        <f t="shared" si="127"/>
        <v>0.49185051537816532</v>
      </c>
      <c r="CF67" s="298">
        <f t="shared" si="128"/>
        <v>0.42900182332780723</v>
      </c>
      <c r="CG67" s="298">
        <f t="shared" si="129"/>
        <v>0.4237437325634496</v>
      </c>
      <c r="CH67" s="299">
        <f t="shared" si="130"/>
        <v>3776.1182383419687</v>
      </c>
      <c r="CI67" s="295">
        <f t="shared" si="131"/>
        <v>0.28531370054787564</v>
      </c>
      <c r="CJ67" s="301">
        <f t="shared" si="132"/>
        <v>0.24885629663584638</v>
      </c>
      <c r="CK67" s="301">
        <f t="shared" si="133"/>
        <v>0.24580617208196232</v>
      </c>
      <c r="CL67" s="302">
        <f t="shared" si="134"/>
        <v>2190.4587564766839</v>
      </c>
      <c r="CM67" s="300">
        <f t="shared" si="135"/>
        <v>2.9875786946272721E-2</v>
      </c>
      <c r="CN67" s="298">
        <f t="shared" si="136"/>
        <v>2.6058256873940186E-2</v>
      </c>
      <c r="CO67" s="298">
        <f t="shared" si="137"/>
        <v>2.5738872031374083E-2</v>
      </c>
      <c r="CP67" s="299">
        <f t="shared" si="138"/>
        <v>229.36746113989636</v>
      </c>
      <c r="CQ67" s="295">
        <f t="shared" si="139"/>
        <v>4.6149549208397866E-2</v>
      </c>
      <c r="CR67" s="301">
        <f t="shared" si="140"/>
        <v>4.0252556695883353E-2</v>
      </c>
      <c r="CS67" s="301">
        <f t="shared" si="141"/>
        <v>3.9759198427700239E-2</v>
      </c>
      <c r="CT67" s="296">
        <f t="shared" si="142"/>
        <v>354.30715025906733</v>
      </c>
      <c r="CU67" s="300">
        <f t="shared" si="143"/>
        <v>0.85100816621841313</v>
      </c>
      <c r="CV67" s="298">
        <f t="shared" si="144"/>
        <v>0.74226628530388661</v>
      </c>
      <c r="CW67" s="298">
        <f t="shared" si="145"/>
        <v>0.73316864681560412</v>
      </c>
      <c r="CX67" s="299">
        <f t="shared" si="146"/>
        <v>6533.5043005181342</v>
      </c>
      <c r="CY67" s="295">
        <f t="shared" si="147"/>
        <v>2.3944479581619448E-2</v>
      </c>
      <c r="CZ67" s="301">
        <f t="shared" si="148"/>
        <v>2.0628875715223365E-2</v>
      </c>
      <c r="DA67" s="296">
        <f t="shared" si="149"/>
        <v>183.83062176165802</v>
      </c>
      <c r="DB67" s="300">
        <f t="shared" si="150"/>
        <v>1.6566681538584499E-3</v>
      </c>
      <c r="DC67" s="299">
        <f t="shared" si="151"/>
        <v>14.763108808290156</v>
      </c>
      <c r="DD67" s="295">
        <f t="shared" si="152"/>
        <v>2.0391145539881077E-2</v>
      </c>
      <c r="DE67" s="301">
        <f t="shared" si="153"/>
        <v>1.7567573586194776E-2</v>
      </c>
      <c r="DF67" s="296">
        <f t="shared" si="154"/>
        <v>156.55036269430053</v>
      </c>
      <c r="DG67" s="300">
        <f t="shared" si="155"/>
        <v>5.6416599124666485E-3</v>
      </c>
      <c r="DH67" s="298">
        <f t="shared" si="156"/>
        <v>4.8604564891512742E-3</v>
      </c>
      <c r="DI67" s="303">
        <f t="shared" si="157"/>
        <v>43.31310880829016</v>
      </c>
      <c r="DJ67" s="295">
        <f t="shared" si="158"/>
        <v>3.2436735284884617E-2</v>
      </c>
      <c r="DK67" s="301">
        <f t="shared" si="159"/>
        <v>2.8291967061004054E-2</v>
      </c>
      <c r="DL67" s="301">
        <f t="shared" si="160"/>
        <v>2.7945204593760872E-2</v>
      </c>
      <c r="DM67" s="296">
        <f t="shared" si="161"/>
        <v>249.02880829015544</v>
      </c>
      <c r="DN67" s="300">
        <f t="shared" si="162"/>
        <v>4.6367010884253157E-3</v>
      </c>
      <c r="DO67" s="298">
        <f t="shared" si="163"/>
        <v>3.9946548078326457E-3</v>
      </c>
      <c r="DP67" s="299">
        <f t="shared" si="164"/>
        <v>35.597668393782385</v>
      </c>
      <c r="DQ67" s="295">
        <f t="shared" si="165"/>
        <v>8.3111656433768222E-2</v>
      </c>
      <c r="DR67" s="301">
        <f t="shared" si="166"/>
        <v>7.1603144483234224E-2</v>
      </c>
      <c r="DS67" s="296">
        <f t="shared" si="167"/>
        <v>638.07891191709848</v>
      </c>
      <c r="DT67" s="300">
        <f t="shared" si="168"/>
        <v>4.5254400556762553E-2</v>
      </c>
      <c r="DU67" s="299">
        <f t="shared" si="169"/>
        <v>403.2766839378238</v>
      </c>
      <c r="DV67" s="295">
        <f t="shared" si="178"/>
        <v>1.4232764922331062E-2</v>
      </c>
      <c r="DW67" s="296">
        <f t="shared" si="179"/>
        <v>126.83279792746114</v>
      </c>
      <c r="DX67" s="295">
        <f t="shared" si="170"/>
        <v>3.3069400151788547E-5</v>
      </c>
      <c r="DY67" s="301">
        <f t="shared" si="171"/>
        <v>2.8843789968516008E-5</v>
      </c>
      <c r="DZ67" s="301">
        <f t="shared" si="172"/>
        <v>2.8490264045325149E-5</v>
      </c>
      <c r="EA67" s="296">
        <f t="shared" si="173"/>
        <v>0.25388601036269431</v>
      </c>
      <c r="EB67" s="304">
        <f>IFERROR(_xlfn.XLOOKUP(A67,'Pupil on roll 24-25'!E:E,'Pupil on roll 24-25'!R:R),0)</f>
        <v>49</v>
      </c>
      <c r="EC67" s="289">
        <f>IFERROR(_xlfn.XLOOKUP(A67,CFR20242025_BenchMarkDataReport!B:B,CFR20242025_BenchMarkDataReport!AK:AK),0)</f>
        <v>1749.38</v>
      </c>
      <c r="ED67" s="289">
        <f>IFERROR(_xlfn.XLOOKUP(A67,CFR20242025_BenchMarkDataReport!B:B,CFR20242025_BenchMarkDataReport!AL:AL),0)</f>
        <v>46996</v>
      </c>
    </row>
    <row r="68" spans="1:228">
      <c r="A68" s="208">
        <v>3314</v>
      </c>
      <c r="B68" s="326">
        <v>10095</v>
      </c>
      <c r="C68" s="208" t="s">
        <v>101</v>
      </c>
      <c r="D68" s="289">
        <f>IFERROR(_xlfn.XLOOKUP($A68,CFR20242025_BenchMarkDataReport!$B:$B,CFR20242025_BenchMarkDataReport!T:T),0)</f>
        <v>1173354.1599999999</v>
      </c>
      <c r="E68" s="289">
        <f>IFERROR(_xlfn.XLOOKUP($A68,CFR20242025_BenchMarkDataReport!$B:$B,CFR20242025_BenchMarkDataReport!U:U),0)</f>
        <v>0</v>
      </c>
      <c r="F68" s="289">
        <f>IFERROR(_xlfn.XLOOKUP($A68,CFR20242025_BenchMarkDataReport!$B:$B,CFR20242025_BenchMarkDataReport!V:V),0)</f>
        <v>108560.87</v>
      </c>
      <c r="G68" s="289">
        <f>IFERROR(_xlfn.XLOOKUP($A68,CFR20242025_BenchMarkDataReport!$B:$B,CFR20242025_BenchMarkDataReport!W:W),0)</f>
        <v>0</v>
      </c>
      <c r="H68" s="289">
        <f>IFERROR(_xlfn.XLOOKUP($A68,CFR20242025_BenchMarkDataReport!$B:$B,CFR20242025_BenchMarkDataReport!X:X),0)</f>
        <v>64730</v>
      </c>
      <c r="I68" s="289">
        <f>IFERROR(_xlfn.XLOOKUP($A68,CFR20242025_BenchMarkDataReport!$B:$B,CFR20242025_BenchMarkDataReport!Y:Y),0)</f>
        <v>6459.23</v>
      </c>
      <c r="J68" s="289">
        <f>IFERROR(_xlfn.XLOOKUP($A68,CFR20242025_BenchMarkDataReport!$B:$B,CFR20242025_BenchMarkDataReport!Z:Z),0)</f>
        <v>151892.03</v>
      </c>
      <c r="K68" s="289">
        <f>IFERROR(_xlfn.XLOOKUP($A68,CFR20242025_BenchMarkDataReport!$B:$B,CFR20242025_BenchMarkDataReport!AA:AA),0)</f>
        <v>0</v>
      </c>
      <c r="L68" s="289">
        <f>IFERROR(_xlfn.XLOOKUP($A68,CFR20242025_BenchMarkDataReport!$B:$B,CFR20242025_BenchMarkDataReport!AB:AB),0)</f>
        <v>41475.269999999997</v>
      </c>
      <c r="M68" s="289">
        <f>IFERROR(_xlfn.XLOOKUP($A68,CFR20242025_BenchMarkDataReport!$B:$B,CFR20242025_BenchMarkDataReport!AC:AC),0)</f>
        <v>934.82</v>
      </c>
      <c r="N68" s="289">
        <f>IFERROR(_xlfn.XLOOKUP($A68,CFR20242025_BenchMarkDataReport!$B:$B,CFR20242025_BenchMarkDataReport!AD:AD),0)</f>
        <v>0</v>
      </c>
      <c r="O68" s="289">
        <f>IFERROR(_xlfn.XLOOKUP($A68,CFR20242025_BenchMarkDataReport!$B:$B,CFR20242025_BenchMarkDataReport!AE:AE),0)</f>
        <v>8736.84</v>
      </c>
      <c r="P68" s="289">
        <f>IFERROR(_xlfn.XLOOKUP($A68,CFR20242025_BenchMarkDataReport!$B:$B,CFR20242025_BenchMarkDataReport!AF:AF),0)</f>
        <v>21109.55</v>
      </c>
      <c r="Q68" s="289">
        <f>IFERROR(_xlfn.XLOOKUP($A68,CFR20242025_BenchMarkDataReport!$B:$B,CFR20242025_BenchMarkDataReport!AG:AG),0)</f>
        <v>35821.910000000003</v>
      </c>
      <c r="R68" s="289">
        <f>IFERROR(_xlfn.XLOOKUP($A68,CFR20242025_BenchMarkDataReport!$B:$B,CFR20242025_BenchMarkDataReport!AH:AH),0)</f>
        <v>0</v>
      </c>
      <c r="S68" s="289">
        <f>IFERROR(_xlfn.XLOOKUP($A68,CFR20242025_BenchMarkDataReport!$B:$B,CFR20242025_BenchMarkDataReport!AI:AI),0)</f>
        <v>0</v>
      </c>
      <c r="T68" s="289">
        <f>IFERROR(_xlfn.XLOOKUP($A68,CFR20242025_BenchMarkDataReport!$B:$B,CFR20242025_BenchMarkDataReport!AJ:AJ),0)</f>
        <v>0</v>
      </c>
      <c r="U68" s="289">
        <f>INDEX(CFR20242025_BenchMarkDataReport!$B$3:$AM$87,MATCH(A68,CFR20242025_BenchMarkDataReport!$B$3:$B$87),MATCH($U$2,CFR20242025_BenchMarkDataReport!$B$3:$AM$3,0))</f>
        <v>54744.25</v>
      </c>
      <c r="V68" s="289">
        <f>IFERROR(_xlfn.XLOOKUP($A68,CFR20242025_BenchMarkDataReport!$B:$B,CFR20242025_BenchMarkDataReport!AN:AN),0)</f>
        <v>755041.46</v>
      </c>
      <c r="W68" s="289">
        <f>IFERROR(_xlfn.XLOOKUP($A68,CFR20242025_BenchMarkDataReport!$B:$B,CFR20242025_BenchMarkDataReport!AO:AO),0)</f>
        <v>0</v>
      </c>
      <c r="X68" s="289">
        <f>IFERROR(_xlfn.XLOOKUP($A68,CFR20242025_BenchMarkDataReport!$B:$B,CFR20242025_BenchMarkDataReport!AP:AP),0)</f>
        <v>263851.99</v>
      </c>
      <c r="Y68" s="289">
        <f>IFERROR(_xlfn.XLOOKUP($A68,CFR20242025_BenchMarkDataReport!$B:$B,CFR20242025_BenchMarkDataReport!AQ:AQ),0)</f>
        <v>47538.37</v>
      </c>
      <c r="Z68" s="289">
        <f>IFERROR(_xlfn.XLOOKUP($A68,CFR20242025_BenchMarkDataReport!$B:$B,CFR20242025_BenchMarkDataReport!AR:AR),0)</f>
        <v>58992.13</v>
      </c>
      <c r="AA68" s="289">
        <f>IFERROR(_xlfn.XLOOKUP($A68,CFR20242025_BenchMarkDataReport!$B:$B,CFR20242025_BenchMarkDataReport!AS:AS),0)</f>
        <v>0</v>
      </c>
      <c r="AB68" s="289">
        <f>IFERROR(_xlfn.XLOOKUP($A68,CFR20242025_BenchMarkDataReport!$B:$B,CFR20242025_BenchMarkDataReport!AT:AT),0)</f>
        <v>67958.92</v>
      </c>
      <c r="AC68" s="289">
        <f>IFERROR(_xlfn.XLOOKUP($A68,CFR20242025_BenchMarkDataReport!$B:$B,CFR20242025_BenchMarkDataReport!AU:AU),0)</f>
        <v>6534.03</v>
      </c>
      <c r="AD68" s="289">
        <f>IFERROR(_xlfn.XLOOKUP($A68,CFR20242025_BenchMarkDataReport!$B:$B,CFR20242025_BenchMarkDataReport!AV:AV),0)</f>
        <v>2567.98</v>
      </c>
      <c r="AE68" s="289">
        <f>IFERROR(_xlfn.XLOOKUP($A68,CFR20242025_BenchMarkDataReport!$B:$B,CFR20242025_BenchMarkDataReport!AW:AW),0)</f>
        <v>341.96</v>
      </c>
      <c r="AF68" s="289">
        <f>IFERROR(_xlfn.XLOOKUP($A68,CFR20242025_BenchMarkDataReport!$B:$B,CFR20242025_BenchMarkDataReport!AX:AX),0)</f>
        <v>0</v>
      </c>
      <c r="AG68" s="289">
        <f>IFERROR(_xlfn.XLOOKUP($A68,CFR20242025_BenchMarkDataReport!$B:$B,CFR20242025_BenchMarkDataReport!AY:AY),0)</f>
        <v>22342.39</v>
      </c>
      <c r="AH68" s="289">
        <f>IFERROR(_xlfn.XLOOKUP($A68,CFR20242025_BenchMarkDataReport!$B:$B,CFR20242025_BenchMarkDataReport!AZ:AZ),0)</f>
        <v>322.27999999999997</v>
      </c>
      <c r="AI68" s="289">
        <f>IFERROR(_xlfn.XLOOKUP($A68,CFR20242025_BenchMarkDataReport!$B:$B,CFR20242025_BenchMarkDataReport!BA:BA),0)</f>
        <v>4825.78</v>
      </c>
      <c r="AJ68" s="289">
        <f>IFERROR(_xlfn.XLOOKUP($A68,CFR20242025_BenchMarkDataReport!$B:$B,CFR20242025_BenchMarkDataReport!BB:BB),0)</f>
        <v>4143.84</v>
      </c>
      <c r="AK68" s="289">
        <f>IFERROR(_xlfn.XLOOKUP($A68,CFR20242025_BenchMarkDataReport!$B:$B,CFR20242025_BenchMarkDataReport!BC:BC),0)</f>
        <v>27138.41</v>
      </c>
      <c r="AL68" s="289">
        <f>IFERROR(_xlfn.XLOOKUP($A68,CFR20242025_BenchMarkDataReport!$B:$B,CFR20242025_BenchMarkDataReport!BD:BD),0)</f>
        <v>3681.6</v>
      </c>
      <c r="AM68" s="289">
        <f>IFERROR(_xlfn.XLOOKUP($A68,CFR20242025_BenchMarkDataReport!$B:$B,CFR20242025_BenchMarkDataReport!BE:BE),0)</f>
        <v>9428.74</v>
      </c>
      <c r="AN68" s="289">
        <f>IFERROR(_xlfn.XLOOKUP($A68,CFR20242025_BenchMarkDataReport!$B:$B,CFR20242025_BenchMarkDataReport!BF:BF),0)</f>
        <v>71054.89</v>
      </c>
      <c r="AO68" s="289">
        <f>IFERROR(_xlfn.XLOOKUP($A68,CFR20242025_BenchMarkDataReport!$B:$B,CFR20242025_BenchMarkDataReport!BN:BN),0)</f>
        <v>32058.03</v>
      </c>
      <c r="AP68" s="289">
        <f>IFERROR(_xlfn.XLOOKUP($A68,CFR20242025_BenchMarkDataReport!$B:$B,CFR20242025_BenchMarkDataReport!BO:BO),0)</f>
        <v>0</v>
      </c>
      <c r="AQ68" s="289">
        <f>IFERROR(_xlfn.XLOOKUP($A68,CFR20242025_BenchMarkDataReport!$B:$B,CFR20242025_BenchMarkDataReport!BP:BP),0)</f>
        <v>5774.15</v>
      </c>
      <c r="AR68" s="289">
        <f>IFERROR(_xlfn.XLOOKUP($A68,CFR20242025_BenchMarkDataReport!$B:$B,CFR20242025_BenchMarkDataReport!BQ:BQ),0)</f>
        <v>8415.35</v>
      </c>
      <c r="AS68" s="289">
        <f>IFERROR(_xlfn.XLOOKUP($A68,CFR20242025_BenchMarkDataReport!$B:$B,CFR20242025_BenchMarkDataReport!BR:BR),0)</f>
        <v>11530.01</v>
      </c>
      <c r="AT68" s="289">
        <f>IFERROR(_xlfn.XLOOKUP($A68,CFR20242025_BenchMarkDataReport!$B:$B,CFR20242025_BenchMarkDataReport!BS:BS),0)</f>
        <v>94454.43</v>
      </c>
      <c r="AU68" s="289">
        <f>IFERROR(_xlfn.XLOOKUP($A68,CFR20242025_BenchMarkDataReport!$B:$B,CFR20242025_BenchMarkDataReport!BT:BT),0)</f>
        <v>1051.6600000000001</v>
      </c>
      <c r="AV68" s="289">
        <f>IFERROR(_xlfn.XLOOKUP($A68,CFR20242025_BenchMarkDataReport!$B:$B,CFR20242025_BenchMarkDataReport!BU:BU),0)</f>
        <v>112408.71</v>
      </c>
      <c r="AW68" s="289">
        <f>IFERROR(_xlfn.XLOOKUP($A68,CFR20242025_BenchMarkDataReport!$B:$B,CFR20242025_BenchMarkDataReport!BV:BV),0)</f>
        <v>31225.919999999998</v>
      </c>
      <c r="AX68" s="289">
        <f>IFERROR(_xlfn.XLOOKUP($A68,CFR20242025_BenchMarkDataReport!$B:$B,CFR20242025_BenchMarkDataReport!BW:BW),0)</f>
        <v>0</v>
      </c>
      <c r="AY68" s="289">
        <f>IFERROR(_xlfn.XLOOKUP($A68,CFR20242025_BenchMarkDataReport!$B:$B,CFR20242025_BenchMarkDataReport!BX:BX),0)</f>
        <v>0</v>
      </c>
      <c r="AZ68" s="289">
        <f>IFERROR(_xlfn.XLOOKUP($A68,CFR20242025_BenchMarkDataReport!$B:$B,CFR20242025_BenchMarkDataReport!BY:BY),0)</f>
        <v>0</v>
      </c>
      <c r="BA68" s="289">
        <f>IFERROR(_xlfn.XLOOKUP($A68,CFR20242025_BenchMarkDataReport!$B:$B,CFR20242025_BenchMarkDataReport!BZ:BZ),0)</f>
        <v>0</v>
      </c>
      <c r="BB68" s="289">
        <f>IFERROR(_xlfn.XLOOKUP($A68,CFR20242025_BenchMarkDataReport!$B:$B,CFR20242025_BenchMarkDataReport!CA:CA),0)</f>
        <v>0</v>
      </c>
      <c r="BC68" s="290">
        <f t="shared" si="106"/>
        <v>1667818.93</v>
      </c>
      <c r="BD68" s="291">
        <f t="shared" si="175"/>
        <v>1642683.0299999996</v>
      </c>
      <c r="BE68" s="327">
        <f t="shared" si="176"/>
        <v>25135.900000000373</v>
      </c>
      <c r="BF68" s="289">
        <f>IFERROR(_xlfn.XLOOKUP(A68,CFR20242025_BenchMarkDataReport!B:B,CFR20242025_BenchMarkDataReport!Q:Q),0)</f>
        <v>36396.1</v>
      </c>
      <c r="BG68" s="290">
        <f t="shared" si="177"/>
        <v>61532.000000000371</v>
      </c>
      <c r="BH68" s="292">
        <f>_xlfn.XLOOKUP(A68,'Pupil on roll 24-25'!E:E,'Pupil on roll 24-25'!I:I)</f>
        <v>206</v>
      </c>
      <c r="BI68" s="291">
        <f t="shared" si="174"/>
        <v>1281915.0299999998</v>
      </c>
      <c r="BJ68" t="s">
        <v>190</v>
      </c>
      <c r="BK68" s="293">
        <f t="shared" si="107"/>
        <v>0.70352610759730372</v>
      </c>
      <c r="BL68" s="294">
        <f t="shared" si="108"/>
        <v>5695.8939805825239</v>
      </c>
      <c r="BM68" s="295">
        <f t="shared" si="109"/>
        <v>0</v>
      </c>
      <c r="BN68" s="296">
        <f t="shared" si="110"/>
        <v>0</v>
      </c>
      <c r="BO68" s="293">
        <f t="shared" si="111"/>
        <v>6.509152045660016E-2</v>
      </c>
      <c r="BP68" s="294">
        <f t="shared" si="112"/>
        <v>526.9945145631068</v>
      </c>
      <c r="BQ68" s="295">
        <f t="shared" si="113"/>
        <v>0</v>
      </c>
      <c r="BR68" s="296">
        <f t="shared" si="114"/>
        <v>0</v>
      </c>
      <c r="BS68" s="293">
        <f t="shared" si="115"/>
        <v>3.8811167588798143E-2</v>
      </c>
      <c r="BT68" s="294">
        <f t="shared" si="116"/>
        <v>314.22330097087377</v>
      </c>
      <c r="BU68" s="295">
        <f t="shared" si="117"/>
        <v>3.872860466933302E-3</v>
      </c>
      <c r="BV68" s="296">
        <f t="shared" si="118"/>
        <v>31.355485436893201</v>
      </c>
      <c r="BW68" s="293">
        <f t="shared" si="119"/>
        <v>9.1072254468295311E-2</v>
      </c>
      <c r="BX68" s="294">
        <f t="shared" si="120"/>
        <v>737.3399514563107</v>
      </c>
      <c r="BY68" s="295">
        <f t="shared" si="121"/>
        <v>2.4867969330459632E-2</v>
      </c>
      <c r="BZ68" s="297">
        <f t="shared" si="122"/>
        <v>201.33626213592231</v>
      </c>
      <c r="CA68" s="298">
        <f t="shared" si="123"/>
        <v>1.2656979495969625E-2</v>
      </c>
      <c r="CB68" s="299">
        <f t="shared" si="124"/>
        <v>102.47354368932038</v>
      </c>
      <c r="CC68" s="295">
        <f t="shared" si="125"/>
        <v>2.1478296807675643E-2</v>
      </c>
      <c r="CD68" s="296">
        <f t="shared" si="126"/>
        <v>173.89276699029128</v>
      </c>
      <c r="CE68" s="300">
        <f t="shared" si="127"/>
        <v>0.58981531716653646</v>
      </c>
      <c r="CF68" s="298">
        <f t="shared" si="128"/>
        <v>0.45334245007040425</v>
      </c>
      <c r="CG68" s="298">
        <f t="shared" si="129"/>
        <v>0.46027937599136226</v>
      </c>
      <c r="CH68" s="299">
        <f t="shared" si="130"/>
        <v>3670.3549514563106</v>
      </c>
      <c r="CI68" s="295">
        <f t="shared" si="131"/>
        <v>0.20582642673282334</v>
      </c>
      <c r="CJ68" s="301">
        <f t="shared" si="132"/>
        <v>0.15820181990619331</v>
      </c>
      <c r="CK68" s="301">
        <f t="shared" si="133"/>
        <v>0.16062258219103906</v>
      </c>
      <c r="CL68" s="302">
        <f t="shared" si="134"/>
        <v>1280.8349029126214</v>
      </c>
      <c r="CM68" s="300">
        <f t="shared" si="135"/>
        <v>3.7083869747591626E-2</v>
      </c>
      <c r="CN68" s="298">
        <f t="shared" si="136"/>
        <v>2.8503316004453796E-2</v>
      </c>
      <c r="CO68" s="298">
        <f t="shared" si="137"/>
        <v>2.8939466185390627E-2</v>
      </c>
      <c r="CP68" s="299">
        <f t="shared" si="138"/>
        <v>230.76878640776701</v>
      </c>
      <c r="CQ68" s="295">
        <f t="shared" si="139"/>
        <v>4.6018752116511193E-2</v>
      </c>
      <c r="CR68" s="301">
        <f t="shared" si="140"/>
        <v>3.53708240977934E-2</v>
      </c>
      <c r="CS68" s="301">
        <f t="shared" si="141"/>
        <v>3.5912059065953836E-2</v>
      </c>
      <c r="CT68" s="296">
        <f t="shared" si="142"/>
        <v>286.36956310679608</v>
      </c>
      <c r="CU68" s="300">
        <f t="shared" si="143"/>
        <v>0.9309375754803344</v>
      </c>
      <c r="CV68" s="298">
        <f t="shared" si="144"/>
        <v>0.71553503113194661</v>
      </c>
      <c r="CW68" s="298">
        <f t="shared" si="145"/>
        <v>0.72648395838118585</v>
      </c>
      <c r="CX68" s="299">
        <f t="shared" si="146"/>
        <v>5793.1207281553388</v>
      </c>
      <c r="CY68" s="295">
        <f t="shared" si="147"/>
        <v>1.7428916485985817E-2</v>
      </c>
      <c r="CZ68" s="301">
        <f t="shared" si="148"/>
        <v>1.3601157126460366E-2</v>
      </c>
      <c r="DA68" s="296">
        <f t="shared" si="149"/>
        <v>108.45820388349514</v>
      </c>
      <c r="DB68" s="300">
        <f t="shared" si="150"/>
        <v>2.5226047413419747E-3</v>
      </c>
      <c r="DC68" s="299">
        <f t="shared" si="151"/>
        <v>20.115728155339806</v>
      </c>
      <c r="DD68" s="295">
        <f t="shared" si="152"/>
        <v>2.1170209697907984E-2</v>
      </c>
      <c r="DE68" s="301">
        <f t="shared" si="153"/>
        <v>1.6520783075235159E-2</v>
      </c>
      <c r="DF68" s="296">
        <f t="shared" si="154"/>
        <v>131.73985436893204</v>
      </c>
      <c r="DG68" s="300">
        <f t="shared" si="155"/>
        <v>7.3551988855298789E-3</v>
      </c>
      <c r="DH68" s="298">
        <f t="shared" si="156"/>
        <v>5.7398413618481234E-3</v>
      </c>
      <c r="DI68" s="303">
        <f t="shared" si="157"/>
        <v>45.770582524271845</v>
      </c>
      <c r="DJ68" s="295">
        <f t="shared" si="158"/>
        <v>5.5428704974307082E-2</v>
      </c>
      <c r="DK68" s="301">
        <f t="shared" si="159"/>
        <v>4.2603479743451529E-2</v>
      </c>
      <c r="DL68" s="301">
        <f t="shared" si="160"/>
        <v>4.3255386889825005E-2</v>
      </c>
      <c r="DM68" s="296">
        <f t="shared" si="161"/>
        <v>344.92665048543688</v>
      </c>
      <c r="DN68" s="300">
        <f t="shared" si="162"/>
        <v>4.5043157033582797E-3</v>
      </c>
      <c r="DO68" s="298">
        <f t="shared" si="163"/>
        <v>3.5150725335002706E-3</v>
      </c>
      <c r="DP68" s="299">
        <f t="shared" si="164"/>
        <v>28.029854368932035</v>
      </c>
      <c r="DQ68" s="295">
        <f t="shared" si="165"/>
        <v>8.7688112994509487E-2</v>
      </c>
      <c r="DR68" s="301">
        <f t="shared" si="166"/>
        <v>6.8429945368096989E-2</v>
      </c>
      <c r="DS68" s="296">
        <f t="shared" si="167"/>
        <v>545.67334951456314</v>
      </c>
      <c r="DT68" s="300">
        <f t="shared" si="168"/>
        <v>5.7500094829615434E-2</v>
      </c>
      <c r="DU68" s="299">
        <f t="shared" si="169"/>
        <v>458.51665048543686</v>
      </c>
      <c r="DV68" s="295">
        <f t="shared" si="178"/>
        <v>2.9377426514231421E-3</v>
      </c>
      <c r="DW68" s="296">
        <f t="shared" si="179"/>
        <v>23.426116504854367</v>
      </c>
      <c r="DX68" s="295">
        <f t="shared" si="170"/>
        <v>3.2763481991470219E-5</v>
      </c>
      <c r="DY68" s="301">
        <f t="shared" si="171"/>
        <v>2.5182589815070635E-5</v>
      </c>
      <c r="DZ68" s="301">
        <f t="shared" si="172"/>
        <v>2.556792712468699E-5</v>
      </c>
      <c r="EA68" s="296">
        <f t="shared" si="173"/>
        <v>0.20388349514563106</v>
      </c>
      <c r="EB68" s="304">
        <f>IFERROR(_xlfn.XLOOKUP(A68,'Pupil on roll 24-25'!E:E,'Pupil on roll 24-25'!R:R),0)</f>
        <v>42</v>
      </c>
      <c r="EC68" s="289">
        <f>IFERROR(_xlfn.XLOOKUP(A68,CFR20242025_BenchMarkDataReport!B:B,CFR20242025_BenchMarkDataReport!AK:AK),0)</f>
        <v>4186.25</v>
      </c>
      <c r="ED68" s="289">
        <f>IFERROR(_xlfn.XLOOKUP(A68,CFR20242025_BenchMarkDataReport!B:B,CFR20242025_BenchMarkDataReport!AL:AL),0)</f>
        <v>50558</v>
      </c>
    </row>
    <row r="69" spans="1:228">
      <c r="A69" s="208">
        <v>3507</v>
      </c>
      <c r="B69" s="326">
        <v>10108</v>
      </c>
      <c r="C69" s="208" t="s">
        <v>102</v>
      </c>
      <c r="D69" s="289">
        <f>IFERROR(_xlfn.XLOOKUP($A69,CFR20242025_BenchMarkDataReport!$B:$B,CFR20242025_BenchMarkDataReport!T:T),0)</f>
        <v>913845.08</v>
      </c>
      <c r="E69" s="289">
        <f>IFERROR(_xlfn.XLOOKUP($A69,CFR20242025_BenchMarkDataReport!$B:$B,CFR20242025_BenchMarkDataReport!U:U),0)</f>
        <v>0</v>
      </c>
      <c r="F69" s="289">
        <f>IFERROR(_xlfn.XLOOKUP($A69,CFR20242025_BenchMarkDataReport!$B:$B,CFR20242025_BenchMarkDataReport!V:V),0)</f>
        <v>111019.6</v>
      </c>
      <c r="G69" s="289">
        <f>IFERROR(_xlfn.XLOOKUP($A69,CFR20242025_BenchMarkDataReport!$B:$B,CFR20242025_BenchMarkDataReport!W:W),0)</f>
        <v>0</v>
      </c>
      <c r="H69" s="289">
        <f>IFERROR(_xlfn.XLOOKUP($A69,CFR20242025_BenchMarkDataReport!$B:$B,CFR20242025_BenchMarkDataReport!X:X),0)</f>
        <v>51410</v>
      </c>
      <c r="I69" s="289">
        <f>IFERROR(_xlfn.XLOOKUP($A69,CFR20242025_BenchMarkDataReport!$B:$B,CFR20242025_BenchMarkDataReport!Y:Y),0)</f>
        <v>0</v>
      </c>
      <c r="J69" s="289">
        <f>IFERROR(_xlfn.XLOOKUP($A69,CFR20242025_BenchMarkDataReport!$B:$B,CFR20242025_BenchMarkDataReport!Z:Z),0)</f>
        <v>46869.66</v>
      </c>
      <c r="K69" s="289">
        <f>IFERROR(_xlfn.XLOOKUP($A69,CFR20242025_BenchMarkDataReport!$B:$B,CFR20242025_BenchMarkDataReport!AA:AA),0)</f>
        <v>1707.6</v>
      </c>
      <c r="L69" s="289">
        <f>IFERROR(_xlfn.XLOOKUP($A69,CFR20242025_BenchMarkDataReport!$B:$B,CFR20242025_BenchMarkDataReport!AB:AB),0)</f>
        <v>6653.54</v>
      </c>
      <c r="M69" s="289">
        <f>IFERROR(_xlfn.XLOOKUP($A69,CFR20242025_BenchMarkDataReport!$B:$B,CFR20242025_BenchMarkDataReport!AC:AC),0)</f>
        <v>786.4</v>
      </c>
      <c r="N69" s="289">
        <f>IFERROR(_xlfn.XLOOKUP($A69,CFR20242025_BenchMarkDataReport!$B:$B,CFR20242025_BenchMarkDataReport!AD:AD),0)</f>
        <v>0</v>
      </c>
      <c r="O69" s="289">
        <f>IFERROR(_xlfn.XLOOKUP($A69,CFR20242025_BenchMarkDataReport!$B:$B,CFR20242025_BenchMarkDataReport!AE:AE),0)</f>
        <v>0</v>
      </c>
      <c r="P69" s="289">
        <f>IFERROR(_xlfn.XLOOKUP($A69,CFR20242025_BenchMarkDataReport!$B:$B,CFR20242025_BenchMarkDataReport!AF:AF),0)</f>
        <v>14054.63</v>
      </c>
      <c r="Q69" s="289">
        <f>IFERROR(_xlfn.XLOOKUP($A69,CFR20242025_BenchMarkDataReport!$B:$B,CFR20242025_BenchMarkDataReport!AG:AG),0)</f>
        <v>5049.1499999999996</v>
      </c>
      <c r="R69" s="289">
        <f>IFERROR(_xlfn.XLOOKUP($A69,CFR20242025_BenchMarkDataReport!$B:$B,CFR20242025_BenchMarkDataReport!AH:AH),0)</f>
        <v>0</v>
      </c>
      <c r="S69" s="289">
        <f>IFERROR(_xlfn.XLOOKUP($A69,CFR20242025_BenchMarkDataReport!$B:$B,CFR20242025_BenchMarkDataReport!AI:AI),0)</f>
        <v>0</v>
      </c>
      <c r="T69" s="289">
        <f>IFERROR(_xlfn.XLOOKUP($A69,CFR20242025_BenchMarkDataReport!$B:$B,CFR20242025_BenchMarkDataReport!AJ:AJ),0)</f>
        <v>0</v>
      </c>
      <c r="U69" s="289">
        <f>INDEX(CFR20242025_BenchMarkDataReport!$B$3:$AM$87,MATCH(A69,CFR20242025_BenchMarkDataReport!$B$3:$B$87),MATCH($U$2,CFR20242025_BenchMarkDataReport!$B$3:$AM$3,0))</f>
        <v>38895.129999999997</v>
      </c>
      <c r="V69" s="289">
        <f>IFERROR(_xlfn.XLOOKUP($A69,CFR20242025_BenchMarkDataReport!$B:$B,CFR20242025_BenchMarkDataReport!AN:AN),0)</f>
        <v>618946.6</v>
      </c>
      <c r="W69" s="289">
        <f>IFERROR(_xlfn.XLOOKUP($A69,CFR20242025_BenchMarkDataReport!$B:$B,CFR20242025_BenchMarkDataReport!AO:AO),0)</f>
        <v>0</v>
      </c>
      <c r="X69" s="289">
        <f>IFERROR(_xlfn.XLOOKUP($A69,CFR20242025_BenchMarkDataReport!$B:$B,CFR20242025_BenchMarkDataReport!AP:AP),0)</f>
        <v>200733.69</v>
      </c>
      <c r="Y69" s="289">
        <f>IFERROR(_xlfn.XLOOKUP($A69,CFR20242025_BenchMarkDataReport!$B:$B,CFR20242025_BenchMarkDataReport!AQ:AQ),0)</f>
        <v>39051.81</v>
      </c>
      <c r="Z69" s="289">
        <f>IFERROR(_xlfn.XLOOKUP($A69,CFR20242025_BenchMarkDataReport!$B:$B,CFR20242025_BenchMarkDataReport!AR:AR),0)</f>
        <v>51246.74</v>
      </c>
      <c r="AA69" s="289">
        <f>IFERROR(_xlfn.XLOOKUP($A69,CFR20242025_BenchMarkDataReport!$B:$B,CFR20242025_BenchMarkDataReport!AS:AS),0)</f>
        <v>0</v>
      </c>
      <c r="AB69" s="289">
        <f>IFERROR(_xlfn.XLOOKUP($A69,CFR20242025_BenchMarkDataReport!$B:$B,CFR20242025_BenchMarkDataReport!AT:AT),0)</f>
        <v>25262.35</v>
      </c>
      <c r="AC69" s="289">
        <f>IFERROR(_xlfn.XLOOKUP($A69,CFR20242025_BenchMarkDataReport!$B:$B,CFR20242025_BenchMarkDataReport!AU:AU),0)</f>
        <v>1552</v>
      </c>
      <c r="AD69" s="289">
        <f>IFERROR(_xlfn.XLOOKUP($A69,CFR20242025_BenchMarkDataReport!$B:$B,CFR20242025_BenchMarkDataReport!AV:AV),0)</f>
        <v>1841.2</v>
      </c>
      <c r="AE69" s="289">
        <f>IFERROR(_xlfn.XLOOKUP($A69,CFR20242025_BenchMarkDataReport!$B:$B,CFR20242025_BenchMarkDataReport!AW:AW),0)</f>
        <v>265.60000000000002</v>
      </c>
      <c r="AF69" s="289">
        <f>IFERROR(_xlfn.XLOOKUP($A69,CFR20242025_BenchMarkDataReport!$B:$B,CFR20242025_BenchMarkDataReport!AX:AX),0)</f>
        <v>0</v>
      </c>
      <c r="AG69" s="289">
        <f>IFERROR(_xlfn.XLOOKUP($A69,CFR20242025_BenchMarkDataReport!$B:$B,CFR20242025_BenchMarkDataReport!AY:AY),0)</f>
        <v>13200.72</v>
      </c>
      <c r="AH69" s="289">
        <f>IFERROR(_xlfn.XLOOKUP($A69,CFR20242025_BenchMarkDataReport!$B:$B,CFR20242025_BenchMarkDataReport!AZ:AZ),0)</f>
        <v>4640.51</v>
      </c>
      <c r="AI69" s="289">
        <f>IFERROR(_xlfn.XLOOKUP($A69,CFR20242025_BenchMarkDataReport!$B:$B,CFR20242025_BenchMarkDataReport!BA:BA),0)</f>
        <v>22892.51</v>
      </c>
      <c r="AJ69" s="289">
        <f>IFERROR(_xlfn.XLOOKUP($A69,CFR20242025_BenchMarkDataReport!$B:$B,CFR20242025_BenchMarkDataReport!BB:BB),0)</f>
        <v>2862.28</v>
      </c>
      <c r="AK69" s="289">
        <f>IFERROR(_xlfn.XLOOKUP($A69,CFR20242025_BenchMarkDataReport!$B:$B,CFR20242025_BenchMarkDataReport!BC:BC),0)</f>
        <v>24843.33</v>
      </c>
      <c r="AL69" s="289">
        <f>IFERROR(_xlfn.XLOOKUP($A69,CFR20242025_BenchMarkDataReport!$B:$B,CFR20242025_BenchMarkDataReport!BD:BD),0)</f>
        <v>4617.6000000000004</v>
      </c>
      <c r="AM69" s="289">
        <f>IFERROR(_xlfn.XLOOKUP($A69,CFR20242025_BenchMarkDataReport!$B:$B,CFR20242025_BenchMarkDataReport!BE:BE),0)</f>
        <v>7751.29</v>
      </c>
      <c r="AN69" s="289">
        <f>IFERROR(_xlfn.XLOOKUP($A69,CFR20242025_BenchMarkDataReport!$B:$B,CFR20242025_BenchMarkDataReport!BF:BF),0)</f>
        <v>42978.02</v>
      </c>
      <c r="AO69" s="289">
        <f>IFERROR(_xlfn.XLOOKUP($A69,CFR20242025_BenchMarkDataReport!$B:$B,CFR20242025_BenchMarkDataReport!BN:BN),0)</f>
        <v>39171.39</v>
      </c>
      <c r="AP69" s="289">
        <f>IFERROR(_xlfn.XLOOKUP($A69,CFR20242025_BenchMarkDataReport!$B:$B,CFR20242025_BenchMarkDataReport!BO:BO),0)</f>
        <v>0</v>
      </c>
      <c r="AQ69" s="289">
        <f>IFERROR(_xlfn.XLOOKUP($A69,CFR20242025_BenchMarkDataReport!$B:$B,CFR20242025_BenchMarkDataReport!BP:BP),0)</f>
        <v>2839.36</v>
      </c>
      <c r="AR69" s="289">
        <f>IFERROR(_xlfn.XLOOKUP($A69,CFR20242025_BenchMarkDataReport!$B:$B,CFR20242025_BenchMarkDataReport!BQ:BQ),0)</f>
        <v>2542.4</v>
      </c>
      <c r="AS69" s="289">
        <f>IFERROR(_xlfn.XLOOKUP($A69,CFR20242025_BenchMarkDataReport!$B:$B,CFR20242025_BenchMarkDataReport!BR:BR),0)</f>
        <v>12116.98</v>
      </c>
      <c r="AT69" s="289">
        <f>IFERROR(_xlfn.XLOOKUP($A69,CFR20242025_BenchMarkDataReport!$B:$B,CFR20242025_BenchMarkDataReport!BS:BS),0)</f>
        <v>58650.93</v>
      </c>
      <c r="AU69" s="289">
        <f>IFERROR(_xlfn.XLOOKUP($A69,CFR20242025_BenchMarkDataReport!$B:$B,CFR20242025_BenchMarkDataReport!BT:BT),0)</f>
        <v>0</v>
      </c>
      <c r="AV69" s="289">
        <f>IFERROR(_xlfn.XLOOKUP($A69,CFR20242025_BenchMarkDataReport!$B:$B,CFR20242025_BenchMarkDataReport!BU:BU),0)</f>
        <v>310798.71000000002</v>
      </c>
      <c r="AW69" s="289">
        <f>IFERROR(_xlfn.XLOOKUP($A69,CFR20242025_BenchMarkDataReport!$B:$B,CFR20242025_BenchMarkDataReport!BV:BV),0)</f>
        <v>24637.7</v>
      </c>
      <c r="AX69" s="289">
        <f>IFERROR(_xlfn.XLOOKUP($A69,CFR20242025_BenchMarkDataReport!$B:$B,CFR20242025_BenchMarkDataReport!BW:BW),0)</f>
        <v>4375.9799999999996</v>
      </c>
      <c r="AY69" s="289">
        <f>IFERROR(_xlfn.XLOOKUP($A69,CFR20242025_BenchMarkDataReport!$B:$B,CFR20242025_BenchMarkDataReport!BX:BX),0)</f>
        <v>0</v>
      </c>
      <c r="AZ69" s="289">
        <f>IFERROR(_xlfn.XLOOKUP($A69,CFR20242025_BenchMarkDataReport!$B:$B,CFR20242025_BenchMarkDataReport!BY:BY),0)</f>
        <v>0</v>
      </c>
      <c r="BA69" s="289">
        <f>IFERROR(_xlfn.XLOOKUP($A69,CFR20242025_BenchMarkDataReport!$B:$B,CFR20242025_BenchMarkDataReport!BZ:BZ),0)</f>
        <v>0</v>
      </c>
      <c r="BB69" s="289">
        <f>IFERROR(_xlfn.XLOOKUP($A69,CFR20242025_BenchMarkDataReport!$B:$B,CFR20242025_BenchMarkDataReport!CA:CA),0)</f>
        <v>0</v>
      </c>
      <c r="BC69" s="290">
        <f t="shared" ref="BC69:BC78" si="180">SUM(D69:R69)+U69</f>
        <v>1190290.7899999996</v>
      </c>
      <c r="BD69" s="291">
        <f t="shared" si="175"/>
        <v>1517819.6999999997</v>
      </c>
      <c r="BE69" s="327">
        <f t="shared" si="176"/>
        <v>-327528.91000000015</v>
      </c>
      <c r="BF69" s="289">
        <f>IFERROR(_xlfn.XLOOKUP(A69,CFR20242025_BenchMarkDataReport!B:B,CFR20242025_BenchMarkDataReport!Q:Q),0)</f>
        <v>-405109.03</v>
      </c>
      <c r="BG69" s="290">
        <f t="shared" si="177"/>
        <v>-732637.94000000018</v>
      </c>
      <c r="BH69" s="292">
        <f>_xlfn.XLOOKUP(A69,'Pupil on roll 24-25'!E:E,'Pupil on roll 24-25'!I:I)</f>
        <v>160</v>
      </c>
      <c r="BI69" s="291">
        <f t="shared" si="174"/>
        <v>1024864.6799999999</v>
      </c>
      <c r="BJ69" t="s">
        <v>190</v>
      </c>
      <c r="BK69" s="293">
        <f t="shared" ref="BK69:BK78" si="181">IFERROR(D69/BC69,0)</f>
        <v>0.76774943373291182</v>
      </c>
      <c r="BL69" s="294">
        <f t="shared" ref="BL69:BL78" si="182">D69/BH69</f>
        <v>5711.5317500000001</v>
      </c>
      <c r="BM69" s="295">
        <f t="shared" ref="BM69:BM78" si="183">E69/BC69</f>
        <v>0</v>
      </c>
      <c r="BN69" s="296">
        <f t="shared" ref="BN69:BN78" si="184">E69/BH69</f>
        <v>0</v>
      </c>
      <c r="BO69" s="293">
        <f t="shared" ref="BO69:BO78" si="185">F69/BC69</f>
        <v>9.3270989688158515E-2</v>
      </c>
      <c r="BP69" s="294">
        <f t="shared" ref="BP69:BP78" si="186">F69/BH69</f>
        <v>693.87250000000006</v>
      </c>
      <c r="BQ69" s="295">
        <f t="shared" ref="BQ69:BQ78" si="187">G69/BC69</f>
        <v>0</v>
      </c>
      <c r="BR69" s="296">
        <f t="shared" ref="BR69:BR78" si="188">G69/BH69</f>
        <v>0</v>
      </c>
      <c r="BS69" s="293">
        <f t="shared" ref="BS69:BS78" si="189">H69/BC69</f>
        <v>4.3191126430542251E-2</v>
      </c>
      <c r="BT69" s="294">
        <f t="shared" ref="BT69:BT78" si="190">H69/BH69</f>
        <v>321.3125</v>
      </c>
      <c r="BU69" s="295">
        <f t="shared" ref="BU69:BU78" si="191">I69/BC69</f>
        <v>0</v>
      </c>
      <c r="BV69" s="296">
        <f t="shared" ref="BV69:BV78" si="192">I69/BH69</f>
        <v>0</v>
      </c>
      <c r="BW69" s="293">
        <f t="shared" ref="BW69:BW78" si="193">J69/BC69</f>
        <v>3.937664677721317E-2</v>
      </c>
      <c r="BX69" s="294">
        <f t="shared" ref="BX69:BX78" si="194">J69/BH69</f>
        <v>292.93537500000002</v>
      </c>
      <c r="BY69" s="295">
        <f t="shared" ref="BY69:BY78" si="195">IFERROR((K69+L69)/BC69,0)</f>
        <v>7.0244515627983662E-3</v>
      </c>
      <c r="BZ69" s="297">
        <f t="shared" ref="BZ69:BZ78" si="196">IFERROR((K69+L69)/BH69,0)</f>
        <v>52.257124999999995</v>
      </c>
      <c r="CA69" s="298">
        <f t="shared" ref="CA69:CA78" si="197">P69/BC69</f>
        <v>1.1807728093065396E-2</v>
      </c>
      <c r="CB69" s="299">
        <f t="shared" ref="CB69:CB78" si="198">P69/BH69</f>
        <v>87.841437499999998</v>
      </c>
      <c r="CC69" s="295">
        <f t="shared" ref="CC69:CC78" si="199">Q69/BC69</f>
        <v>4.241946625496448E-3</v>
      </c>
      <c r="CD69" s="296">
        <f t="shared" ref="CD69:CD78" si="200">Q69/BH69</f>
        <v>31.557187499999998</v>
      </c>
      <c r="CE69" s="300">
        <f t="shared" ref="CE69:CE78" si="201">(V69+W69+AU69)/BI69</f>
        <v>0.60393007201692228</v>
      </c>
      <c r="CF69" s="298">
        <f t="shared" ref="CF69:CF78" si="202">(V69+W69+AU69)/BC69</f>
        <v>0.51999612632472791</v>
      </c>
      <c r="CG69" s="298">
        <f t="shared" ref="CG69:CG78" si="203">(V69+W69+AU69)/BD69</f>
        <v>0.40778664290626881</v>
      </c>
      <c r="CH69" s="299">
        <f t="shared" ref="CH69:CH78" si="204">(V69+W69+AU69)/BH69</f>
        <v>3868.4162499999998</v>
      </c>
      <c r="CI69" s="295">
        <f t="shared" ref="CI69:CI78" si="205">X69/BI69</f>
        <v>0.19586360415894127</v>
      </c>
      <c r="CJ69" s="301">
        <f t="shared" ref="CJ69:CJ78" si="206">X69/BC69</f>
        <v>0.16864256338570852</v>
      </c>
      <c r="CK69" s="301">
        <f t="shared" ref="CK69:CK78" si="207">X69/BD69</f>
        <v>0.13225134052483312</v>
      </c>
      <c r="CL69" s="302">
        <f t="shared" ref="CL69:CL78" si="208">X69/BH69</f>
        <v>1254.5855624999999</v>
      </c>
      <c r="CM69" s="300">
        <f t="shared" ref="CM69:CM78" si="209">Y69/BI69</f>
        <v>3.8104357347937878E-2</v>
      </c>
      <c r="CN69" s="298">
        <f t="shared" ref="CN69:CN78" si="210">Y69/BC69</f>
        <v>3.2808629897909246E-2</v>
      </c>
      <c r="CO69" s="298">
        <f t="shared" ref="CO69:CO78" si="211">Y69/BD69</f>
        <v>2.5728885980330869E-2</v>
      </c>
      <c r="CP69" s="299">
        <f t="shared" ref="CP69:CP78" si="212">Y69/BH69</f>
        <v>244.07381249999997</v>
      </c>
      <c r="CQ69" s="295">
        <f t="shared" ref="CQ69:CQ78" si="213">Z69/BI69</f>
        <v>5.0003420939435633E-2</v>
      </c>
      <c r="CR69" s="301">
        <f t="shared" ref="CR69:CR78" si="214">Z69/BC69</f>
        <v>4.3053966669774887E-2</v>
      </c>
      <c r="CS69" s="301">
        <f t="shared" ref="CS69:CS78" si="215">Z69/BD69</f>
        <v>3.3763391000920601E-2</v>
      </c>
      <c r="CT69" s="296">
        <f t="shared" ref="CT69:CT78" si="216">Z69/BH69</f>
        <v>320.292125</v>
      </c>
      <c r="CU69" s="300">
        <f t="shared" ref="CU69:CU78" si="217">(V69+W69+X69+Y69+Z69+AA69+AB69)/BI69</f>
        <v>0.91255090379346482</v>
      </c>
      <c r="CV69" s="298">
        <f t="shared" ref="CV69:CV78" si="218">(V69+W69+X69+Y69+Z69+AA69+AB69)/BC69</f>
        <v>0.78572496557752947</v>
      </c>
      <c r="CW69" s="298">
        <f t="shared" ref="CW69:CW78" si="219">(V69+W69+X69+Y69+Z69+AA69+AB69)/BD69</f>
        <v>0.61617410157477881</v>
      </c>
      <c r="CX69" s="299">
        <f t="shared" ref="CX69:CX78" si="220">(V69+W69+X69+Y69+Z69+AA69+AB69)/BH69</f>
        <v>5845.2574375000004</v>
      </c>
      <c r="CY69" s="295">
        <f t="shared" ref="CY69:CY78" si="221">AG69/BI69</f>
        <v>1.2880451690461222E-2</v>
      </c>
      <c r="CZ69" s="301">
        <f t="shared" ref="CZ69:CZ78" si="222">AG69/BD69</f>
        <v>8.6971594847530323E-3</v>
      </c>
      <c r="DA69" s="296">
        <f t="shared" ref="DA69:DA78" si="223">AG69/BH69</f>
        <v>82.504499999999993</v>
      </c>
      <c r="DB69" s="300">
        <f t="shared" ref="DB69:DB78" si="224">AJ69/BD69</f>
        <v>1.8857839307264235E-3</v>
      </c>
      <c r="DC69" s="299">
        <f t="shared" ref="DC69:DC78" si="225">AJ69/BH69</f>
        <v>17.889250000000001</v>
      </c>
      <c r="DD69" s="295">
        <f t="shared" ref="DD69:DD78" si="226">AK69/BI69</f>
        <v>2.4240595353525116E-2</v>
      </c>
      <c r="DE69" s="301">
        <f t="shared" ref="DE69:DE78" si="227">AK69/BD69</f>
        <v>1.6367774117044341E-2</v>
      </c>
      <c r="DF69" s="296">
        <f t="shared" ref="DF69:DF78" si="228">AK69/BH69</f>
        <v>155.27081250000001</v>
      </c>
      <c r="DG69" s="300">
        <f t="shared" ref="DG69:DG78" si="229">AM69/BI69</f>
        <v>7.5632326406252972E-3</v>
      </c>
      <c r="DH69" s="298">
        <f t="shared" ref="DH69:DH78" si="230">AM69/BD69</f>
        <v>5.1068582124741179E-3</v>
      </c>
      <c r="DI69" s="303">
        <f t="shared" ref="DI69:DI78" si="231">AM69/BH69</f>
        <v>48.445562500000001</v>
      </c>
      <c r="DJ69" s="295">
        <f t="shared" ref="DJ69:DJ78" si="232">AN69/BI69</f>
        <v>4.1935311889175458E-2</v>
      </c>
      <c r="DK69" s="301">
        <f t="shared" ref="DK69:DK78" si="233">AN69/BC69</f>
        <v>3.6107159999112494E-2</v>
      </c>
      <c r="DL69" s="301">
        <f t="shared" ref="DL69:DL78" si="234">AN69/BD69</f>
        <v>2.8315629320135986E-2</v>
      </c>
      <c r="DM69" s="296">
        <f t="shared" ref="DM69:DM78" si="235">AN69/BH69</f>
        <v>268.61262499999998</v>
      </c>
      <c r="DN69" s="300">
        <f t="shared" ref="DN69:DN78" si="236">AQ69/BI69</f>
        <v>2.7704730735768944E-3</v>
      </c>
      <c r="DO69" s="298">
        <f t="shared" ref="DO69:DO78" si="237">IFERROR(AQ69/BD69,0)</f>
        <v>1.8706833229269594E-3</v>
      </c>
      <c r="DP69" s="299">
        <f t="shared" ref="DP69:DP78" si="238">AQ69/BH69</f>
        <v>17.746000000000002</v>
      </c>
      <c r="DQ69" s="295">
        <f t="shared" ref="DQ69:DQ78" si="239">IFERROR(AV69/BI69,0)</f>
        <v>0.30325828967000801</v>
      </c>
      <c r="DR69" s="301">
        <f t="shared" ref="DR69:DR78" si="240">IFERROR(AV69/BD69,0)</f>
        <v>0.20476655428836513</v>
      </c>
      <c r="DS69" s="296">
        <f t="shared" ref="DS69:DS78" si="241">AV69/BH69</f>
        <v>1942.4919375000002</v>
      </c>
      <c r="DT69" s="300">
        <f t="shared" ref="DT69:DT78" si="242">AT69/BD69</f>
        <v>3.8641565925122731E-2</v>
      </c>
      <c r="DU69" s="299">
        <f t="shared" ref="DU69:DU78" si="243">AT69/BH69</f>
        <v>366.56831249999999</v>
      </c>
      <c r="DV69" s="295">
        <f t="shared" si="178"/>
        <v>1.5082496293861519E-2</v>
      </c>
      <c r="DW69" s="296">
        <f t="shared" si="179"/>
        <v>143.07818749999998</v>
      </c>
      <c r="DX69" s="295">
        <f t="shared" ref="DX69:DX78" si="244">EB69/BI69</f>
        <v>3.2199372896722331E-5</v>
      </c>
      <c r="DY69" s="301">
        <f t="shared" ref="DY69:DY78" si="245">EB69/BC69</f>
        <v>2.7724317685428796E-5</v>
      </c>
      <c r="DZ69" s="301">
        <f t="shared" ref="DZ69:DZ78" si="246">EB69/BD69</f>
        <v>2.1741712800275294E-5</v>
      </c>
      <c r="EA69" s="296">
        <f t="shared" ref="EA69:EA78" si="247">EB69/BH69</f>
        <v>0.20624999999999999</v>
      </c>
      <c r="EB69" s="304">
        <f>IFERROR(_xlfn.XLOOKUP(A69,'Pupil on roll 24-25'!E:E,'Pupil on roll 24-25'!R:R),0)</f>
        <v>33</v>
      </c>
      <c r="EC69" s="289">
        <f>IFERROR(_xlfn.XLOOKUP(A69,CFR20242025_BenchMarkDataReport!B:B,CFR20242025_BenchMarkDataReport!AK:AK),0)</f>
        <v>3723.13</v>
      </c>
      <c r="ED69" s="289">
        <f>IFERROR(_xlfn.XLOOKUP(A69,CFR20242025_BenchMarkDataReport!B:B,CFR20242025_BenchMarkDataReport!AL:AL),0)</f>
        <v>35172</v>
      </c>
    </row>
    <row r="70" spans="1:228">
      <c r="A70" s="208">
        <v>3506</v>
      </c>
      <c r="B70" s="326">
        <v>10096</v>
      </c>
      <c r="C70" s="208" t="s">
        <v>103</v>
      </c>
      <c r="D70" s="289">
        <f>IFERROR(_xlfn.XLOOKUP($A70,CFR20242025_BenchMarkDataReport!$B:$B,CFR20242025_BenchMarkDataReport!T:T),0)</f>
        <v>1625821.05</v>
      </c>
      <c r="E70" s="289">
        <f>IFERROR(_xlfn.XLOOKUP($A70,CFR20242025_BenchMarkDataReport!$B:$B,CFR20242025_BenchMarkDataReport!U:U),0)</f>
        <v>0</v>
      </c>
      <c r="F70" s="289">
        <f>IFERROR(_xlfn.XLOOKUP($A70,CFR20242025_BenchMarkDataReport!$B:$B,CFR20242025_BenchMarkDataReport!V:V),0)</f>
        <v>180658.44</v>
      </c>
      <c r="G70" s="289">
        <f>IFERROR(_xlfn.XLOOKUP($A70,CFR20242025_BenchMarkDataReport!$B:$B,CFR20242025_BenchMarkDataReport!W:W),0)</f>
        <v>0</v>
      </c>
      <c r="H70" s="289">
        <f>IFERROR(_xlfn.XLOOKUP($A70,CFR20242025_BenchMarkDataReport!$B:$B,CFR20242025_BenchMarkDataReport!X:X),0)</f>
        <v>41048</v>
      </c>
      <c r="I70" s="289">
        <f>IFERROR(_xlfn.XLOOKUP($A70,CFR20242025_BenchMarkDataReport!$B:$B,CFR20242025_BenchMarkDataReport!Y:Y),0)</f>
        <v>48893.42</v>
      </c>
      <c r="J70" s="289">
        <f>IFERROR(_xlfn.XLOOKUP($A70,CFR20242025_BenchMarkDataReport!$B:$B,CFR20242025_BenchMarkDataReport!Z:Z),0)</f>
        <v>85881.83</v>
      </c>
      <c r="K70" s="289">
        <f>IFERROR(_xlfn.XLOOKUP($A70,CFR20242025_BenchMarkDataReport!$B:$B,CFR20242025_BenchMarkDataReport!AA:AA),0)</f>
        <v>41076.9</v>
      </c>
      <c r="L70" s="289">
        <f>IFERROR(_xlfn.XLOOKUP($A70,CFR20242025_BenchMarkDataReport!$B:$B,CFR20242025_BenchMarkDataReport!AB:AB),0)</f>
        <v>46481.23</v>
      </c>
      <c r="M70" s="289">
        <f>IFERROR(_xlfn.XLOOKUP($A70,CFR20242025_BenchMarkDataReport!$B:$B,CFR20242025_BenchMarkDataReport!AC:AC),0)</f>
        <v>594.63</v>
      </c>
      <c r="N70" s="289">
        <f>IFERROR(_xlfn.XLOOKUP($A70,CFR20242025_BenchMarkDataReport!$B:$B,CFR20242025_BenchMarkDataReport!AD:AD),0)</f>
        <v>0</v>
      </c>
      <c r="O70" s="289">
        <f>IFERROR(_xlfn.XLOOKUP($A70,CFR20242025_BenchMarkDataReport!$B:$B,CFR20242025_BenchMarkDataReport!AE:AE),0)</f>
        <v>0</v>
      </c>
      <c r="P70" s="289">
        <f>IFERROR(_xlfn.XLOOKUP($A70,CFR20242025_BenchMarkDataReport!$B:$B,CFR20242025_BenchMarkDataReport!AF:AF),0)</f>
        <v>49317.09</v>
      </c>
      <c r="Q70" s="289">
        <f>IFERROR(_xlfn.XLOOKUP($A70,CFR20242025_BenchMarkDataReport!$B:$B,CFR20242025_BenchMarkDataReport!AG:AG),0)</f>
        <v>70852.09</v>
      </c>
      <c r="R70" s="289">
        <f>IFERROR(_xlfn.XLOOKUP($A70,CFR20242025_BenchMarkDataReport!$B:$B,CFR20242025_BenchMarkDataReport!AH:AH),0)</f>
        <v>0</v>
      </c>
      <c r="S70" s="289">
        <f>IFERROR(_xlfn.XLOOKUP($A70,CFR20242025_BenchMarkDataReport!$B:$B,CFR20242025_BenchMarkDataReport!AI:AI),0)</f>
        <v>0</v>
      </c>
      <c r="T70" s="289">
        <f>IFERROR(_xlfn.XLOOKUP($A70,CFR20242025_BenchMarkDataReport!$B:$B,CFR20242025_BenchMarkDataReport!AJ:AJ),0)</f>
        <v>0</v>
      </c>
      <c r="U70" s="289">
        <f>INDEX(CFR20242025_BenchMarkDataReport!$B$3:$AM$87,MATCH(A70,CFR20242025_BenchMarkDataReport!$B$3:$B$87),MATCH($U$2,CFR20242025_BenchMarkDataReport!$B$3:$AM$3,0))</f>
        <v>54640.13</v>
      </c>
      <c r="V70" s="289">
        <f>IFERROR(_xlfn.XLOOKUP($A70,CFR20242025_BenchMarkDataReport!$B:$B,CFR20242025_BenchMarkDataReport!AN:AN),0)</f>
        <v>941112.24</v>
      </c>
      <c r="W70" s="289">
        <f>IFERROR(_xlfn.XLOOKUP($A70,CFR20242025_BenchMarkDataReport!$B:$B,CFR20242025_BenchMarkDataReport!AO:AO),0)</f>
        <v>2281.65</v>
      </c>
      <c r="X70" s="289">
        <f>IFERROR(_xlfn.XLOOKUP($A70,CFR20242025_BenchMarkDataReport!$B:$B,CFR20242025_BenchMarkDataReport!AP:AP),0)</f>
        <v>502416.75</v>
      </c>
      <c r="Y70" s="289">
        <f>IFERROR(_xlfn.XLOOKUP($A70,CFR20242025_BenchMarkDataReport!$B:$B,CFR20242025_BenchMarkDataReport!AQ:AQ),0)</f>
        <v>80766.42</v>
      </c>
      <c r="Z70" s="289">
        <f>IFERROR(_xlfn.XLOOKUP($A70,CFR20242025_BenchMarkDataReport!$B:$B,CFR20242025_BenchMarkDataReport!AR:AR),0)</f>
        <v>79989.5</v>
      </c>
      <c r="AA70" s="289">
        <f>IFERROR(_xlfn.XLOOKUP($A70,CFR20242025_BenchMarkDataReport!$B:$B,CFR20242025_BenchMarkDataReport!AS:AS),0)</f>
        <v>0</v>
      </c>
      <c r="AB70" s="289">
        <f>IFERROR(_xlfn.XLOOKUP($A70,CFR20242025_BenchMarkDataReport!$B:$B,CFR20242025_BenchMarkDataReport!AT:AT),0)</f>
        <v>0</v>
      </c>
      <c r="AC70" s="289">
        <f>IFERROR(_xlfn.XLOOKUP($A70,CFR20242025_BenchMarkDataReport!$B:$B,CFR20242025_BenchMarkDataReport!AU:AU),0)</f>
        <v>2517.56</v>
      </c>
      <c r="AD70" s="289">
        <f>IFERROR(_xlfn.XLOOKUP($A70,CFR20242025_BenchMarkDataReport!$B:$B,CFR20242025_BenchMarkDataReport!AV:AV),0)</f>
        <v>3812.67</v>
      </c>
      <c r="AE70" s="289">
        <f>IFERROR(_xlfn.XLOOKUP($A70,CFR20242025_BenchMarkDataReport!$B:$B,CFR20242025_BenchMarkDataReport!AW:AW),0)</f>
        <v>466.46</v>
      </c>
      <c r="AF70" s="289">
        <f>IFERROR(_xlfn.XLOOKUP($A70,CFR20242025_BenchMarkDataReport!$B:$B,CFR20242025_BenchMarkDataReport!AX:AX),0)</f>
        <v>0</v>
      </c>
      <c r="AG70" s="289">
        <f>IFERROR(_xlfn.XLOOKUP($A70,CFR20242025_BenchMarkDataReport!$B:$B,CFR20242025_BenchMarkDataReport!AY:AY),0)</f>
        <v>64475.95</v>
      </c>
      <c r="AH70" s="289">
        <f>IFERROR(_xlfn.XLOOKUP($A70,CFR20242025_BenchMarkDataReport!$B:$B,CFR20242025_BenchMarkDataReport!AZ:AZ),0)</f>
        <v>7169</v>
      </c>
      <c r="AI70" s="289">
        <f>IFERROR(_xlfn.XLOOKUP($A70,CFR20242025_BenchMarkDataReport!$B:$B,CFR20242025_BenchMarkDataReport!BA:BA),0)</f>
        <v>7195.93</v>
      </c>
      <c r="AJ70" s="289">
        <f>IFERROR(_xlfn.XLOOKUP($A70,CFR20242025_BenchMarkDataReport!$B:$B,CFR20242025_BenchMarkDataReport!BB:BB),0)</f>
        <v>4602.7299999999996</v>
      </c>
      <c r="AK70" s="289">
        <f>IFERROR(_xlfn.XLOOKUP($A70,CFR20242025_BenchMarkDataReport!$B:$B,CFR20242025_BenchMarkDataReport!BC:BC),0)</f>
        <v>35262.370000000003</v>
      </c>
      <c r="AL70" s="289">
        <f>IFERROR(_xlfn.XLOOKUP($A70,CFR20242025_BenchMarkDataReport!$B:$B,CFR20242025_BenchMarkDataReport!BD:BD),0)</f>
        <v>4243.2</v>
      </c>
      <c r="AM70" s="289">
        <f>IFERROR(_xlfn.XLOOKUP($A70,CFR20242025_BenchMarkDataReport!$B:$B,CFR20242025_BenchMarkDataReport!BE:BE),0)</f>
        <v>10768.27</v>
      </c>
      <c r="AN70" s="289">
        <f>IFERROR(_xlfn.XLOOKUP($A70,CFR20242025_BenchMarkDataReport!$B:$B,CFR20242025_BenchMarkDataReport!BF:BF),0)</f>
        <v>75411.740000000005</v>
      </c>
      <c r="AO70" s="289">
        <f>IFERROR(_xlfn.XLOOKUP($A70,CFR20242025_BenchMarkDataReport!$B:$B,CFR20242025_BenchMarkDataReport!BN:BN),0)</f>
        <v>35022.410000000003</v>
      </c>
      <c r="AP70" s="289">
        <f>IFERROR(_xlfn.XLOOKUP($A70,CFR20242025_BenchMarkDataReport!$B:$B,CFR20242025_BenchMarkDataReport!BO:BO),0)</f>
        <v>0</v>
      </c>
      <c r="AQ70" s="289">
        <f>IFERROR(_xlfn.XLOOKUP($A70,CFR20242025_BenchMarkDataReport!$B:$B,CFR20242025_BenchMarkDataReport!BP:BP),0)</f>
        <v>1225.18</v>
      </c>
      <c r="AR70" s="289">
        <f>IFERROR(_xlfn.XLOOKUP($A70,CFR20242025_BenchMarkDataReport!$B:$B,CFR20242025_BenchMarkDataReport!BQ:BQ),0)</f>
        <v>11490.09</v>
      </c>
      <c r="AS70" s="289">
        <f>IFERROR(_xlfn.XLOOKUP($A70,CFR20242025_BenchMarkDataReport!$B:$B,CFR20242025_BenchMarkDataReport!BR:BR),0)</f>
        <v>19017.3</v>
      </c>
      <c r="AT70" s="289">
        <f>IFERROR(_xlfn.XLOOKUP($A70,CFR20242025_BenchMarkDataReport!$B:$B,CFR20242025_BenchMarkDataReport!BS:BS),0)</f>
        <v>98807.86</v>
      </c>
      <c r="AU70" s="289">
        <f>IFERROR(_xlfn.XLOOKUP($A70,CFR20242025_BenchMarkDataReport!$B:$B,CFR20242025_BenchMarkDataReport!BT:BT),0)</f>
        <v>42245.5</v>
      </c>
      <c r="AV70" s="289">
        <f>IFERROR(_xlfn.XLOOKUP($A70,CFR20242025_BenchMarkDataReport!$B:$B,CFR20242025_BenchMarkDataReport!BU:BU),0)</f>
        <v>67215.11</v>
      </c>
      <c r="AW70" s="289">
        <f>IFERROR(_xlfn.XLOOKUP($A70,CFR20242025_BenchMarkDataReport!$B:$B,CFR20242025_BenchMarkDataReport!BV:BV),0)</f>
        <v>42040.89</v>
      </c>
      <c r="AX70" s="289">
        <f>IFERROR(_xlfn.XLOOKUP($A70,CFR20242025_BenchMarkDataReport!$B:$B,CFR20242025_BenchMarkDataReport!BW:BW),0)</f>
        <v>0</v>
      </c>
      <c r="AY70" s="289">
        <f>IFERROR(_xlfn.XLOOKUP($A70,CFR20242025_BenchMarkDataReport!$B:$B,CFR20242025_BenchMarkDataReport!BX:BX),0)</f>
        <v>0</v>
      </c>
      <c r="AZ70" s="289">
        <f>IFERROR(_xlfn.XLOOKUP($A70,CFR20242025_BenchMarkDataReport!$B:$B,CFR20242025_BenchMarkDataReport!BY:BY),0)</f>
        <v>0</v>
      </c>
      <c r="BA70" s="289">
        <f>IFERROR(_xlfn.XLOOKUP($A70,CFR20242025_BenchMarkDataReport!$B:$B,CFR20242025_BenchMarkDataReport!BZ:BZ),0)</f>
        <v>0</v>
      </c>
      <c r="BB70" s="289">
        <f>IFERROR(_xlfn.XLOOKUP($A70,CFR20242025_BenchMarkDataReport!$B:$B,CFR20242025_BenchMarkDataReport!CA:CA),0)</f>
        <v>0</v>
      </c>
      <c r="BC70" s="290">
        <f t="shared" si="180"/>
        <v>2245264.8099999996</v>
      </c>
      <c r="BD70" s="291">
        <f t="shared" si="175"/>
        <v>2139556.7800000003</v>
      </c>
      <c r="BE70" s="327">
        <f t="shared" si="176"/>
        <v>105708.02999999933</v>
      </c>
      <c r="BF70" s="289">
        <f>IFERROR(_xlfn.XLOOKUP(A70,CFR20242025_BenchMarkDataReport!B:B,CFR20242025_BenchMarkDataReport!Q:Q),0)</f>
        <v>-16156.03</v>
      </c>
      <c r="BG70" s="290">
        <f t="shared" si="177"/>
        <v>89551.999999999331</v>
      </c>
      <c r="BH70" s="292">
        <f>_xlfn.XLOOKUP(A70,'Pupil on roll 24-25'!E:E,'Pupil on roll 24-25'!I:I)</f>
        <v>281</v>
      </c>
      <c r="BI70" s="291">
        <f t="shared" si="174"/>
        <v>1806479.49</v>
      </c>
      <c r="BJ70" t="s">
        <v>190</v>
      </c>
      <c r="BK70" s="293">
        <f t="shared" si="181"/>
        <v>0.72411104594829523</v>
      </c>
      <c r="BL70" s="294">
        <f t="shared" si="182"/>
        <v>5785.840035587189</v>
      </c>
      <c r="BM70" s="295">
        <f t="shared" si="183"/>
        <v>0</v>
      </c>
      <c r="BN70" s="296">
        <f t="shared" si="184"/>
        <v>0</v>
      </c>
      <c r="BO70" s="293">
        <f t="shared" si="185"/>
        <v>8.0461974549897314E-2</v>
      </c>
      <c r="BP70" s="294">
        <f t="shared" si="186"/>
        <v>642.91259786476871</v>
      </c>
      <c r="BQ70" s="295">
        <f t="shared" si="187"/>
        <v>0</v>
      </c>
      <c r="BR70" s="296">
        <f t="shared" si="188"/>
        <v>0</v>
      </c>
      <c r="BS70" s="293">
        <f t="shared" si="189"/>
        <v>1.8282030617136874E-2</v>
      </c>
      <c r="BT70" s="294">
        <f t="shared" si="190"/>
        <v>146.07829181494662</v>
      </c>
      <c r="BU70" s="295">
        <f t="shared" si="191"/>
        <v>2.1776237610030509E-2</v>
      </c>
      <c r="BV70" s="296">
        <f t="shared" si="192"/>
        <v>173.9979359430605</v>
      </c>
      <c r="BW70" s="293">
        <f t="shared" si="193"/>
        <v>3.8250200874969408E-2</v>
      </c>
      <c r="BX70" s="294">
        <f t="shared" si="194"/>
        <v>305.62928825622777</v>
      </c>
      <c r="BY70" s="295">
        <f t="shared" si="195"/>
        <v>3.8996794324674788E-2</v>
      </c>
      <c r="BZ70" s="297">
        <f t="shared" si="196"/>
        <v>311.59476868327403</v>
      </c>
      <c r="CA70" s="298">
        <f t="shared" si="197"/>
        <v>2.1964932501658905E-2</v>
      </c>
      <c r="CB70" s="299">
        <f t="shared" si="198"/>
        <v>175.50565836298932</v>
      </c>
      <c r="CC70" s="295">
        <f t="shared" si="199"/>
        <v>3.155622877285464E-2</v>
      </c>
      <c r="CD70" s="296">
        <f t="shared" si="200"/>
        <v>252.14266903914589</v>
      </c>
      <c r="CE70" s="300">
        <f t="shared" si="201"/>
        <v>0.54561338529229575</v>
      </c>
      <c r="CF70" s="298">
        <f t="shared" si="202"/>
        <v>0.4389858094288665</v>
      </c>
      <c r="CG70" s="298">
        <f t="shared" si="203"/>
        <v>0.46067456550510422</v>
      </c>
      <c r="CH70" s="299">
        <f t="shared" si="204"/>
        <v>3507.6134875444841</v>
      </c>
      <c r="CI70" s="295">
        <f t="shared" si="205"/>
        <v>0.27811926610913251</v>
      </c>
      <c r="CJ70" s="301">
        <f t="shared" si="206"/>
        <v>0.22376725799216535</v>
      </c>
      <c r="CK70" s="301">
        <f t="shared" si="207"/>
        <v>0.23482281690135839</v>
      </c>
      <c r="CL70" s="302">
        <f t="shared" si="208"/>
        <v>1787.9599644128114</v>
      </c>
      <c r="CM70" s="300">
        <f t="shared" si="209"/>
        <v>4.4709292547794162E-2</v>
      </c>
      <c r="CN70" s="298">
        <f t="shared" si="210"/>
        <v>3.5971890549516078E-2</v>
      </c>
      <c r="CO70" s="298">
        <f t="shared" si="211"/>
        <v>3.7749136061722088E-2</v>
      </c>
      <c r="CP70" s="299">
        <f t="shared" si="212"/>
        <v>287.42498220640567</v>
      </c>
      <c r="CQ70" s="295">
        <f t="shared" si="213"/>
        <v>4.4279218470396252E-2</v>
      </c>
      <c r="CR70" s="301">
        <f t="shared" si="214"/>
        <v>3.5625864550026067E-2</v>
      </c>
      <c r="CS70" s="301">
        <f t="shared" si="215"/>
        <v>3.7386014125785433E-2</v>
      </c>
      <c r="CT70" s="296">
        <f t="shared" si="216"/>
        <v>284.66014234875445</v>
      </c>
      <c r="CU70" s="300">
        <f t="shared" si="217"/>
        <v>0.88933562151873646</v>
      </c>
      <c r="CV70" s="298">
        <f t="shared" si="218"/>
        <v>0.71553544724196716</v>
      </c>
      <c r="CW70" s="298">
        <f t="shared" si="219"/>
        <v>0.7508875553188169</v>
      </c>
      <c r="CX70" s="299">
        <f t="shared" si="220"/>
        <v>5717.3187188612101</v>
      </c>
      <c r="CY70" s="295">
        <f t="shared" si="221"/>
        <v>3.5691492960155335E-2</v>
      </c>
      <c r="CZ70" s="301">
        <f t="shared" si="222"/>
        <v>3.0135189962100465E-2</v>
      </c>
      <c r="DA70" s="296">
        <f t="shared" si="223"/>
        <v>229.45177935943059</v>
      </c>
      <c r="DB70" s="300">
        <f t="shared" si="224"/>
        <v>2.1512539620472232E-3</v>
      </c>
      <c r="DC70" s="299">
        <f t="shared" si="225"/>
        <v>16.379822064056938</v>
      </c>
      <c r="DD70" s="295">
        <f t="shared" si="226"/>
        <v>1.9519939304708078E-2</v>
      </c>
      <c r="DE70" s="301">
        <f t="shared" si="227"/>
        <v>1.6481156438390945E-2</v>
      </c>
      <c r="DF70" s="296">
        <f t="shared" si="228"/>
        <v>125.48886120996443</v>
      </c>
      <c r="DG70" s="300">
        <f t="shared" si="229"/>
        <v>5.9609146185213542E-3</v>
      </c>
      <c r="DH70" s="298">
        <f t="shared" si="230"/>
        <v>5.0329442530616083E-3</v>
      </c>
      <c r="DI70" s="303">
        <f t="shared" si="231"/>
        <v>38.321245551601422</v>
      </c>
      <c r="DJ70" s="295">
        <f t="shared" si="232"/>
        <v>4.1745140433340877E-2</v>
      </c>
      <c r="DK70" s="301">
        <f t="shared" si="233"/>
        <v>3.3587013729574296E-2</v>
      </c>
      <c r="DL70" s="301">
        <f t="shared" si="234"/>
        <v>3.5246430805168906E-2</v>
      </c>
      <c r="DM70" s="296">
        <f t="shared" si="235"/>
        <v>268.36918149466192</v>
      </c>
      <c r="DN70" s="300">
        <f t="shared" si="236"/>
        <v>6.7821417668019034E-4</v>
      </c>
      <c r="DO70" s="298">
        <f t="shared" si="237"/>
        <v>5.7263261786396713E-4</v>
      </c>
      <c r="DP70" s="299">
        <f t="shared" si="238"/>
        <v>4.3600711743772242</v>
      </c>
      <c r="DQ70" s="295">
        <f t="shared" si="239"/>
        <v>3.7207790274995038E-2</v>
      </c>
      <c r="DR70" s="301">
        <f t="shared" si="240"/>
        <v>3.1415436425108564E-2</v>
      </c>
      <c r="DS70" s="296">
        <f t="shared" si="241"/>
        <v>239.19967971530249</v>
      </c>
      <c r="DT70" s="300">
        <f t="shared" si="242"/>
        <v>4.6181461938112241E-2</v>
      </c>
      <c r="DU70" s="299">
        <f t="shared" si="243"/>
        <v>351.62939501779357</v>
      </c>
      <c r="DV70" s="295">
        <f t="shared" si="178"/>
        <v>3.3632806884423974E-3</v>
      </c>
      <c r="DW70" s="296">
        <f t="shared" si="179"/>
        <v>25.608291814946622</v>
      </c>
      <c r="DX70" s="295">
        <f t="shared" si="244"/>
        <v>1.4392635036227287E-5</v>
      </c>
      <c r="DY70" s="301">
        <f t="shared" si="245"/>
        <v>1.15799258440255E-5</v>
      </c>
      <c r="DZ70" s="301">
        <f t="shared" si="246"/>
        <v>1.2152049547383359E-5</v>
      </c>
      <c r="EA70" s="296">
        <f t="shared" si="247"/>
        <v>9.2526690391459068E-2</v>
      </c>
      <c r="EB70" s="304">
        <f>IFERROR(_xlfn.XLOOKUP(A70,'Pupil on roll 24-25'!E:E,'Pupil on roll 24-25'!R:R),0)</f>
        <v>26</v>
      </c>
      <c r="EC70" s="289">
        <f>IFERROR(_xlfn.XLOOKUP(A70,CFR20242025_BenchMarkDataReport!B:B,CFR20242025_BenchMarkDataReport!AK:AK),0)</f>
        <v>2073.13</v>
      </c>
      <c r="ED70" s="289">
        <f>IFERROR(_xlfn.XLOOKUP(A70,CFR20242025_BenchMarkDataReport!B:B,CFR20242025_BenchMarkDataReport!AL:AL),0)</f>
        <v>52567</v>
      </c>
    </row>
    <row r="71" spans="1:228">
      <c r="A71" s="208">
        <v>2070</v>
      </c>
      <c r="B71" s="326">
        <v>10097</v>
      </c>
      <c r="C71" s="208" t="s">
        <v>105</v>
      </c>
      <c r="D71" s="289">
        <f>IFERROR(_xlfn.XLOOKUP($A71,CFR20242025_BenchMarkDataReport!$B:$B,CFR20242025_BenchMarkDataReport!T:T),0)</f>
        <v>1566110.08</v>
      </c>
      <c r="E71" s="289">
        <f>IFERROR(_xlfn.XLOOKUP($A71,CFR20242025_BenchMarkDataReport!$B:$B,CFR20242025_BenchMarkDataReport!U:U),0)</f>
        <v>0</v>
      </c>
      <c r="F71" s="289">
        <f>IFERROR(_xlfn.XLOOKUP($A71,CFR20242025_BenchMarkDataReport!$B:$B,CFR20242025_BenchMarkDataReport!V:V),0)</f>
        <v>126479.7</v>
      </c>
      <c r="G71" s="289">
        <f>IFERROR(_xlfn.XLOOKUP($A71,CFR20242025_BenchMarkDataReport!$B:$B,CFR20242025_BenchMarkDataReport!W:W),0)</f>
        <v>0</v>
      </c>
      <c r="H71" s="289">
        <f>IFERROR(_xlfn.XLOOKUP($A71,CFR20242025_BenchMarkDataReport!$B:$B,CFR20242025_BenchMarkDataReport!X:X),0)</f>
        <v>94720</v>
      </c>
      <c r="I71" s="289">
        <f>IFERROR(_xlfn.XLOOKUP($A71,CFR20242025_BenchMarkDataReport!$B:$B,CFR20242025_BenchMarkDataReport!Y:Y),0)</f>
        <v>8513</v>
      </c>
      <c r="J71" s="289">
        <f>IFERROR(_xlfn.XLOOKUP($A71,CFR20242025_BenchMarkDataReport!$B:$B,CFR20242025_BenchMarkDataReport!Z:Z),0)</f>
        <v>40494.47</v>
      </c>
      <c r="K71" s="289">
        <f>IFERROR(_xlfn.XLOOKUP($A71,CFR20242025_BenchMarkDataReport!$B:$B,CFR20242025_BenchMarkDataReport!AA:AA),0)</f>
        <v>0</v>
      </c>
      <c r="L71" s="289">
        <f>IFERROR(_xlfn.XLOOKUP($A71,CFR20242025_BenchMarkDataReport!$B:$B,CFR20242025_BenchMarkDataReport!AB:AB),0)</f>
        <v>13583.45</v>
      </c>
      <c r="M71" s="289">
        <f>IFERROR(_xlfn.XLOOKUP($A71,CFR20242025_BenchMarkDataReport!$B:$B,CFR20242025_BenchMarkDataReport!AC:AC),0)</f>
        <v>21423.45</v>
      </c>
      <c r="N71" s="289">
        <f>IFERROR(_xlfn.XLOOKUP($A71,CFR20242025_BenchMarkDataReport!$B:$B,CFR20242025_BenchMarkDataReport!AD:AD),0)</f>
        <v>2078.2600000000002</v>
      </c>
      <c r="O71" s="289">
        <f>IFERROR(_xlfn.XLOOKUP($A71,CFR20242025_BenchMarkDataReport!$B:$B,CFR20242025_BenchMarkDataReport!AE:AE),0)</f>
        <v>0</v>
      </c>
      <c r="P71" s="289">
        <f>IFERROR(_xlfn.XLOOKUP($A71,CFR20242025_BenchMarkDataReport!$B:$B,CFR20242025_BenchMarkDataReport!AF:AF),0)</f>
        <v>31986</v>
      </c>
      <c r="Q71" s="289">
        <f>IFERROR(_xlfn.XLOOKUP($A71,CFR20242025_BenchMarkDataReport!$B:$B,CFR20242025_BenchMarkDataReport!AG:AG),0)</f>
        <v>18946.36</v>
      </c>
      <c r="R71" s="289">
        <f>IFERROR(_xlfn.XLOOKUP($A71,CFR20242025_BenchMarkDataReport!$B:$B,CFR20242025_BenchMarkDataReport!AH:AH),0)</f>
        <v>0</v>
      </c>
      <c r="S71" s="289">
        <f>IFERROR(_xlfn.XLOOKUP($A71,CFR20242025_BenchMarkDataReport!$B:$B,CFR20242025_BenchMarkDataReport!AI:AI),0)</f>
        <v>0</v>
      </c>
      <c r="T71" s="289">
        <f>IFERROR(_xlfn.XLOOKUP($A71,CFR20242025_BenchMarkDataReport!$B:$B,CFR20242025_BenchMarkDataReport!AJ:AJ),0)</f>
        <v>0</v>
      </c>
      <c r="U71" s="289">
        <f>INDEX(CFR20242025_BenchMarkDataReport!$B$3:$AM$87,MATCH(A71,CFR20242025_BenchMarkDataReport!$B$3:$B$87),MATCH($U$2,CFR20242025_BenchMarkDataReport!$B$3:$AM$3,0))</f>
        <v>56186.63</v>
      </c>
      <c r="V71" s="289">
        <f>IFERROR(_xlfn.XLOOKUP($A71,CFR20242025_BenchMarkDataReport!$B:$B,CFR20242025_BenchMarkDataReport!AN:AN),0)</f>
        <v>950787.68</v>
      </c>
      <c r="W71" s="289">
        <f>IFERROR(_xlfn.XLOOKUP($A71,CFR20242025_BenchMarkDataReport!$B:$B,CFR20242025_BenchMarkDataReport!AO:AO),0)</f>
        <v>0</v>
      </c>
      <c r="X71" s="289">
        <f>IFERROR(_xlfn.XLOOKUP($A71,CFR20242025_BenchMarkDataReport!$B:$B,CFR20242025_BenchMarkDataReport!AP:AP),0)</f>
        <v>319154.75</v>
      </c>
      <c r="Y71" s="289">
        <f>IFERROR(_xlfn.XLOOKUP($A71,CFR20242025_BenchMarkDataReport!$B:$B,CFR20242025_BenchMarkDataReport!AQ:AQ),0)</f>
        <v>66404.100000000006</v>
      </c>
      <c r="Z71" s="289">
        <f>IFERROR(_xlfn.XLOOKUP($A71,CFR20242025_BenchMarkDataReport!$B:$B,CFR20242025_BenchMarkDataReport!AR:AR),0)</f>
        <v>97408.05</v>
      </c>
      <c r="AA71" s="289">
        <f>IFERROR(_xlfn.XLOOKUP($A71,CFR20242025_BenchMarkDataReport!$B:$B,CFR20242025_BenchMarkDataReport!AS:AS),0)</f>
        <v>0</v>
      </c>
      <c r="AB71" s="289">
        <f>IFERROR(_xlfn.XLOOKUP($A71,CFR20242025_BenchMarkDataReport!$B:$B,CFR20242025_BenchMarkDataReport!AT:AT),0)</f>
        <v>36330.9</v>
      </c>
      <c r="AC71" s="289">
        <f>IFERROR(_xlfn.XLOOKUP($A71,CFR20242025_BenchMarkDataReport!$B:$B,CFR20242025_BenchMarkDataReport!AU:AU),0)</f>
        <v>9394.5499999999993</v>
      </c>
      <c r="AD71" s="289">
        <f>IFERROR(_xlfn.XLOOKUP($A71,CFR20242025_BenchMarkDataReport!$B:$B,CFR20242025_BenchMarkDataReport!AV:AV),0)</f>
        <v>3846.72</v>
      </c>
      <c r="AE71" s="289">
        <f>IFERROR(_xlfn.XLOOKUP($A71,CFR20242025_BenchMarkDataReport!$B:$B,CFR20242025_BenchMarkDataReport!AW:AW),0)</f>
        <v>350.26</v>
      </c>
      <c r="AF71" s="289">
        <f>IFERROR(_xlfn.XLOOKUP($A71,CFR20242025_BenchMarkDataReport!$B:$B,CFR20242025_BenchMarkDataReport!AX:AX),0)</f>
        <v>0</v>
      </c>
      <c r="AG71" s="289">
        <f>IFERROR(_xlfn.XLOOKUP($A71,CFR20242025_BenchMarkDataReport!$B:$B,CFR20242025_BenchMarkDataReport!AY:AY),0)</f>
        <v>29434.639999999999</v>
      </c>
      <c r="AH71" s="289">
        <f>IFERROR(_xlfn.XLOOKUP($A71,CFR20242025_BenchMarkDataReport!$B:$B,CFR20242025_BenchMarkDataReport!AZ:AZ),0)</f>
        <v>5521.98</v>
      </c>
      <c r="AI71" s="289">
        <f>IFERROR(_xlfn.XLOOKUP($A71,CFR20242025_BenchMarkDataReport!$B:$B,CFR20242025_BenchMarkDataReport!BA:BA),0)</f>
        <v>7943.25</v>
      </c>
      <c r="AJ71" s="289">
        <f>IFERROR(_xlfn.XLOOKUP($A71,CFR20242025_BenchMarkDataReport!$B:$B,CFR20242025_BenchMarkDataReport!BB:BB),0)</f>
        <v>4483.7</v>
      </c>
      <c r="AK71" s="289">
        <f>IFERROR(_xlfn.XLOOKUP($A71,CFR20242025_BenchMarkDataReport!$B:$B,CFR20242025_BenchMarkDataReport!BC:BC),0)</f>
        <v>22698.99</v>
      </c>
      <c r="AL71" s="289">
        <f>IFERROR(_xlfn.XLOOKUP($A71,CFR20242025_BenchMarkDataReport!$B:$B,CFR20242025_BenchMarkDataReport!BD:BD),0)</f>
        <v>30239.4</v>
      </c>
      <c r="AM71" s="289">
        <f>IFERROR(_xlfn.XLOOKUP($A71,CFR20242025_BenchMarkDataReport!$B:$B,CFR20242025_BenchMarkDataReport!BE:BE),0)</f>
        <v>9877.08</v>
      </c>
      <c r="AN71" s="289">
        <f>IFERROR(_xlfn.XLOOKUP($A71,CFR20242025_BenchMarkDataReport!$B:$B,CFR20242025_BenchMarkDataReport!BF:BF),0)</f>
        <v>71759.820000000007</v>
      </c>
      <c r="AO71" s="289">
        <f>IFERROR(_xlfn.XLOOKUP($A71,CFR20242025_BenchMarkDataReport!$B:$B,CFR20242025_BenchMarkDataReport!BN:BN),0)</f>
        <v>28536.210000000003</v>
      </c>
      <c r="AP71" s="289">
        <f>IFERROR(_xlfn.XLOOKUP($A71,CFR20242025_BenchMarkDataReport!$B:$B,CFR20242025_BenchMarkDataReport!BO:BO),0)</f>
        <v>0</v>
      </c>
      <c r="AQ71" s="289">
        <f>IFERROR(_xlfn.XLOOKUP($A71,CFR20242025_BenchMarkDataReport!$B:$B,CFR20242025_BenchMarkDataReport!BP:BP),0)</f>
        <v>9188.2900000000009</v>
      </c>
      <c r="AR71" s="289">
        <f>IFERROR(_xlfn.XLOOKUP($A71,CFR20242025_BenchMarkDataReport!$B:$B,CFR20242025_BenchMarkDataReport!BQ:BQ),0)</f>
        <v>7960.79</v>
      </c>
      <c r="AS71" s="289">
        <f>IFERROR(_xlfn.XLOOKUP($A71,CFR20242025_BenchMarkDataReport!$B:$B,CFR20242025_BenchMarkDataReport!BR:BR),0)</f>
        <v>8348.0300000000007</v>
      </c>
      <c r="AT71" s="289">
        <f>IFERROR(_xlfn.XLOOKUP($A71,CFR20242025_BenchMarkDataReport!$B:$B,CFR20242025_BenchMarkDataReport!BS:BS),0)</f>
        <v>87799.12</v>
      </c>
      <c r="AU71" s="289">
        <f>IFERROR(_xlfn.XLOOKUP($A71,CFR20242025_BenchMarkDataReport!$B:$B,CFR20242025_BenchMarkDataReport!BT:BT),0)</f>
        <v>9167.48</v>
      </c>
      <c r="AV71" s="289">
        <f>IFERROR(_xlfn.XLOOKUP($A71,CFR20242025_BenchMarkDataReport!$B:$B,CFR20242025_BenchMarkDataReport!BU:BU),0)</f>
        <v>32745.01</v>
      </c>
      <c r="AW71" s="289">
        <f>IFERROR(_xlfn.XLOOKUP($A71,CFR20242025_BenchMarkDataReport!$B:$B,CFR20242025_BenchMarkDataReport!BV:BV),0)</f>
        <v>27625.69</v>
      </c>
      <c r="AX71" s="289">
        <f>IFERROR(_xlfn.XLOOKUP($A71,CFR20242025_BenchMarkDataReport!$B:$B,CFR20242025_BenchMarkDataReport!BW:BW),0)</f>
        <v>0</v>
      </c>
      <c r="AY71" s="289">
        <f>IFERROR(_xlfn.XLOOKUP($A71,CFR20242025_BenchMarkDataReport!$B:$B,CFR20242025_BenchMarkDataReport!BX:BX),0)</f>
        <v>0</v>
      </c>
      <c r="AZ71" s="289">
        <f>IFERROR(_xlfn.XLOOKUP($A71,CFR20242025_BenchMarkDataReport!$B:$B,CFR20242025_BenchMarkDataReport!BY:BY),0)</f>
        <v>87431</v>
      </c>
      <c r="BA71" s="289">
        <f>IFERROR(_xlfn.XLOOKUP($A71,CFR20242025_BenchMarkDataReport!$B:$B,CFR20242025_BenchMarkDataReport!BZ:BZ),0)</f>
        <v>0</v>
      </c>
      <c r="BB71" s="289">
        <f>IFERROR(_xlfn.XLOOKUP($A71,CFR20242025_BenchMarkDataReport!$B:$B,CFR20242025_BenchMarkDataReport!CA:CA),0)</f>
        <v>0</v>
      </c>
      <c r="BC71" s="290">
        <f t="shared" si="180"/>
        <v>1980521.4</v>
      </c>
      <c r="BD71" s="291">
        <f t="shared" si="175"/>
        <v>1964437.49</v>
      </c>
      <c r="BE71" s="327">
        <f t="shared" si="176"/>
        <v>16083.909999999916</v>
      </c>
      <c r="BF71" s="289">
        <f>IFERROR(_xlfn.XLOOKUP(A71,CFR20242025_BenchMarkDataReport!B:B,CFR20242025_BenchMarkDataReport!Q:Q),0)</f>
        <v>298623.09000000003</v>
      </c>
      <c r="BG71" s="290">
        <f t="shared" si="177"/>
        <v>314706.99999999994</v>
      </c>
      <c r="BH71" s="292">
        <f>_xlfn.XLOOKUP(A71,'Pupil on roll 24-25'!E:E,'Pupil on roll 24-25'!I:I)</f>
        <v>211</v>
      </c>
      <c r="BI71" s="291">
        <f t="shared" si="174"/>
        <v>1692589.78</v>
      </c>
      <c r="BJ71" t="s">
        <v>190</v>
      </c>
      <c r="BK71" s="293">
        <f t="shared" si="181"/>
        <v>0.79075645433571184</v>
      </c>
      <c r="BL71" s="294">
        <f t="shared" si="182"/>
        <v>7422.3226540284368</v>
      </c>
      <c r="BM71" s="295">
        <f t="shared" si="183"/>
        <v>0</v>
      </c>
      <c r="BN71" s="296">
        <f t="shared" si="184"/>
        <v>0</v>
      </c>
      <c r="BO71" s="293">
        <f t="shared" si="185"/>
        <v>6.3861819417856333E-2</v>
      </c>
      <c r="BP71" s="294">
        <f t="shared" si="186"/>
        <v>599.42985781990524</v>
      </c>
      <c r="BQ71" s="295">
        <f t="shared" si="187"/>
        <v>0</v>
      </c>
      <c r="BR71" s="296">
        <f t="shared" si="188"/>
        <v>0</v>
      </c>
      <c r="BS71" s="293">
        <f t="shared" si="189"/>
        <v>4.7825789713759219E-2</v>
      </c>
      <c r="BT71" s="294">
        <f t="shared" si="190"/>
        <v>448.90995260663504</v>
      </c>
      <c r="BU71" s="295">
        <f t="shared" si="191"/>
        <v>4.2983630472258469E-3</v>
      </c>
      <c r="BV71" s="296">
        <f t="shared" si="192"/>
        <v>40.345971563981045</v>
      </c>
      <c r="BW71" s="293">
        <f t="shared" si="193"/>
        <v>2.0446368314929596E-2</v>
      </c>
      <c r="BX71" s="294">
        <f t="shared" si="194"/>
        <v>191.91691943127964</v>
      </c>
      <c r="BY71" s="295">
        <f t="shared" si="195"/>
        <v>6.8585222053142176E-3</v>
      </c>
      <c r="BZ71" s="297">
        <f t="shared" si="196"/>
        <v>64.376540284360189</v>
      </c>
      <c r="CA71" s="298">
        <f t="shared" si="197"/>
        <v>1.615029254417549E-2</v>
      </c>
      <c r="CB71" s="299">
        <f t="shared" si="198"/>
        <v>151.59241706161137</v>
      </c>
      <c r="CC71" s="295">
        <f t="shared" si="199"/>
        <v>9.5663495481543397E-3</v>
      </c>
      <c r="CD71" s="296">
        <f t="shared" si="200"/>
        <v>89.793175355450245</v>
      </c>
      <c r="CE71" s="300">
        <f t="shared" si="201"/>
        <v>0.56715169342449889</v>
      </c>
      <c r="CF71" s="298">
        <f t="shared" si="202"/>
        <v>0.48469820119085816</v>
      </c>
      <c r="CG71" s="298">
        <f t="shared" si="203"/>
        <v>0.48866668697103721</v>
      </c>
      <c r="CH71" s="299">
        <f t="shared" si="204"/>
        <v>4549.5505213270144</v>
      </c>
      <c r="CI71" s="295">
        <f t="shared" si="205"/>
        <v>0.18856001245617823</v>
      </c>
      <c r="CJ71" s="301">
        <f t="shared" si="206"/>
        <v>0.16114683234425037</v>
      </c>
      <c r="CK71" s="301">
        <f t="shared" si="207"/>
        <v>0.16246622843672159</v>
      </c>
      <c r="CL71" s="302">
        <f t="shared" si="208"/>
        <v>1512.5817535545023</v>
      </c>
      <c r="CM71" s="300">
        <f t="shared" si="209"/>
        <v>3.9232246811746675E-2</v>
      </c>
      <c r="CN71" s="298">
        <f t="shared" si="210"/>
        <v>3.3528595045728873E-2</v>
      </c>
      <c r="CO71" s="298">
        <f t="shared" si="211"/>
        <v>3.3803111749816997E-2</v>
      </c>
      <c r="CP71" s="299">
        <f t="shared" si="212"/>
        <v>314.71137440758298</v>
      </c>
      <c r="CQ71" s="295">
        <f t="shared" si="213"/>
        <v>5.7549709416300505E-2</v>
      </c>
      <c r="CR71" s="301">
        <f t="shared" si="214"/>
        <v>4.9183033316378209E-2</v>
      </c>
      <c r="CS71" s="301">
        <f t="shared" si="215"/>
        <v>4.9585721355786185E-2</v>
      </c>
      <c r="CT71" s="296">
        <f t="shared" si="216"/>
        <v>461.64952606635075</v>
      </c>
      <c r="CU71" s="300">
        <f t="shared" si="217"/>
        <v>0.86854209884216615</v>
      </c>
      <c r="CV71" s="298">
        <f t="shared" si="218"/>
        <v>0.742271949194793</v>
      </c>
      <c r="CW71" s="298">
        <f t="shared" si="219"/>
        <v>0.74834933027062123</v>
      </c>
      <c r="CX71" s="299">
        <f t="shared" si="220"/>
        <v>6967.2297630331768</v>
      </c>
      <c r="CY71" s="295">
        <f t="shared" si="221"/>
        <v>1.7390297606547051E-2</v>
      </c>
      <c r="CZ71" s="301">
        <f t="shared" si="222"/>
        <v>1.4983749877426743E-2</v>
      </c>
      <c r="DA71" s="296">
        <f t="shared" si="223"/>
        <v>139.50066350710901</v>
      </c>
      <c r="DB71" s="300">
        <f t="shared" si="224"/>
        <v>2.2824345507680165E-3</v>
      </c>
      <c r="DC71" s="299">
        <f t="shared" si="225"/>
        <v>21.249763033175356</v>
      </c>
      <c r="DD71" s="295">
        <f t="shared" si="226"/>
        <v>1.341080412289858E-2</v>
      </c>
      <c r="DE71" s="301">
        <f t="shared" si="227"/>
        <v>1.1554956630358344E-2</v>
      </c>
      <c r="DF71" s="296">
        <f t="shared" si="228"/>
        <v>107.57815165876778</v>
      </c>
      <c r="DG71" s="300">
        <f t="shared" si="229"/>
        <v>5.8354836574754688E-3</v>
      </c>
      <c r="DH71" s="298">
        <f t="shared" si="230"/>
        <v>5.0279431390815085E-3</v>
      </c>
      <c r="DI71" s="303">
        <f t="shared" si="231"/>
        <v>46.810805687203789</v>
      </c>
      <c r="DJ71" s="295">
        <f t="shared" si="232"/>
        <v>4.2396463010665235E-2</v>
      </c>
      <c r="DK71" s="301">
        <f t="shared" si="233"/>
        <v>3.6232792031431725E-2</v>
      </c>
      <c r="DL71" s="301">
        <f t="shared" si="234"/>
        <v>3.6529449455782889E-2</v>
      </c>
      <c r="DM71" s="296">
        <f t="shared" si="235"/>
        <v>340.09393364928911</v>
      </c>
      <c r="DN71" s="300">
        <f t="shared" si="236"/>
        <v>5.4285392175769847E-3</v>
      </c>
      <c r="DO71" s="298">
        <f t="shared" si="237"/>
        <v>4.6773135041319139E-3</v>
      </c>
      <c r="DP71" s="299">
        <f t="shared" si="238"/>
        <v>43.546398104265407</v>
      </c>
      <c r="DQ71" s="295">
        <f t="shared" si="239"/>
        <v>1.9346099324787366E-2</v>
      </c>
      <c r="DR71" s="301">
        <f t="shared" si="240"/>
        <v>1.6668898942668823E-2</v>
      </c>
      <c r="DS71" s="296">
        <f t="shared" si="241"/>
        <v>155.18962085308056</v>
      </c>
      <c r="DT71" s="300">
        <f t="shared" si="242"/>
        <v>4.4694280396776587E-2</v>
      </c>
      <c r="DU71" s="299">
        <f t="shared" si="243"/>
        <v>416.10957345971559</v>
      </c>
      <c r="DV71" s="295">
        <f t="shared" si="178"/>
        <v>4.043523930099705E-3</v>
      </c>
      <c r="DW71" s="296">
        <f t="shared" si="179"/>
        <v>37.645734597156398</v>
      </c>
      <c r="DX71" s="295">
        <f t="shared" si="244"/>
        <v>3.7811879024816045E-5</v>
      </c>
      <c r="DY71" s="301">
        <f t="shared" si="245"/>
        <v>3.2314722779567042E-5</v>
      </c>
      <c r="DZ71" s="301">
        <f t="shared" si="246"/>
        <v>3.2579300856246641E-5</v>
      </c>
      <c r="EA71" s="296">
        <f t="shared" si="247"/>
        <v>0.30331753554502372</v>
      </c>
      <c r="EB71" s="304">
        <f>IFERROR(_xlfn.XLOOKUP(A71,'Pupil on roll 24-25'!E:E,'Pupil on roll 24-25'!R:R),0)</f>
        <v>64</v>
      </c>
      <c r="EC71" s="289">
        <f>IFERROR(_xlfn.XLOOKUP(A71,CFR20242025_BenchMarkDataReport!B:B,CFR20242025_BenchMarkDataReport!AK:AK),0)</f>
        <v>7015.63</v>
      </c>
      <c r="ED71" s="289">
        <f>IFERROR(_xlfn.XLOOKUP(A71,CFR20242025_BenchMarkDataReport!B:B,CFR20242025_BenchMarkDataReport!AL:AL),0)</f>
        <v>49171</v>
      </c>
    </row>
    <row r="72" spans="1:228">
      <c r="A72" s="208">
        <v>3316</v>
      </c>
      <c r="B72" s="326">
        <v>10100</v>
      </c>
      <c r="C72" s="208" t="s">
        <v>106</v>
      </c>
      <c r="D72" s="289">
        <f>IFERROR(_xlfn.XLOOKUP($A72,CFR20242025_BenchMarkDataReport!$B:$B,CFR20242025_BenchMarkDataReport!T:T),0)</f>
        <v>1159686.83</v>
      </c>
      <c r="E72" s="289">
        <f>IFERROR(_xlfn.XLOOKUP($A72,CFR20242025_BenchMarkDataReport!$B:$B,CFR20242025_BenchMarkDataReport!U:U),0)</f>
        <v>0</v>
      </c>
      <c r="F72" s="289">
        <f>IFERROR(_xlfn.XLOOKUP($A72,CFR20242025_BenchMarkDataReport!$B:$B,CFR20242025_BenchMarkDataReport!V:V),0)</f>
        <v>91785.09</v>
      </c>
      <c r="G72" s="289">
        <f>IFERROR(_xlfn.XLOOKUP($A72,CFR20242025_BenchMarkDataReport!$B:$B,CFR20242025_BenchMarkDataReport!W:W),0)</f>
        <v>0</v>
      </c>
      <c r="H72" s="289">
        <f>IFERROR(_xlfn.XLOOKUP($A72,CFR20242025_BenchMarkDataReport!$B:$B,CFR20242025_BenchMarkDataReport!X:X),0)</f>
        <v>29140</v>
      </c>
      <c r="I72" s="289">
        <f>IFERROR(_xlfn.XLOOKUP($A72,CFR20242025_BenchMarkDataReport!$B:$B,CFR20242025_BenchMarkDataReport!Y:Y),0)</f>
        <v>3224.45</v>
      </c>
      <c r="J72" s="289">
        <f>IFERROR(_xlfn.XLOOKUP($A72,CFR20242025_BenchMarkDataReport!$B:$B,CFR20242025_BenchMarkDataReport!Z:Z),0)</f>
        <v>54905.15</v>
      </c>
      <c r="K72" s="289">
        <f>IFERROR(_xlfn.XLOOKUP($A72,CFR20242025_BenchMarkDataReport!$B:$B,CFR20242025_BenchMarkDataReport!AA:AA),0)</f>
        <v>0</v>
      </c>
      <c r="L72" s="289">
        <f>IFERROR(_xlfn.XLOOKUP($A72,CFR20242025_BenchMarkDataReport!$B:$B,CFR20242025_BenchMarkDataReport!AB:AB),0)</f>
        <v>51052.11</v>
      </c>
      <c r="M72" s="289">
        <f>IFERROR(_xlfn.XLOOKUP($A72,CFR20242025_BenchMarkDataReport!$B:$B,CFR20242025_BenchMarkDataReport!AC:AC),0)</f>
        <v>1721.67</v>
      </c>
      <c r="N72" s="289">
        <f>IFERROR(_xlfn.XLOOKUP($A72,CFR20242025_BenchMarkDataReport!$B:$B,CFR20242025_BenchMarkDataReport!AD:AD),0)</f>
        <v>0</v>
      </c>
      <c r="O72" s="289">
        <f>IFERROR(_xlfn.XLOOKUP($A72,CFR20242025_BenchMarkDataReport!$B:$B,CFR20242025_BenchMarkDataReport!AE:AE),0)</f>
        <v>0</v>
      </c>
      <c r="P72" s="289">
        <f>IFERROR(_xlfn.XLOOKUP($A72,CFR20242025_BenchMarkDataReport!$B:$B,CFR20242025_BenchMarkDataReport!AF:AF),0)</f>
        <v>25057.39</v>
      </c>
      <c r="Q72" s="289">
        <f>IFERROR(_xlfn.XLOOKUP($A72,CFR20242025_BenchMarkDataReport!$B:$B,CFR20242025_BenchMarkDataReport!AG:AG),0)</f>
        <v>18619.939999999999</v>
      </c>
      <c r="R72" s="289">
        <f>IFERROR(_xlfn.XLOOKUP($A72,CFR20242025_BenchMarkDataReport!$B:$B,CFR20242025_BenchMarkDataReport!AH:AH),0)</f>
        <v>0</v>
      </c>
      <c r="S72" s="289">
        <f>IFERROR(_xlfn.XLOOKUP($A72,CFR20242025_BenchMarkDataReport!$B:$B,CFR20242025_BenchMarkDataReport!AI:AI),0)</f>
        <v>0</v>
      </c>
      <c r="T72" s="289">
        <f>IFERROR(_xlfn.XLOOKUP($A72,CFR20242025_BenchMarkDataReport!$B:$B,CFR20242025_BenchMarkDataReport!AJ:AJ),0)</f>
        <v>0</v>
      </c>
      <c r="U72" s="289">
        <f>INDEX(CFR20242025_BenchMarkDataReport!$B$3:$AM$87,MATCH(A72,CFR20242025_BenchMarkDataReport!$B$3:$B$87),MATCH($U$2,CFR20242025_BenchMarkDataReport!$B$3:$AM$3,0))</f>
        <v>55692.63</v>
      </c>
      <c r="V72" s="289">
        <f>IFERROR(_xlfn.XLOOKUP($A72,CFR20242025_BenchMarkDataReport!$B:$B,CFR20242025_BenchMarkDataReport!AN:AN),0)</f>
        <v>767831.77</v>
      </c>
      <c r="W72" s="289">
        <f>IFERROR(_xlfn.XLOOKUP($A72,CFR20242025_BenchMarkDataReport!$B:$B,CFR20242025_BenchMarkDataReport!AO:AO),0)</f>
        <v>0</v>
      </c>
      <c r="X72" s="289">
        <f>IFERROR(_xlfn.XLOOKUP($A72,CFR20242025_BenchMarkDataReport!$B:$B,CFR20242025_BenchMarkDataReport!AP:AP),0)</f>
        <v>257129.92</v>
      </c>
      <c r="Y72" s="289">
        <f>IFERROR(_xlfn.XLOOKUP($A72,CFR20242025_BenchMarkDataReport!$B:$B,CFR20242025_BenchMarkDataReport!AQ:AQ),0)</f>
        <v>22147.71</v>
      </c>
      <c r="Z72" s="289">
        <f>IFERROR(_xlfn.XLOOKUP($A72,CFR20242025_BenchMarkDataReport!$B:$B,CFR20242025_BenchMarkDataReport!AR:AR),0)</f>
        <v>50625.3</v>
      </c>
      <c r="AA72" s="289">
        <f>IFERROR(_xlfn.XLOOKUP($A72,CFR20242025_BenchMarkDataReport!$B:$B,CFR20242025_BenchMarkDataReport!AS:AS),0)</f>
        <v>0</v>
      </c>
      <c r="AB72" s="289">
        <f>IFERROR(_xlfn.XLOOKUP($A72,CFR20242025_BenchMarkDataReport!$B:$B,CFR20242025_BenchMarkDataReport!AT:AT),0)</f>
        <v>56742.92</v>
      </c>
      <c r="AC72" s="289">
        <f>IFERROR(_xlfn.XLOOKUP($A72,CFR20242025_BenchMarkDataReport!$B:$B,CFR20242025_BenchMarkDataReport!AU:AU),0)</f>
        <v>3658.33</v>
      </c>
      <c r="AD72" s="289">
        <f>IFERROR(_xlfn.XLOOKUP($A72,CFR20242025_BenchMarkDataReport!$B:$B,CFR20242025_BenchMarkDataReport!AV:AV),0)</f>
        <v>4192.22</v>
      </c>
      <c r="AE72" s="289">
        <f>IFERROR(_xlfn.XLOOKUP($A72,CFR20242025_BenchMarkDataReport!$B:$B,CFR20242025_BenchMarkDataReport!AW:AW),0)</f>
        <v>345.28</v>
      </c>
      <c r="AF72" s="289">
        <f>IFERROR(_xlfn.XLOOKUP($A72,CFR20242025_BenchMarkDataReport!$B:$B,CFR20242025_BenchMarkDataReport!AX:AX),0)</f>
        <v>918</v>
      </c>
      <c r="AG72" s="289">
        <f>IFERROR(_xlfn.XLOOKUP($A72,CFR20242025_BenchMarkDataReport!$B:$B,CFR20242025_BenchMarkDataReport!AY:AY),0)</f>
        <v>6616.12</v>
      </c>
      <c r="AH72" s="289">
        <f>IFERROR(_xlfn.XLOOKUP($A72,CFR20242025_BenchMarkDataReport!$B:$B,CFR20242025_BenchMarkDataReport!AZ:AZ),0)</f>
        <v>7.15</v>
      </c>
      <c r="AI72" s="289">
        <f>IFERROR(_xlfn.XLOOKUP($A72,CFR20242025_BenchMarkDataReport!$B:$B,CFR20242025_BenchMarkDataReport!BA:BA),0)</f>
        <v>13010.55</v>
      </c>
      <c r="AJ72" s="289">
        <f>IFERROR(_xlfn.XLOOKUP($A72,CFR20242025_BenchMarkDataReport!$B:$B,CFR20242025_BenchMarkDataReport!BB:BB),0)</f>
        <v>3030</v>
      </c>
      <c r="AK72" s="289">
        <f>IFERROR(_xlfn.XLOOKUP($A72,CFR20242025_BenchMarkDataReport!$B:$B,CFR20242025_BenchMarkDataReport!BC:BC),0)</f>
        <v>19338.77</v>
      </c>
      <c r="AL72" s="289">
        <f>IFERROR(_xlfn.XLOOKUP($A72,CFR20242025_BenchMarkDataReport!$B:$B,CFR20242025_BenchMarkDataReport!BD:BD),0)</f>
        <v>4992</v>
      </c>
      <c r="AM72" s="289">
        <f>IFERROR(_xlfn.XLOOKUP($A72,CFR20242025_BenchMarkDataReport!$B:$B,CFR20242025_BenchMarkDataReport!BE:BE),0)</f>
        <v>8805.5300000000007</v>
      </c>
      <c r="AN72" s="289">
        <f>IFERROR(_xlfn.XLOOKUP($A72,CFR20242025_BenchMarkDataReport!$B:$B,CFR20242025_BenchMarkDataReport!BF:BF),0)</f>
        <v>45253.62</v>
      </c>
      <c r="AO72" s="289">
        <f>IFERROR(_xlfn.XLOOKUP($A72,CFR20242025_BenchMarkDataReport!$B:$B,CFR20242025_BenchMarkDataReport!BN:BN),0)</f>
        <v>8910.93</v>
      </c>
      <c r="AP72" s="289">
        <f>IFERROR(_xlfn.XLOOKUP($A72,CFR20242025_BenchMarkDataReport!$B:$B,CFR20242025_BenchMarkDataReport!BO:BO),0)</f>
        <v>0</v>
      </c>
      <c r="AQ72" s="289">
        <f>IFERROR(_xlfn.XLOOKUP($A72,CFR20242025_BenchMarkDataReport!$B:$B,CFR20242025_BenchMarkDataReport!BP:BP),0)</f>
        <v>10965.8</v>
      </c>
      <c r="AR72" s="289">
        <f>IFERROR(_xlfn.XLOOKUP($A72,CFR20242025_BenchMarkDataReport!$B:$B,CFR20242025_BenchMarkDataReport!BQ:BQ),0)</f>
        <v>3474.12</v>
      </c>
      <c r="AS72" s="289">
        <f>IFERROR(_xlfn.XLOOKUP($A72,CFR20242025_BenchMarkDataReport!$B:$B,CFR20242025_BenchMarkDataReport!BR:BR),0)</f>
        <v>17760.52</v>
      </c>
      <c r="AT72" s="289">
        <f>IFERROR(_xlfn.XLOOKUP($A72,CFR20242025_BenchMarkDataReport!$B:$B,CFR20242025_BenchMarkDataReport!BS:BS),0)</f>
        <v>80061.27</v>
      </c>
      <c r="AU72" s="289">
        <f>IFERROR(_xlfn.XLOOKUP($A72,CFR20242025_BenchMarkDataReport!$B:$B,CFR20242025_BenchMarkDataReport!BT:BT),0)</f>
        <v>5221.1099999999997</v>
      </c>
      <c r="AV72" s="289">
        <f>IFERROR(_xlfn.XLOOKUP($A72,CFR20242025_BenchMarkDataReport!$B:$B,CFR20242025_BenchMarkDataReport!BU:BU),0)</f>
        <v>43519.23</v>
      </c>
      <c r="AW72" s="289">
        <f>IFERROR(_xlfn.XLOOKUP($A72,CFR20242025_BenchMarkDataReport!$B:$B,CFR20242025_BenchMarkDataReport!BV:BV),0)</f>
        <v>66377.39</v>
      </c>
      <c r="AX72" s="289">
        <f>IFERROR(_xlfn.XLOOKUP($A72,CFR20242025_BenchMarkDataReport!$B:$B,CFR20242025_BenchMarkDataReport!BW:BW),0)</f>
        <v>0</v>
      </c>
      <c r="AY72" s="289">
        <f>IFERROR(_xlfn.XLOOKUP($A72,CFR20242025_BenchMarkDataReport!$B:$B,CFR20242025_BenchMarkDataReport!BX:BX),0)</f>
        <v>0</v>
      </c>
      <c r="AZ72" s="289">
        <f>IFERROR(_xlfn.XLOOKUP($A72,CFR20242025_BenchMarkDataReport!$B:$B,CFR20242025_BenchMarkDataReport!BY:BY),0)</f>
        <v>0</v>
      </c>
      <c r="BA72" s="289">
        <f>IFERROR(_xlfn.XLOOKUP($A72,CFR20242025_BenchMarkDataReport!$B:$B,CFR20242025_BenchMarkDataReport!BZ:BZ),0)</f>
        <v>0</v>
      </c>
      <c r="BB72" s="289">
        <f>IFERROR(_xlfn.XLOOKUP($A72,CFR20242025_BenchMarkDataReport!$B:$B,CFR20242025_BenchMarkDataReport!CA:CA),0)</f>
        <v>0</v>
      </c>
      <c r="BC72" s="290">
        <f t="shared" si="180"/>
        <v>1490885.2599999998</v>
      </c>
      <c r="BD72" s="291">
        <f t="shared" si="175"/>
        <v>1500935.5600000003</v>
      </c>
      <c r="BE72" s="327">
        <f t="shared" si="176"/>
        <v>-10050.300000000512</v>
      </c>
      <c r="BF72" s="289">
        <f>IFERROR(_xlfn.XLOOKUP(A72,CFR20242025_BenchMarkDataReport!B:B,CFR20242025_BenchMarkDataReport!Q:Q),0)</f>
        <v>-39320.699999999997</v>
      </c>
      <c r="BG72" s="290">
        <f t="shared" si="177"/>
        <v>-49371.000000000509</v>
      </c>
      <c r="BH72" s="292">
        <f>_xlfn.XLOOKUP(A72,'Pupil on roll 24-25'!E:E,'Pupil on roll 24-25'!I:I)</f>
        <v>208</v>
      </c>
      <c r="BI72" s="291">
        <f t="shared" si="174"/>
        <v>1251471.9200000002</v>
      </c>
      <c r="BJ72" t="s">
        <v>190</v>
      </c>
      <c r="BK72" s="293">
        <f t="shared" si="181"/>
        <v>0.77785116072580951</v>
      </c>
      <c r="BL72" s="294">
        <f t="shared" si="182"/>
        <v>5575.4174519230774</v>
      </c>
      <c r="BM72" s="295">
        <f t="shared" si="183"/>
        <v>0</v>
      </c>
      <c r="BN72" s="296">
        <f t="shared" si="184"/>
        <v>0</v>
      </c>
      <c r="BO72" s="293">
        <f t="shared" si="185"/>
        <v>6.1564154172400909E-2</v>
      </c>
      <c r="BP72" s="294">
        <f t="shared" si="186"/>
        <v>441.27447115384615</v>
      </c>
      <c r="BQ72" s="295">
        <f t="shared" si="187"/>
        <v>0</v>
      </c>
      <c r="BR72" s="296">
        <f t="shared" si="188"/>
        <v>0</v>
      </c>
      <c r="BS72" s="293">
        <f t="shared" si="189"/>
        <v>1.9545434368302767E-2</v>
      </c>
      <c r="BT72" s="294">
        <f t="shared" si="190"/>
        <v>140.09615384615384</v>
      </c>
      <c r="BU72" s="295">
        <f t="shared" si="191"/>
        <v>2.1627754237774142E-3</v>
      </c>
      <c r="BV72" s="296">
        <f t="shared" si="192"/>
        <v>15.50216346153846</v>
      </c>
      <c r="BW72" s="293">
        <f t="shared" si="193"/>
        <v>3.6827213651572363E-2</v>
      </c>
      <c r="BX72" s="294">
        <f t="shared" si="194"/>
        <v>263.96706730769233</v>
      </c>
      <c r="BY72" s="295">
        <f t="shared" si="195"/>
        <v>3.4242816244625031E-2</v>
      </c>
      <c r="BZ72" s="297">
        <f t="shared" si="196"/>
        <v>245.44283653846153</v>
      </c>
      <c r="CA72" s="298">
        <f t="shared" si="197"/>
        <v>1.6807054622030405E-2</v>
      </c>
      <c r="CB72" s="299">
        <f t="shared" si="198"/>
        <v>120.46822115384614</v>
      </c>
      <c r="CC72" s="295">
        <f t="shared" si="199"/>
        <v>1.2489183775282613E-2</v>
      </c>
      <c r="CD72" s="296">
        <f t="shared" si="200"/>
        <v>89.518942307692299</v>
      </c>
      <c r="CE72" s="300">
        <f t="shared" si="201"/>
        <v>0.61771492244108839</v>
      </c>
      <c r="CF72" s="298">
        <f t="shared" si="202"/>
        <v>0.51851936613820981</v>
      </c>
      <c r="CG72" s="298">
        <f t="shared" si="203"/>
        <v>0.51504734820194398</v>
      </c>
      <c r="CH72" s="299">
        <f t="shared" si="204"/>
        <v>3716.6003846153844</v>
      </c>
      <c r="CI72" s="295">
        <f t="shared" si="205"/>
        <v>0.20546199710178073</v>
      </c>
      <c r="CJ72" s="301">
        <f t="shared" si="206"/>
        <v>0.17246794699680648</v>
      </c>
      <c r="CK72" s="301">
        <f t="shared" si="207"/>
        <v>0.17131309754564011</v>
      </c>
      <c r="CL72" s="302">
        <f t="shared" si="208"/>
        <v>1236.2015384615386</v>
      </c>
      <c r="CM72" s="300">
        <f t="shared" si="209"/>
        <v>1.7697328758283282E-2</v>
      </c>
      <c r="CN72" s="298">
        <f t="shared" si="210"/>
        <v>1.4855408792491517E-2</v>
      </c>
      <c r="CO72" s="298">
        <f t="shared" si="211"/>
        <v>1.4755936623954725E-2</v>
      </c>
      <c r="CP72" s="299">
        <f t="shared" si="212"/>
        <v>106.47937499999999</v>
      </c>
      <c r="CQ72" s="295">
        <f t="shared" si="213"/>
        <v>4.0452605600611473E-2</v>
      </c>
      <c r="CR72" s="301">
        <f t="shared" si="214"/>
        <v>3.395653666869039E-2</v>
      </c>
      <c r="CS72" s="301">
        <f t="shared" si="215"/>
        <v>3.3729162896240526E-2</v>
      </c>
      <c r="CT72" s="296">
        <f t="shared" si="216"/>
        <v>243.39086538461541</v>
      </c>
      <c r="CU72" s="300">
        <f t="shared" si="217"/>
        <v>0.92249582395744023</v>
      </c>
      <c r="CV72" s="298">
        <f t="shared" si="218"/>
        <v>0.77435712255951883</v>
      </c>
      <c r="CW72" s="298">
        <f t="shared" si="219"/>
        <v>0.76917200895686666</v>
      </c>
      <c r="CX72" s="299">
        <f t="shared" si="220"/>
        <v>5550.3731730769223</v>
      </c>
      <c r="CY72" s="295">
        <f t="shared" si="221"/>
        <v>5.2866707548659972E-3</v>
      </c>
      <c r="CZ72" s="301">
        <f t="shared" si="222"/>
        <v>4.4079973693207713E-3</v>
      </c>
      <c r="DA72" s="296">
        <f t="shared" si="223"/>
        <v>31.808269230769231</v>
      </c>
      <c r="DB72" s="300">
        <f t="shared" si="224"/>
        <v>2.0187408978437418E-3</v>
      </c>
      <c r="DC72" s="299">
        <f t="shared" si="225"/>
        <v>14.567307692307692</v>
      </c>
      <c r="DD72" s="295">
        <f t="shared" si="226"/>
        <v>1.5452819748444693E-2</v>
      </c>
      <c r="DE72" s="301">
        <f t="shared" si="227"/>
        <v>1.2884477199007795E-2</v>
      </c>
      <c r="DF72" s="296">
        <f t="shared" si="228"/>
        <v>92.974855769230771</v>
      </c>
      <c r="DG72" s="300">
        <f t="shared" si="229"/>
        <v>7.0361386933875426E-3</v>
      </c>
      <c r="DH72" s="298">
        <f t="shared" si="230"/>
        <v>5.8666942370264041E-3</v>
      </c>
      <c r="DI72" s="303">
        <f t="shared" si="231"/>
        <v>42.33427884615385</v>
      </c>
      <c r="DJ72" s="295">
        <f t="shared" si="232"/>
        <v>3.6160315926225491E-2</v>
      </c>
      <c r="DK72" s="301">
        <f t="shared" si="233"/>
        <v>3.0353522980031349E-2</v>
      </c>
      <c r="DL72" s="301">
        <f t="shared" si="234"/>
        <v>3.0150275072435485E-2</v>
      </c>
      <c r="DM72" s="296">
        <f t="shared" si="235"/>
        <v>217.56548076923079</v>
      </c>
      <c r="DN72" s="300">
        <f t="shared" si="236"/>
        <v>8.7623220503421275E-3</v>
      </c>
      <c r="DO72" s="298">
        <f t="shared" si="237"/>
        <v>7.3059765470544231E-3</v>
      </c>
      <c r="DP72" s="299">
        <f t="shared" si="238"/>
        <v>52.720192307692301</v>
      </c>
      <c r="DQ72" s="295">
        <f t="shared" si="239"/>
        <v>3.477443584990704E-2</v>
      </c>
      <c r="DR72" s="301">
        <f t="shared" si="240"/>
        <v>2.8994735789989543E-2</v>
      </c>
      <c r="DS72" s="296">
        <f t="shared" si="241"/>
        <v>209.22706730769232</v>
      </c>
      <c r="DT72" s="300">
        <f t="shared" si="242"/>
        <v>5.3340910918254207E-2</v>
      </c>
      <c r="DU72" s="299">
        <f t="shared" si="243"/>
        <v>384.90995192307696</v>
      </c>
      <c r="DV72" s="295">
        <f t="shared" si="178"/>
        <v>8.668293527538248E-3</v>
      </c>
      <c r="DW72" s="296">
        <f>IFERROR((AI72/BH72),0)</f>
        <v>62.550721153846148</v>
      </c>
      <c r="DX72" s="295">
        <f t="shared" si="244"/>
        <v>1.5182122504194898E-5</v>
      </c>
      <c r="DY72" s="301">
        <f t="shared" si="245"/>
        <v>1.2744106142681968E-5</v>
      </c>
      <c r="DZ72" s="301">
        <f t="shared" si="246"/>
        <v>1.2658771306610923E-5</v>
      </c>
      <c r="EA72" s="296">
        <f t="shared" si="247"/>
        <v>9.1346153846153841E-2</v>
      </c>
      <c r="EB72" s="304">
        <f>IFERROR(_xlfn.XLOOKUP(A72,'Pupil on roll 24-25'!E:E,'Pupil on roll 24-25'!R:R),0)</f>
        <v>19</v>
      </c>
      <c r="EC72" s="289">
        <f>IFERROR(_xlfn.XLOOKUP(A72,CFR20242025_BenchMarkDataReport!B:B,CFR20242025_BenchMarkDataReport!AK:AK),0)</f>
        <v>1855.63</v>
      </c>
      <c r="ED72" s="289">
        <f>IFERROR(_xlfn.XLOOKUP(A72,CFR20242025_BenchMarkDataReport!B:B,CFR20242025_BenchMarkDataReport!AL:AL),0)</f>
        <v>53837</v>
      </c>
    </row>
    <row r="73" spans="1:228">
      <c r="A73" s="208">
        <v>2055</v>
      </c>
      <c r="B73" s="326">
        <v>10101</v>
      </c>
      <c r="C73" s="208" t="s">
        <v>107</v>
      </c>
      <c r="D73" s="289">
        <f>IFERROR(_xlfn.XLOOKUP($A73,CFR20242025_BenchMarkDataReport!$B:$B,CFR20242025_BenchMarkDataReport!T:T),0)</f>
        <v>1318198.51</v>
      </c>
      <c r="E73" s="289">
        <f>IFERROR(_xlfn.XLOOKUP($A73,CFR20242025_BenchMarkDataReport!$B:$B,CFR20242025_BenchMarkDataReport!U:U),0)</f>
        <v>0</v>
      </c>
      <c r="F73" s="289">
        <f>IFERROR(_xlfn.XLOOKUP($A73,CFR20242025_BenchMarkDataReport!$B:$B,CFR20242025_BenchMarkDataReport!V:V),0)</f>
        <v>94184.02</v>
      </c>
      <c r="G73" s="289">
        <f>IFERROR(_xlfn.XLOOKUP($A73,CFR20242025_BenchMarkDataReport!$B:$B,CFR20242025_BenchMarkDataReport!W:W),0)</f>
        <v>0</v>
      </c>
      <c r="H73" s="289">
        <f>IFERROR(_xlfn.XLOOKUP($A73,CFR20242025_BenchMarkDataReport!$B:$B,CFR20242025_BenchMarkDataReport!X:X),0)</f>
        <v>60680</v>
      </c>
      <c r="I73" s="289">
        <f>IFERROR(_xlfn.XLOOKUP($A73,CFR20242025_BenchMarkDataReport!$B:$B,CFR20242025_BenchMarkDataReport!Y:Y),0)</f>
        <v>200</v>
      </c>
      <c r="J73" s="289">
        <f>IFERROR(_xlfn.XLOOKUP($A73,CFR20242025_BenchMarkDataReport!$B:$B,CFR20242025_BenchMarkDataReport!Z:Z),0)</f>
        <v>52500.21</v>
      </c>
      <c r="K73" s="289">
        <f>IFERROR(_xlfn.XLOOKUP($A73,CFR20242025_BenchMarkDataReport!$B:$B,CFR20242025_BenchMarkDataReport!AA:AA),0)</f>
        <v>2604</v>
      </c>
      <c r="L73" s="289">
        <f>IFERROR(_xlfn.XLOOKUP($A73,CFR20242025_BenchMarkDataReport!$B:$B,CFR20242025_BenchMarkDataReport!AB:AB),0)</f>
        <v>14687.4</v>
      </c>
      <c r="M73" s="289">
        <f>IFERROR(_xlfn.XLOOKUP($A73,CFR20242025_BenchMarkDataReport!$B:$B,CFR20242025_BenchMarkDataReport!AC:AC),0)</f>
        <v>983.29</v>
      </c>
      <c r="N73" s="289">
        <f>IFERROR(_xlfn.XLOOKUP($A73,CFR20242025_BenchMarkDataReport!$B:$B,CFR20242025_BenchMarkDataReport!AD:AD),0)</f>
        <v>0</v>
      </c>
      <c r="O73" s="289">
        <f>IFERROR(_xlfn.XLOOKUP($A73,CFR20242025_BenchMarkDataReport!$B:$B,CFR20242025_BenchMarkDataReport!AE:AE),0)</f>
        <v>0</v>
      </c>
      <c r="P73" s="289">
        <f>IFERROR(_xlfn.XLOOKUP($A73,CFR20242025_BenchMarkDataReport!$B:$B,CFR20242025_BenchMarkDataReport!AF:AF),0)</f>
        <v>15619.23</v>
      </c>
      <c r="Q73" s="289">
        <f>IFERROR(_xlfn.XLOOKUP($A73,CFR20242025_BenchMarkDataReport!$B:$B,CFR20242025_BenchMarkDataReport!AG:AG),0)</f>
        <v>5416.11</v>
      </c>
      <c r="R73" s="289">
        <f>IFERROR(_xlfn.XLOOKUP($A73,CFR20242025_BenchMarkDataReport!$B:$B,CFR20242025_BenchMarkDataReport!AH:AH),0)</f>
        <v>0</v>
      </c>
      <c r="S73" s="289">
        <f>IFERROR(_xlfn.XLOOKUP($A73,CFR20242025_BenchMarkDataReport!$B:$B,CFR20242025_BenchMarkDataReport!AI:AI),0)</f>
        <v>0</v>
      </c>
      <c r="T73" s="289">
        <f>IFERROR(_xlfn.XLOOKUP($A73,CFR20242025_BenchMarkDataReport!$B:$B,CFR20242025_BenchMarkDataReport!AJ:AJ),0)</f>
        <v>0</v>
      </c>
      <c r="U73" s="289">
        <f>INDEX(CFR20242025_BenchMarkDataReport!$B$3:$AM$87,MATCH(A73,CFR20242025_BenchMarkDataReport!$B$3:$B$87),MATCH($U$2,CFR20242025_BenchMarkDataReport!$B$3:$AM$3,0))</f>
        <v>48224.5</v>
      </c>
      <c r="V73" s="289">
        <f>IFERROR(_xlfn.XLOOKUP($A73,CFR20242025_BenchMarkDataReport!$B:$B,CFR20242025_BenchMarkDataReport!AN:AN),0)</f>
        <v>856011.31</v>
      </c>
      <c r="W73" s="289">
        <f>IFERROR(_xlfn.XLOOKUP($A73,CFR20242025_BenchMarkDataReport!$B:$B,CFR20242025_BenchMarkDataReport!AO:AO),0)</f>
        <v>0</v>
      </c>
      <c r="X73" s="289">
        <f>IFERROR(_xlfn.XLOOKUP($A73,CFR20242025_BenchMarkDataReport!$B:$B,CFR20242025_BenchMarkDataReport!AP:AP),0)</f>
        <v>424788.09</v>
      </c>
      <c r="Y73" s="289">
        <f>IFERROR(_xlfn.XLOOKUP($A73,CFR20242025_BenchMarkDataReport!$B:$B,CFR20242025_BenchMarkDataReport!AQ:AQ),0)</f>
        <v>28561.1</v>
      </c>
      <c r="Z73" s="289">
        <f>IFERROR(_xlfn.XLOOKUP($A73,CFR20242025_BenchMarkDataReport!$B:$B,CFR20242025_BenchMarkDataReport!AR:AR),0)</f>
        <v>60422.15</v>
      </c>
      <c r="AA73" s="289">
        <f>IFERROR(_xlfn.XLOOKUP($A73,CFR20242025_BenchMarkDataReport!$B:$B,CFR20242025_BenchMarkDataReport!AS:AS),0)</f>
        <v>0</v>
      </c>
      <c r="AB73" s="289">
        <f>IFERROR(_xlfn.XLOOKUP($A73,CFR20242025_BenchMarkDataReport!$B:$B,CFR20242025_BenchMarkDataReport!AT:AT),0)</f>
        <v>47788.15</v>
      </c>
      <c r="AC73" s="289">
        <f>IFERROR(_xlfn.XLOOKUP($A73,CFR20242025_BenchMarkDataReport!$B:$B,CFR20242025_BenchMarkDataReport!AU:AU),0)</f>
        <v>14964.95</v>
      </c>
      <c r="AD73" s="289">
        <f>IFERROR(_xlfn.XLOOKUP($A73,CFR20242025_BenchMarkDataReport!$B:$B,CFR20242025_BenchMarkDataReport!AV:AV),0)</f>
        <v>4045.61</v>
      </c>
      <c r="AE73" s="289">
        <f>IFERROR(_xlfn.XLOOKUP($A73,CFR20242025_BenchMarkDataReport!$B:$B,CFR20242025_BenchMarkDataReport!AW:AW),0)</f>
        <v>325.36</v>
      </c>
      <c r="AF73" s="289">
        <f>IFERROR(_xlfn.XLOOKUP($A73,CFR20242025_BenchMarkDataReport!$B:$B,CFR20242025_BenchMarkDataReport!AX:AX),0)</f>
        <v>0</v>
      </c>
      <c r="AG73" s="289">
        <f>IFERROR(_xlfn.XLOOKUP($A73,CFR20242025_BenchMarkDataReport!$B:$B,CFR20242025_BenchMarkDataReport!AY:AY),0)</f>
        <v>23039.73</v>
      </c>
      <c r="AH73" s="289">
        <f>IFERROR(_xlfn.XLOOKUP($A73,CFR20242025_BenchMarkDataReport!$B:$B,CFR20242025_BenchMarkDataReport!AZ:AZ),0)</f>
        <v>5613.48</v>
      </c>
      <c r="AI73" s="289">
        <f>IFERROR(_xlfn.XLOOKUP($A73,CFR20242025_BenchMarkDataReport!$B:$B,CFR20242025_BenchMarkDataReport!BA:BA),0)</f>
        <v>33332.879999999997</v>
      </c>
      <c r="AJ73" s="289">
        <f>IFERROR(_xlfn.XLOOKUP($A73,CFR20242025_BenchMarkDataReport!$B:$B,CFR20242025_BenchMarkDataReport!BB:BB),0)</f>
        <v>5834.8</v>
      </c>
      <c r="AK73" s="289">
        <f>IFERROR(_xlfn.XLOOKUP($A73,CFR20242025_BenchMarkDataReport!$B:$B,CFR20242025_BenchMarkDataReport!BC:BC),0)</f>
        <v>45872.160000000003</v>
      </c>
      <c r="AL73" s="289">
        <f>IFERROR(_xlfn.XLOOKUP($A73,CFR20242025_BenchMarkDataReport!$B:$B,CFR20242025_BenchMarkDataReport!BD:BD),0)</f>
        <v>32448.73</v>
      </c>
      <c r="AM73" s="289">
        <f>IFERROR(_xlfn.XLOOKUP($A73,CFR20242025_BenchMarkDataReport!$B:$B,CFR20242025_BenchMarkDataReport!BE:BE),0)</f>
        <v>11204.13</v>
      </c>
      <c r="AN73" s="289">
        <f>IFERROR(_xlfn.XLOOKUP($A73,CFR20242025_BenchMarkDataReport!$B:$B,CFR20242025_BenchMarkDataReport!BF:BF),0)</f>
        <v>65691.679999999993</v>
      </c>
      <c r="AO73" s="289">
        <f>IFERROR(_xlfn.XLOOKUP($A73,CFR20242025_BenchMarkDataReport!$B:$B,CFR20242025_BenchMarkDataReport!BN:BN),0)</f>
        <v>39985.839999999997</v>
      </c>
      <c r="AP73" s="289">
        <f>IFERROR(_xlfn.XLOOKUP($A73,CFR20242025_BenchMarkDataReport!$B:$B,CFR20242025_BenchMarkDataReport!BO:BO),0)</f>
        <v>0</v>
      </c>
      <c r="AQ73" s="289">
        <f>IFERROR(_xlfn.XLOOKUP($A73,CFR20242025_BenchMarkDataReport!$B:$B,CFR20242025_BenchMarkDataReport!BP:BP),0)</f>
        <v>1941.25</v>
      </c>
      <c r="AR73" s="289">
        <f>IFERROR(_xlfn.XLOOKUP($A73,CFR20242025_BenchMarkDataReport!$B:$B,CFR20242025_BenchMarkDataReport!BQ:BQ),0)</f>
        <v>13120.44</v>
      </c>
      <c r="AS73" s="289">
        <f>IFERROR(_xlfn.XLOOKUP($A73,CFR20242025_BenchMarkDataReport!$B:$B,CFR20242025_BenchMarkDataReport!BR:BR),0)</f>
        <v>17526.080000000002</v>
      </c>
      <c r="AT73" s="289">
        <f>IFERROR(_xlfn.XLOOKUP($A73,CFR20242025_BenchMarkDataReport!$B:$B,CFR20242025_BenchMarkDataReport!BS:BS),0)</f>
        <v>77766.63</v>
      </c>
      <c r="AU73" s="289">
        <f>IFERROR(_xlfn.XLOOKUP($A73,CFR20242025_BenchMarkDataReport!$B:$B,CFR20242025_BenchMarkDataReport!BT:BT),0)</f>
        <v>80632.070000000007</v>
      </c>
      <c r="AV73" s="289">
        <f>IFERROR(_xlfn.XLOOKUP($A73,CFR20242025_BenchMarkDataReport!$B:$B,CFR20242025_BenchMarkDataReport!BU:BU),0)</f>
        <v>269613.8</v>
      </c>
      <c r="AW73" s="289">
        <f>IFERROR(_xlfn.XLOOKUP($A73,CFR20242025_BenchMarkDataReport!$B:$B,CFR20242025_BenchMarkDataReport!BV:BV),0)</f>
        <v>20246.23</v>
      </c>
      <c r="AX73" s="289">
        <f>IFERROR(_xlfn.XLOOKUP($A73,CFR20242025_BenchMarkDataReport!$B:$B,CFR20242025_BenchMarkDataReport!BW:BW),0)</f>
        <v>0</v>
      </c>
      <c r="AY73" s="289">
        <f>IFERROR(_xlfn.XLOOKUP($A73,CFR20242025_BenchMarkDataReport!$B:$B,CFR20242025_BenchMarkDataReport!BX:BX),0)</f>
        <v>0</v>
      </c>
      <c r="AZ73" s="289">
        <f>IFERROR(_xlfn.XLOOKUP($A73,CFR20242025_BenchMarkDataReport!$B:$B,CFR20242025_BenchMarkDataReport!BY:BY),0)</f>
        <v>0</v>
      </c>
      <c r="BA73" s="289">
        <f>IFERROR(_xlfn.XLOOKUP($A73,CFR20242025_BenchMarkDataReport!$B:$B,CFR20242025_BenchMarkDataReport!BZ:BZ),0)</f>
        <v>0</v>
      </c>
      <c r="BB73" s="289">
        <f>IFERROR(_xlfn.XLOOKUP($A73,CFR20242025_BenchMarkDataReport!$B:$B,CFR20242025_BenchMarkDataReport!CA:CA),0)</f>
        <v>0</v>
      </c>
      <c r="BC73" s="290">
        <f t="shared" si="180"/>
        <v>1613297.27</v>
      </c>
      <c r="BD73" s="291">
        <f t="shared" si="175"/>
        <v>2180776.65</v>
      </c>
      <c r="BE73" s="327">
        <f t="shared" si="176"/>
        <v>-567479.37999999989</v>
      </c>
      <c r="BF73" s="289">
        <f>IFERROR(_xlfn.XLOOKUP(A73,CFR20242025_BenchMarkDataReport!B:B,CFR20242025_BenchMarkDataReport!Q:Q),0)</f>
        <v>-332763.03000000003</v>
      </c>
      <c r="BG73" s="290">
        <f t="shared" si="177"/>
        <v>-900242.40999999992</v>
      </c>
      <c r="BH73" s="292">
        <f>_xlfn.XLOOKUP(A73,'Pupil on roll 24-25'!E:E,'Pupil on roll 24-25'!I:I)</f>
        <v>196</v>
      </c>
      <c r="BI73" s="291">
        <f t="shared" si="174"/>
        <v>1412382.53</v>
      </c>
      <c r="BJ73" t="s">
        <v>190</v>
      </c>
      <c r="BK73" s="293">
        <f t="shared" si="181"/>
        <v>0.81708345666511917</v>
      </c>
      <c r="BL73" s="294">
        <f t="shared" si="182"/>
        <v>6725.5026020408168</v>
      </c>
      <c r="BM73" s="295">
        <f t="shared" si="183"/>
        <v>0</v>
      </c>
      <c r="BN73" s="296">
        <f t="shared" si="184"/>
        <v>0</v>
      </c>
      <c r="BO73" s="293">
        <f t="shared" si="185"/>
        <v>5.8379829775575091E-2</v>
      </c>
      <c r="BP73" s="294">
        <f t="shared" si="186"/>
        <v>480.53071428571428</v>
      </c>
      <c r="BQ73" s="295">
        <f t="shared" si="187"/>
        <v>0</v>
      </c>
      <c r="BR73" s="296">
        <f t="shared" si="188"/>
        <v>0</v>
      </c>
      <c r="BS73" s="293">
        <f t="shared" si="189"/>
        <v>3.7612411009658502E-2</v>
      </c>
      <c r="BT73" s="294">
        <f t="shared" si="190"/>
        <v>309.59183673469386</v>
      </c>
      <c r="BU73" s="295">
        <f t="shared" si="191"/>
        <v>1.2396971328166941E-4</v>
      </c>
      <c r="BV73" s="296">
        <f t="shared" si="192"/>
        <v>1.0204081632653061</v>
      </c>
      <c r="BW73" s="293">
        <f t="shared" si="193"/>
        <v>3.2542179904637168E-2</v>
      </c>
      <c r="BX73" s="294">
        <f t="shared" si="194"/>
        <v>267.85821428571427</v>
      </c>
      <c r="BY73" s="295">
        <f t="shared" si="195"/>
        <v>1.0718049501193294E-2</v>
      </c>
      <c r="BZ73" s="297">
        <f t="shared" si="196"/>
        <v>88.221428571428575</v>
      </c>
      <c r="CA73" s="298">
        <f t="shared" si="197"/>
        <v>9.6815573239022457E-3</v>
      </c>
      <c r="CB73" s="299">
        <f t="shared" si="198"/>
        <v>79.689948979591833</v>
      </c>
      <c r="CC73" s="295">
        <f t="shared" si="199"/>
        <v>3.3571680190099124E-3</v>
      </c>
      <c r="CD73" s="296">
        <f t="shared" si="200"/>
        <v>27.633214285714285</v>
      </c>
      <c r="CE73" s="300">
        <f t="shared" si="201"/>
        <v>0.6631655094176222</v>
      </c>
      <c r="CF73" s="298">
        <f t="shared" si="202"/>
        <v>0.58057705632886869</v>
      </c>
      <c r="CG73" s="298">
        <f t="shared" si="203"/>
        <v>0.42949991233627716</v>
      </c>
      <c r="CH73" s="299">
        <f t="shared" si="204"/>
        <v>4778.7927551020412</v>
      </c>
      <c r="CI73" s="295">
        <f t="shared" si="205"/>
        <v>0.3007599435543854</v>
      </c>
      <c r="CJ73" s="301">
        <f t="shared" si="206"/>
        <v>0.26330428861383992</v>
      </c>
      <c r="CK73" s="301">
        <f t="shared" si="207"/>
        <v>0.19478752672814983</v>
      </c>
      <c r="CL73" s="302">
        <f t="shared" si="208"/>
        <v>2167.2861734693879</v>
      </c>
      <c r="CM73" s="300">
        <f t="shared" si="209"/>
        <v>2.0221929536327527E-2</v>
      </c>
      <c r="CN73" s="298">
        <f t="shared" si="210"/>
        <v>1.7703556890045439E-2</v>
      </c>
      <c r="CO73" s="298">
        <f t="shared" si="211"/>
        <v>1.3096756148778465E-2</v>
      </c>
      <c r="CP73" s="299">
        <f t="shared" si="212"/>
        <v>145.71989795918367</v>
      </c>
      <c r="CQ73" s="295">
        <f t="shared" si="213"/>
        <v>4.278030116954222E-2</v>
      </c>
      <c r="CR73" s="301">
        <f t="shared" si="214"/>
        <v>3.745258305681011E-2</v>
      </c>
      <c r="CS73" s="301">
        <f t="shared" si="215"/>
        <v>2.7706711735014222E-2</v>
      </c>
      <c r="CT73" s="296">
        <f t="shared" si="216"/>
        <v>308.27627551020407</v>
      </c>
      <c r="CU73" s="300">
        <f t="shared" si="217"/>
        <v>1.0036734170026869</v>
      </c>
      <c r="CV73" s="298">
        <f t="shared" si="218"/>
        <v>0.87867922816233368</v>
      </c>
      <c r="CW73" s="298">
        <f t="shared" si="219"/>
        <v>0.65003025412987625</v>
      </c>
      <c r="CX73" s="299">
        <f t="shared" si="220"/>
        <v>7232.5040816326537</v>
      </c>
      <c r="CY73" s="295">
        <f t="shared" si="221"/>
        <v>1.6312669911033237E-2</v>
      </c>
      <c r="CZ73" s="301">
        <f t="shared" si="222"/>
        <v>1.0564919612469255E-2</v>
      </c>
      <c r="DA73" s="296">
        <f t="shared" si="223"/>
        <v>117.54964285714286</v>
      </c>
      <c r="DB73" s="300">
        <f t="shared" si="224"/>
        <v>2.6755605623345244E-3</v>
      </c>
      <c r="DC73" s="299">
        <f t="shared" si="225"/>
        <v>29.769387755102041</v>
      </c>
      <c r="DD73" s="295">
        <f t="shared" si="226"/>
        <v>3.2478566553779169E-2</v>
      </c>
      <c r="DE73" s="301">
        <f t="shared" si="227"/>
        <v>2.1034781347278275E-2</v>
      </c>
      <c r="DF73" s="296">
        <f t="shared" si="228"/>
        <v>234.04163265306124</v>
      </c>
      <c r="DG73" s="300">
        <f t="shared" si="229"/>
        <v>7.9327871607134635E-3</v>
      </c>
      <c r="DH73" s="298">
        <f t="shared" si="230"/>
        <v>5.1376788173149229E-3</v>
      </c>
      <c r="DI73" s="303">
        <f t="shared" si="231"/>
        <v>57.163928571428571</v>
      </c>
      <c r="DJ73" s="295">
        <f t="shared" si="232"/>
        <v>4.6511252160560207E-2</v>
      </c>
      <c r="DK73" s="301">
        <f t="shared" si="233"/>
        <v>4.0718893672955878E-2</v>
      </c>
      <c r="DL73" s="301">
        <f t="shared" si="234"/>
        <v>3.0123066477257082E-2</v>
      </c>
      <c r="DM73" s="296">
        <f t="shared" si="235"/>
        <v>335.16163265306119</v>
      </c>
      <c r="DN73" s="300">
        <f t="shared" si="236"/>
        <v>1.3744505888217125E-3</v>
      </c>
      <c r="DO73" s="298">
        <f t="shared" si="237"/>
        <v>8.9016452005756758E-4</v>
      </c>
      <c r="DP73" s="299">
        <f t="shared" si="238"/>
        <v>9.904336734693878</v>
      </c>
      <c r="DQ73" s="295">
        <f t="shared" si="239"/>
        <v>0.1908929020808548</v>
      </c>
      <c r="DR73" s="301">
        <f t="shared" si="240"/>
        <v>0.12363200972460889</v>
      </c>
      <c r="DS73" s="296">
        <f t="shared" si="241"/>
        <v>1375.5806122448978</v>
      </c>
      <c r="DT73" s="300">
        <f t="shared" si="242"/>
        <v>3.5660061749102093E-2</v>
      </c>
      <c r="DU73" s="299">
        <f t="shared" si="243"/>
        <v>396.76852040816328</v>
      </c>
      <c r="DV73" s="295">
        <f t="shared" si="178"/>
        <v>1.5284866517623435E-2</v>
      </c>
      <c r="DW73" s="296">
        <f t="shared" si="179"/>
        <v>170.06571428571428</v>
      </c>
      <c r="DX73" s="295">
        <f t="shared" si="244"/>
        <v>2.9028962854701976E-5</v>
      </c>
      <c r="DY73" s="301">
        <f t="shared" si="245"/>
        <v>2.5413791222742227E-5</v>
      </c>
      <c r="DZ73" s="301">
        <f t="shared" si="246"/>
        <v>1.88006415054013E-5</v>
      </c>
      <c r="EA73" s="296">
        <f t="shared" si="247"/>
        <v>0.20918367346938777</v>
      </c>
      <c r="EB73" s="304">
        <f>IFERROR(_xlfn.XLOOKUP(A73,'Pupil on roll 24-25'!E:E,'Pupil on roll 24-25'!R:R),0)</f>
        <v>41</v>
      </c>
      <c r="EC73" s="289">
        <f>IFERROR(_xlfn.XLOOKUP(A73,CFR20242025_BenchMarkDataReport!B:B,CFR20242025_BenchMarkDataReport!AK:AK),0)</f>
        <v>1274.5</v>
      </c>
      <c r="ED73" s="289">
        <f>IFERROR(_xlfn.XLOOKUP(A73,CFR20242025_BenchMarkDataReport!B:B,CFR20242025_BenchMarkDataReport!AL:AL),0)</f>
        <v>46950</v>
      </c>
    </row>
    <row r="74" spans="1:228">
      <c r="A74" s="208">
        <v>2057</v>
      </c>
      <c r="B74" s="326">
        <v>10103</v>
      </c>
      <c r="C74" s="208" t="s">
        <v>108</v>
      </c>
      <c r="D74" s="289">
        <f>IFERROR(_xlfn.XLOOKUP($A74,CFR20242025_BenchMarkDataReport!$B:$B,CFR20242025_BenchMarkDataReport!T:T),0)</f>
        <v>3017699.55</v>
      </c>
      <c r="E74" s="289">
        <f>IFERROR(_xlfn.XLOOKUP($A74,CFR20242025_BenchMarkDataReport!$B:$B,CFR20242025_BenchMarkDataReport!U:U),0)</f>
        <v>0</v>
      </c>
      <c r="F74" s="289">
        <f>IFERROR(_xlfn.XLOOKUP($A74,CFR20242025_BenchMarkDataReport!$B:$B,CFR20242025_BenchMarkDataReport!V:V),0)</f>
        <v>200962.45</v>
      </c>
      <c r="G74" s="289">
        <f>IFERROR(_xlfn.XLOOKUP($A74,CFR20242025_BenchMarkDataReport!$B:$B,CFR20242025_BenchMarkDataReport!W:W),0)</f>
        <v>0</v>
      </c>
      <c r="H74" s="289">
        <f>IFERROR(_xlfn.XLOOKUP($A74,CFR20242025_BenchMarkDataReport!$B:$B,CFR20242025_BenchMarkDataReport!X:X),0)</f>
        <v>273800</v>
      </c>
      <c r="I74" s="289">
        <f>IFERROR(_xlfn.XLOOKUP($A74,CFR20242025_BenchMarkDataReport!$B:$B,CFR20242025_BenchMarkDataReport!Y:Y),0)</f>
        <v>22133.95</v>
      </c>
      <c r="J74" s="289">
        <f>IFERROR(_xlfn.XLOOKUP($A74,CFR20242025_BenchMarkDataReport!$B:$B,CFR20242025_BenchMarkDataReport!Z:Z),0)</f>
        <v>145692.91</v>
      </c>
      <c r="K74" s="289">
        <f>IFERROR(_xlfn.XLOOKUP($A74,CFR20242025_BenchMarkDataReport!$B:$B,CFR20242025_BenchMarkDataReport!AA:AA),0)</f>
        <v>10269.25</v>
      </c>
      <c r="L74" s="289">
        <f>IFERROR(_xlfn.XLOOKUP($A74,CFR20242025_BenchMarkDataReport!$B:$B,CFR20242025_BenchMarkDataReport!AB:AB),0)</f>
        <v>68675.58</v>
      </c>
      <c r="M74" s="289">
        <f>IFERROR(_xlfn.XLOOKUP($A74,CFR20242025_BenchMarkDataReport!$B:$B,CFR20242025_BenchMarkDataReport!AC:AC),0)</f>
        <v>37.28</v>
      </c>
      <c r="N74" s="289">
        <f>IFERROR(_xlfn.XLOOKUP($A74,CFR20242025_BenchMarkDataReport!$B:$B,CFR20242025_BenchMarkDataReport!AD:AD),0)</f>
        <v>0</v>
      </c>
      <c r="O74" s="289">
        <f>IFERROR(_xlfn.XLOOKUP($A74,CFR20242025_BenchMarkDataReport!$B:$B,CFR20242025_BenchMarkDataReport!AE:AE),0)</f>
        <v>0</v>
      </c>
      <c r="P74" s="289">
        <f>IFERROR(_xlfn.XLOOKUP($A74,CFR20242025_BenchMarkDataReport!$B:$B,CFR20242025_BenchMarkDataReport!AF:AF),0)</f>
        <v>31189.24</v>
      </c>
      <c r="Q74" s="289">
        <f>IFERROR(_xlfn.XLOOKUP($A74,CFR20242025_BenchMarkDataReport!$B:$B,CFR20242025_BenchMarkDataReport!AG:AG),0)</f>
        <v>21715.279999999999</v>
      </c>
      <c r="R74" s="289">
        <f>IFERROR(_xlfn.XLOOKUP($A74,CFR20242025_BenchMarkDataReport!$B:$B,CFR20242025_BenchMarkDataReport!AH:AH),0)</f>
        <v>0</v>
      </c>
      <c r="S74" s="289">
        <f>IFERROR(_xlfn.XLOOKUP($A74,CFR20242025_BenchMarkDataReport!$B:$B,CFR20242025_BenchMarkDataReport!AI:AI),0)</f>
        <v>206157.6</v>
      </c>
      <c r="T74" s="289">
        <f>IFERROR(_xlfn.XLOOKUP($A74,CFR20242025_BenchMarkDataReport!$B:$B,CFR20242025_BenchMarkDataReport!AJ:AJ),0)</f>
        <v>4248.99</v>
      </c>
      <c r="U74" s="289">
        <f>INDEX(CFR20242025_BenchMarkDataReport!$B$3:$AM$87,MATCH(A74,CFR20242025_BenchMarkDataReport!$B$3:$B$87),MATCH($U$2,CFR20242025_BenchMarkDataReport!$B$3:$AM$3,0))</f>
        <v>66124.75</v>
      </c>
      <c r="V74" s="289">
        <f>IFERROR(_xlfn.XLOOKUP($A74,CFR20242025_BenchMarkDataReport!$B:$B,CFR20242025_BenchMarkDataReport!AN:AN),0)</f>
        <v>1623813.1</v>
      </c>
      <c r="W74" s="289">
        <f>IFERROR(_xlfn.XLOOKUP($A74,CFR20242025_BenchMarkDataReport!$B:$B,CFR20242025_BenchMarkDataReport!AO:AO),0)</f>
        <v>0</v>
      </c>
      <c r="X74" s="289">
        <f>IFERROR(_xlfn.XLOOKUP($A74,CFR20242025_BenchMarkDataReport!$B:$B,CFR20242025_BenchMarkDataReport!AP:AP),0)</f>
        <v>802225.48</v>
      </c>
      <c r="Y74" s="289">
        <f>IFERROR(_xlfn.XLOOKUP($A74,CFR20242025_BenchMarkDataReport!$B:$B,CFR20242025_BenchMarkDataReport!AQ:AQ),0)</f>
        <v>92118.25</v>
      </c>
      <c r="Z74" s="289">
        <f>IFERROR(_xlfn.XLOOKUP($A74,CFR20242025_BenchMarkDataReport!$B:$B,CFR20242025_BenchMarkDataReport!AR:AR),0)</f>
        <v>106731.33</v>
      </c>
      <c r="AA74" s="289">
        <f>IFERROR(_xlfn.XLOOKUP($A74,CFR20242025_BenchMarkDataReport!$B:$B,CFR20242025_BenchMarkDataReport!AS:AS),0)</f>
        <v>0</v>
      </c>
      <c r="AB74" s="289">
        <f>IFERROR(_xlfn.XLOOKUP($A74,CFR20242025_BenchMarkDataReport!$B:$B,CFR20242025_BenchMarkDataReport!AT:AT),0)</f>
        <v>102542.6</v>
      </c>
      <c r="AC74" s="289">
        <f>IFERROR(_xlfn.XLOOKUP($A74,CFR20242025_BenchMarkDataReport!$B:$B,CFR20242025_BenchMarkDataReport!AU:AU),0)</f>
        <v>15271.87</v>
      </c>
      <c r="AD74" s="289">
        <f>IFERROR(_xlfn.XLOOKUP($A74,CFR20242025_BenchMarkDataReport!$B:$B,CFR20242025_BenchMarkDataReport!AV:AV),0)</f>
        <v>4770.3999999999996</v>
      </c>
      <c r="AE74" s="289">
        <f>IFERROR(_xlfn.XLOOKUP($A74,CFR20242025_BenchMarkDataReport!$B:$B,CFR20242025_BenchMarkDataReport!AW:AW),0)</f>
        <v>755.3</v>
      </c>
      <c r="AF74" s="289">
        <f>IFERROR(_xlfn.XLOOKUP($A74,CFR20242025_BenchMarkDataReport!$B:$B,CFR20242025_BenchMarkDataReport!AX:AX),0)</f>
        <v>0</v>
      </c>
      <c r="AG74" s="289">
        <f>IFERROR(_xlfn.XLOOKUP($A74,CFR20242025_BenchMarkDataReport!$B:$B,CFR20242025_BenchMarkDataReport!AY:AY),0)</f>
        <v>16746.45</v>
      </c>
      <c r="AH74" s="289">
        <f>IFERROR(_xlfn.XLOOKUP($A74,CFR20242025_BenchMarkDataReport!$B:$B,CFR20242025_BenchMarkDataReport!AZ:AZ),0)</f>
        <v>12835</v>
      </c>
      <c r="AI74" s="289">
        <f>IFERROR(_xlfn.XLOOKUP($A74,CFR20242025_BenchMarkDataReport!$B:$B,CFR20242025_BenchMarkDataReport!BA:BA),0)</f>
        <v>22796.18</v>
      </c>
      <c r="AJ74" s="289">
        <f>IFERROR(_xlfn.XLOOKUP($A74,CFR20242025_BenchMarkDataReport!$B:$B,CFR20242025_BenchMarkDataReport!BB:BB),0)</f>
        <v>14729.09</v>
      </c>
      <c r="AK74" s="289">
        <f>IFERROR(_xlfn.XLOOKUP($A74,CFR20242025_BenchMarkDataReport!$B:$B,CFR20242025_BenchMarkDataReport!BC:BC),0)</f>
        <v>64924.82</v>
      </c>
      <c r="AL74" s="289">
        <f>IFERROR(_xlfn.XLOOKUP($A74,CFR20242025_BenchMarkDataReport!$B:$B,CFR20242025_BenchMarkDataReport!BD:BD),0)</f>
        <v>63600</v>
      </c>
      <c r="AM74" s="289">
        <f>IFERROR(_xlfn.XLOOKUP($A74,CFR20242025_BenchMarkDataReport!$B:$B,CFR20242025_BenchMarkDataReport!BE:BE),0)</f>
        <v>17482.98</v>
      </c>
      <c r="AN74" s="289">
        <f>IFERROR(_xlfn.XLOOKUP($A74,CFR20242025_BenchMarkDataReport!$B:$B,CFR20242025_BenchMarkDataReport!BF:BF),0)</f>
        <v>81400.800000000003</v>
      </c>
      <c r="AO74" s="289">
        <f>IFERROR(_xlfn.XLOOKUP($A74,CFR20242025_BenchMarkDataReport!$B:$B,CFR20242025_BenchMarkDataReport!BN:BN),0)</f>
        <v>36359.629999999997</v>
      </c>
      <c r="AP74" s="289">
        <f>IFERROR(_xlfn.XLOOKUP($A74,CFR20242025_BenchMarkDataReport!$B:$B,CFR20242025_BenchMarkDataReport!BO:BO),0)</f>
        <v>0</v>
      </c>
      <c r="AQ74" s="289">
        <f>IFERROR(_xlfn.XLOOKUP($A74,CFR20242025_BenchMarkDataReport!$B:$B,CFR20242025_BenchMarkDataReport!BP:BP),0)</f>
        <v>9546.09</v>
      </c>
      <c r="AR74" s="289">
        <f>IFERROR(_xlfn.XLOOKUP($A74,CFR20242025_BenchMarkDataReport!$B:$B,CFR20242025_BenchMarkDataReport!BQ:BQ),0)</f>
        <v>18604.95</v>
      </c>
      <c r="AS74" s="289">
        <f>IFERROR(_xlfn.XLOOKUP($A74,CFR20242025_BenchMarkDataReport!$B:$B,CFR20242025_BenchMarkDataReport!BR:BR),0)</f>
        <v>40172.36</v>
      </c>
      <c r="AT74" s="289">
        <f>IFERROR(_xlfn.XLOOKUP($A74,CFR20242025_BenchMarkDataReport!$B:$B,CFR20242025_BenchMarkDataReport!BS:BS),0)</f>
        <v>156611.26999999999</v>
      </c>
      <c r="AU74" s="289">
        <f>IFERROR(_xlfn.XLOOKUP($A74,CFR20242025_BenchMarkDataReport!$B:$B,CFR20242025_BenchMarkDataReport!BT:BT),0)</f>
        <v>109252.33</v>
      </c>
      <c r="AV74" s="289">
        <f>IFERROR(_xlfn.XLOOKUP($A74,CFR20242025_BenchMarkDataReport!$B:$B,CFR20242025_BenchMarkDataReport!BU:BU),0)</f>
        <v>329659.26</v>
      </c>
      <c r="AW74" s="289">
        <f>IFERROR(_xlfn.XLOOKUP($A74,CFR20242025_BenchMarkDataReport!$B:$B,CFR20242025_BenchMarkDataReport!BV:BV),0)</f>
        <v>39637.800000000003</v>
      </c>
      <c r="AX74" s="289">
        <f>IFERROR(_xlfn.XLOOKUP($A74,CFR20242025_BenchMarkDataReport!$B:$B,CFR20242025_BenchMarkDataReport!BW:BW),0)</f>
        <v>0</v>
      </c>
      <c r="AY74" s="289">
        <f>IFERROR(_xlfn.XLOOKUP($A74,CFR20242025_BenchMarkDataReport!$B:$B,CFR20242025_BenchMarkDataReport!BX:BX),0)</f>
        <v>0</v>
      </c>
      <c r="AZ74" s="289">
        <f>IFERROR(_xlfn.XLOOKUP($A74,CFR20242025_BenchMarkDataReport!$B:$B,CFR20242025_BenchMarkDataReport!BY:BY),0)</f>
        <v>0</v>
      </c>
      <c r="BA74" s="289">
        <f>IFERROR(_xlfn.XLOOKUP($A74,CFR20242025_BenchMarkDataReport!$B:$B,CFR20242025_BenchMarkDataReport!BZ:BZ),0)</f>
        <v>142213.65</v>
      </c>
      <c r="BB74" s="289">
        <f>IFERROR(_xlfn.XLOOKUP($A74,CFR20242025_BenchMarkDataReport!$B:$B,CFR20242025_BenchMarkDataReport!CA:CA),0)</f>
        <v>49780.87</v>
      </c>
      <c r="BC74" s="290">
        <f t="shared" si="180"/>
        <v>3858300.24</v>
      </c>
      <c r="BD74" s="291">
        <f t="shared" si="175"/>
        <v>3782587.34</v>
      </c>
      <c r="BE74" s="327">
        <f t="shared" si="176"/>
        <v>75712.900000000373</v>
      </c>
      <c r="BF74" s="289">
        <f>IFERROR(_xlfn.XLOOKUP(A74,CFR20242025_BenchMarkDataReport!B:B,CFR20242025_BenchMarkDataReport!Q:Q),0)</f>
        <v>453008.1</v>
      </c>
      <c r="BG74" s="290">
        <f t="shared" si="177"/>
        <v>528721.00000000035</v>
      </c>
      <c r="BH74" s="292">
        <f>_xlfn.XLOOKUP(A74,'Pupil on roll 24-25'!E:E,'Pupil on roll 24-25'!I:I)</f>
        <v>455</v>
      </c>
      <c r="BI74" s="291">
        <f t="shared" si="174"/>
        <v>3218662</v>
      </c>
      <c r="BJ74" t="s">
        <v>190</v>
      </c>
      <c r="BK74" s="293">
        <f t="shared" si="181"/>
        <v>0.78213186177548477</v>
      </c>
      <c r="BL74" s="294">
        <f t="shared" si="182"/>
        <v>6632.3067032967028</v>
      </c>
      <c r="BM74" s="295">
        <f t="shared" si="183"/>
        <v>0</v>
      </c>
      <c r="BN74" s="296">
        <f t="shared" si="184"/>
        <v>0</v>
      </c>
      <c r="BO74" s="293">
        <f t="shared" si="185"/>
        <v>5.208574696094672E-2</v>
      </c>
      <c r="BP74" s="294">
        <f t="shared" si="186"/>
        <v>441.67571428571432</v>
      </c>
      <c r="BQ74" s="295">
        <f t="shared" si="187"/>
        <v>0</v>
      </c>
      <c r="BR74" s="296">
        <f t="shared" si="188"/>
        <v>0</v>
      </c>
      <c r="BS74" s="293">
        <f t="shared" si="189"/>
        <v>7.0963891602173493E-2</v>
      </c>
      <c r="BT74" s="294">
        <f t="shared" si="190"/>
        <v>601.75824175824175</v>
      </c>
      <c r="BU74" s="295">
        <f t="shared" si="191"/>
        <v>5.7367101114971812E-3</v>
      </c>
      <c r="BV74" s="296">
        <f t="shared" si="192"/>
        <v>48.646043956043961</v>
      </c>
      <c r="BW74" s="293">
        <f t="shared" si="193"/>
        <v>3.7760905304767056E-2</v>
      </c>
      <c r="BX74" s="294">
        <f t="shared" si="194"/>
        <v>320.20419780219783</v>
      </c>
      <c r="BY74" s="295">
        <f t="shared" si="195"/>
        <v>2.0461038563447824E-2</v>
      </c>
      <c r="BZ74" s="297">
        <f t="shared" si="196"/>
        <v>173.50512087912088</v>
      </c>
      <c r="CA74" s="298">
        <f t="shared" si="197"/>
        <v>8.0836736541788669E-3</v>
      </c>
      <c r="CB74" s="299">
        <f t="shared" si="198"/>
        <v>68.547780219780222</v>
      </c>
      <c r="CC74" s="295">
        <f t="shared" si="199"/>
        <v>5.6281985976290938E-3</v>
      </c>
      <c r="CD74" s="296">
        <f t="shared" si="200"/>
        <v>47.725890109890109</v>
      </c>
      <c r="CE74" s="300">
        <f t="shared" si="201"/>
        <v>0.53844281567931029</v>
      </c>
      <c r="CF74" s="298">
        <f t="shared" si="202"/>
        <v>0.44917847813730538</v>
      </c>
      <c r="CG74" s="298">
        <f t="shared" si="203"/>
        <v>0.45816930958162627</v>
      </c>
      <c r="CH74" s="299">
        <f t="shared" si="204"/>
        <v>3808.9350109890115</v>
      </c>
      <c r="CI74" s="295">
        <f t="shared" si="205"/>
        <v>0.24924191480807864</v>
      </c>
      <c r="CJ74" s="301">
        <f t="shared" si="206"/>
        <v>0.20792199416808474</v>
      </c>
      <c r="CK74" s="301">
        <f t="shared" si="207"/>
        <v>0.21208379553239873</v>
      </c>
      <c r="CL74" s="302">
        <f t="shared" si="208"/>
        <v>1763.1329230769231</v>
      </c>
      <c r="CM74" s="300">
        <f t="shared" si="209"/>
        <v>2.8620044602384469E-2</v>
      </c>
      <c r="CN74" s="298">
        <f t="shared" si="210"/>
        <v>2.3875345170131186E-2</v>
      </c>
      <c r="CO74" s="298">
        <f t="shared" si="211"/>
        <v>2.435323806693648E-2</v>
      </c>
      <c r="CP74" s="299">
        <f t="shared" si="212"/>
        <v>202.4576923076923</v>
      </c>
      <c r="CQ74" s="295">
        <f t="shared" si="213"/>
        <v>3.3160154747531742E-2</v>
      </c>
      <c r="CR74" s="301">
        <f t="shared" si="214"/>
        <v>2.7662784998815953E-2</v>
      </c>
      <c r="CS74" s="301">
        <f t="shared" si="215"/>
        <v>2.821648792384527E-2</v>
      </c>
      <c r="CT74" s="296">
        <f t="shared" si="216"/>
        <v>234.57435164835167</v>
      </c>
      <c r="CU74" s="300">
        <f t="shared" si="217"/>
        <v>0.84738029653315583</v>
      </c>
      <c r="CV74" s="298">
        <f t="shared" si="218"/>
        <v>0.70689956466425741</v>
      </c>
      <c r="CW74" s="298">
        <f t="shared" si="219"/>
        <v>0.72104898442345033</v>
      </c>
      <c r="CX74" s="299">
        <f t="shared" si="220"/>
        <v>5994.3533186813193</v>
      </c>
      <c r="CY74" s="295">
        <f t="shared" si="221"/>
        <v>5.2029228294241522E-3</v>
      </c>
      <c r="CZ74" s="301">
        <f t="shared" si="222"/>
        <v>4.4272474089124408E-3</v>
      </c>
      <c r="DA74" s="296">
        <f t="shared" si="223"/>
        <v>36.805384615384618</v>
      </c>
      <c r="DB74" s="300">
        <f t="shared" si="224"/>
        <v>3.8939193404057661E-3</v>
      </c>
      <c r="DC74" s="299">
        <f t="shared" si="225"/>
        <v>32.371626373626377</v>
      </c>
      <c r="DD74" s="295">
        <f t="shared" si="226"/>
        <v>2.0171369345398801E-2</v>
      </c>
      <c r="DE74" s="301">
        <f t="shared" si="227"/>
        <v>1.7164129777899589E-2</v>
      </c>
      <c r="DF74" s="296">
        <f t="shared" si="228"/>
        <v>142.6919120879121</v>
      </c>
      <c r="DG74" s="300">
        <f t="shared" si="229"/>
        <v>5.4317539399912134E-3</v>
      </c>
      <c r="DH74" s="298">
        <f t="shared" si="230"/>
        <v>4.6219633358155323E-3</v>
      </c>
      <c r="DI74" s="303">
        <f t="shared" si="231"/>
        <v>38.424131868131866</v>
      </c>
      <c r="DJ74" s="295">
        <f t="shared" si="232"/>
        <v>2.5290260362846425E-2</v>
      </c>
      <c r="DK74" s="301">
        <f t="shared" si="233"/>
        <v>2.1097580524215502E-2</v>
      </c>
      <c r="DL74" s="301">
        <f t="shared" si="234"/>
        <v>2.1519873219900326E-2</v>
      </c>
      <c r="DM74" s="296">
        <f t="shared" si="235"/>
        <v>178.90285714285716</v>
      </c>
      <c r="DN74" s="300">
        <f t="shared" si="236"/>
        <v>2.9658566199246769E-3</v>
      </c>
      <c r="DO74" s="298">
        <f t="shared" si="237"/>
        <v>2.5236932136509507E-3</v>
      </c>
      <c r="DP74" s="299">
        <f t="shared" si="238"/>
        <v>20.980417582417584</v>
      </c>
      <c r="DQ74" s="295">
        <f t="shared" si="239"/>
        <v>0.10242121104980891</v>
      </c>
      <c r="DR74" s="301">
        <f t="shared" si="240"/>
        <v>8.7151790657661335E-2</v>
      </c>
      <c r="DS74" s="296">
        <f t="shared" si="241"/>
        <v>724.52584615384615</v>
      </c>
      <c r="DT74" s="300">
        <f t="shared" si="242"/>
        <v>4.1403213177359177E-2</v>
      </c>
      <c r="DU74" s="299">
        <f t="shared" si="243"/>
        <v>344.20059340659338</v>
      </c>
      <c r="DV74" s="295">
        <f t="shared" si="178"/>
        <v>6.0266103465571267E-3</v>
      </c>
      <c r="DW74" s="296">
        <f t="shared" si="179"/>
        <v>50.101494505494507</v>
      </c>
      <c r="DX74" s="295">
        <f t="shared" si="244"/>
        <v>5.7477299573549505E-5</v>
      </c>
      <c r="DY74" s="301">
        <f t="shared" si="245"/>
        <v>4.7948575406873986E-5</v>
      </c>
      <c r="DZ74" s="301">
        <f t="shared" si="246"/>
        <v>4.8908322101030459E-5</v>
      </c>
      <c r="EA74" s="296">
        <f t="shared" si="247"/>
        <v>0.40659340659340659</v>
      </c>
      <c r="EB74" s="304">
        <f>IFERROR(_xlfn.XLOOKUP(A74,'Pupil on roll 24-25'!E:E,'Pupil on roll 24-25'!R:R),0)</f>
        <v>185</v>
      </c>
      <c r="EC74" s="289">
        <f>IFERROR(_xlfn.XLOOKUP(A74,CFR20242025_BenchMarkDataReport!B:B,CFR20242025_BenchMarkDataReport!AK:AK),0)</f>
        <v>13919.75</v>
      </c>
      <c r="ED74" s="289">
        <f>IFERROR(_xlfn.XLOOKUP(A74,CFR20242025_BenchMarkDataReport!B:B,CFR20242025_BenchMarkDataReport!AL:AL),0)</f>
        <v>52205</v>
      </c>
    </row>
    <row r="75" spans="1:228" ht="15.6" thickBot="1">
      <c r="A75" s="208">
        <v>2076</v>
      </c>
      <c r="B75" s="326">
        <v>10124</v>
      </c>
      <c r="C75" s="208" t="s">
        <v>110</v>
      </c>
      <c r="D75" s="289">
        <f>IFERROR(_xlfn.XLOOKUP($A75,CFR20242025_BenchMarkDataReport!$B:$B,CFR20242025_BenchMarkDataReport!T:T),0)</f>
        <v>1777480.14</v>
      </c>
      <c r="E75" s="289">
        <f>IFERROR(_xlfn.XLOOKUP($A75,CFR20242025_BenchMarkDataReport!$B:$B,CFR20242025_BenchMarkDataReport!U:U),0)</f>
        <v>0</v>
      </c>
      <c r="F75" s="289">
        <f>IFERROR(_xlfn.XLOOKUP($A75,CFR20242025_BenchMarkDataReport!$B:$B,CFR20242025_BenchMarkDataReport!V:V),0)</f>
        <v>186796.9</v>
      </c>
      <c r="G75" s="289">
        <f>IFERROR(_xlfn.XLOOKUP($A75,CFR20242025_BenchMarkDataReport!$B:$B,CFR20242025_BenchMarkDataReport!W:W),0)</f>
        <v>0</v>
      </c>
      <c r="H75" s="289">
        <f>IFERROR(_xlfn.XLOOKUP($A75,CFR20242025_BenchMarkDataReport!$B:$B,CFR20242025_BenchMarkDataReport!X:X),0)</f>
        <v>125800</v>
      </c>
      <c r="I75" s="289">
        <f>IFERROR(_xlfn.XLOOKUP($A75,CFR20242025_BenchMarkDataReport!$B:$B,CFR20242025_BenchMarkDataReport!Y:Y),0)</f>
        <v>15213.11</v>
      </c>
      <c r="J75" s="289">
        <f>IFERROR(_xlfn.XLOOKUP($A75,CFR20242025_BenchMarkDataReport!$B:$B,CFR20242025_BenchMarkDataReport!Z:Z),0)</f>
        <v>133365.42000000001</v>
      </c>
      <c r="K75" s="289">
        <f>IFERROR(_xlfn.XLOOKUP($A75,CFR20242025_BenchMarkDataReport!$B:$B,CFR20242025_BenchMarkDataReport!AA:AA),0)</f>
        <v>80573.06</v>
      </c>
      <c r="L75" s="289">
        <f>IFERROR(_xlfn.XLOOKUP($A75,CFR20242025_BenchMarkDataReport!$B:$B,CFR20242025_BenchMarkDataReport!AB:AB),0)</f>
        <v>23632.23</v>
      </c>
      <c r="M75" s="289">
        <f>IFERROR(_xlfn.XLOOKUP($A75,CFR20242025_BenchMarkDataReport!$B:$B,CFR20242025_BenchMarkDataReport!AC:AC),0)</f>
        <v>323.07</v>
      </c>
      <c r="N75" s="289">
        <f>IFERROR(_xlfn.XLOOKUP($A75,CFR20242025_BenchMarkDataReport!$B:$B,CFR20242025_BenchMarkDataReport!AD:AD),0)</f>
        <v>0</v>
      </c>
      <c r="O75" s="289">
        <f>IFERROR(_xlfn.XLOOKUP($A75,CFR20242025_BenchMarkDataReport!$B:$B,CFR20242025_BenchMarkDataReport!AE:AE),0)</f>
        <v>0</v>
      </c>
      <c r="P75" s="289">
        <f>IFERROR(_xlfn.XLOOKUP($A75,CFR20242025_BenchMarkDataReport!$B:$B,CFR20242025_BenchMarkDataReport!AF:AF),0)</f>
        <v>6302.55</v>
      </c>
      <c r="Q75" s="289">
        <f>IFERROR(_xlfn.XLOOKUP($A75,CFR20242025_BenchMarkDataReport!$B:$B,CFR20242025_BenchMarkDataReport!AG:AG),0)</f>
        <v>13238.88</v>
      </c>
      <c r="R75" s="289">
        <f>IFERROR(_xlfn.XLOOKUP($A75,CFR20242025_BenchMarkDataReport!$B:$B,CFR20242025_BenchMarkDataReport!AH:AH),0)</f>
        <v>0</v>
      </c>
      <c r="S75" s="289">
        <f>IFERROR(_xlfn.XLOOKUP($A75,CFR20242025_BenchMarkDataReport!$B:$B,CFR20242025_BenchMarkDataReport!AI:AI),0)</f>
        <v>0</v>
      </c>
      <c r="T75" s="289">
        <f>IFERROR(_xlfn.XLOOKUP($A75,CFR20242025_BenchMarkDataReport!$B:$B,CFR20242025_BenchMarkDataReport!AJ:AJ),0)</f>
        <v>0</v>
      </c>
      <c r="U75" s="289">
        <f>INDEX(CFR20242025_BenchMarkDataReport!$B$3:$AM$87,MATCH(A75,CFR20242025_BenchMarkDataReport!$B$3:$B$87),MATCH($U$2,CFR20242025_BenchMarkDataReport!$B$3:$AM$3,0))</f>
        <v>59651.25</v>
      </c>
      <c r="V75" s="289">
        <f>IFERROR(_xlfn.XLOOKUP($A75,CFR20242025_BenchMarkDataReport!$B:$B,CFR20242025_BenchMarkDataReport!AN:AN),0)</f>
        <v>1030854.02</v>
      </c>
      <c r="W75" s="289">
        <f>IFERROR(_xlfn.XLOOKUP($A75,CFR20242025_BenchMarkDataReport!$B:$B,CFR20242025_BenchMarkDataReport!AO:AO),0)</f>
        <v>2788.1</v>
      </c>
      <c r="X75" s="289">
        <f>IFERROR(_xlfn.XLOOKUP($A75,CFR20242025_BenchMarkDataReport!$B:$B,CFR20242025_BenchMarkDataReport!AP:AP),0)</f>
        <v>395050.8</v>
      </c>
      <c r="Y75" s="289">
        <f>IFERROR(_xlfn.XLOOKUP($A75,CFR20242025_BenchMarkDataReport!$B:$B,CFR20242025_BenchMarkDataReport!AQ:AQ),0)</f>
        <v>30801.48</v>
      </c>
      <c r="Z75" s="289">
        <f>IFERROR(_xlfn.XLOOKUP($A75,CFR20242025_BenchMarkDataReport!$B:$B,CFR20242025_BenchMarkDataReport!AR:AR),0)</f>
        <v>157286.41</v>
      </c>
      <c r="AA75" s="289">
        <f>IFERROR(_xlfn.XLOOKUP($A75,CFR20242025_BenchMarkDataReport!$B:$B,CFR20242025_BenchMarkDataReport!AS:AS),0)</f>
        <v>0</v>
      </c>
      <c r="AB75" s="289">
        <f>IFERROR(_xlfn.XLOOKUP($A75,CFR20242025_BenchMarkDataReport!$B:$B,CFR20242025_BenchMarkDataReport!AT:AT),0)</f>
        <v>56591.87</v>
      </c>
      <c r="AC75" s="289">
        <f>IFERROR(_xlfn.XLOOKUP($A75,CFR20242025_BenchMarkDataReport!$B:$B,CFR20242025_BenchMarkDataReport!AU:AU),0)</f>
        <v>29997.79</v>
      </c>
      <c r="AD75" s="289">
        <f>IFERROR(_xlfn.XLOOKUP($A75,CFR20242025_BenchMarkDataReport!$B:$B,CFR20242025_BenchMarkDataReport!AV:AV),0)</f>
        <v>1684.89</v>
      </c>
      <c r="AE75" s="289">
        <f>IFERROR(_xlfn.XLOOKUP($A75,CFR20242025_BenchMarkDataReport!$B:$B,CFR20242025_BenchMarkDataReport!AW:AW),0)</f>
        <v>434.92</v>
      </c>
      <c r="AF75" s="289">
        <f>IFERROR(_xlfn.XLOOKUP($A75,CFR20242025_BenchMarkDataReport!$B:$B,CFR20242025_BenchMarkDataReport!AX:AX),0)</f>
        <v>0</v>
      </c>
      <c r="AG75" s="289">
        <f>IFERROR(_xlfn.XLOOKUP($A75,CFR20242025_BenchMarkDataReport!$B:$B,CFR20242025_BenchMarkDataReport!AY:AY),0)</f>
        <v>41306.78</v>
      </c>
      <c r="AH75" s="289">
        <f>IFERROR(_xlfn.XLOOKUP($A75,CFR20242025_BenchMarkDataReport!$B:$B,CFR20242025_BenchMarkDataReport!AZ:AZ),0)</f>
        <v>1661.61</v>
      </c>
      <c r="AI75" s="289">
        <f>IFERROR(_xlfn.XLOOKUP($A75,CFR20242025_BenchMarkDataReport!$B:$B,CFR20242025_BenchMarkDataReport!BA:BA),0)</f>
        <v>69353.52</v>
      </c>
      <c r="AJ75" s="289">
        <f>IFERROR(_xlfn.XLOOKUP($A75,CFR20242025_BenchMarkDataReport!$B:$B,CFR20242025_BenchMarkDataReport!BB:BB),0)</f>
        <v>20743.009999999998</v>
      </c>
      <c r="AK75" s="289">
        <f>IFERROR(_xlfn.XLOOKUP($A75,CFR20242025_BenchMarkDataReport!$B:$B,CFR20242025_BenchMarkDataReport!BC:BC),0)</f>
        <v>76197.03</v>
      </c>
      <c r="AL75" s="289">
        <f>IFERROR(_xlfn.XLOOKUP($A75,CFR20242025_BenchMarkDataReport!$B:$B,CFR20242025_BenchMarkDataReport!BD:BD),0)</f>
        <v>37500</v>
      </c>
      <c r="AM75" s="289">
        <f>IFERROR(_xlfn.XLOOKUP($A75,CFR20242025_BenchMarkDataReport!$B:$B,CFR20242025_BenchMarkDataReport!BE:BE),0)</f>
        <v>12560.18</v>
      </c>
      <c r="AN75" s="289">
        <f>IFERROR(_xlfn.XLOOKUP($A75,CFR20242025_BenchMarkDataReport!$B:$B,CFR20242025_BenchMarkDataReport!BF:BF),0)</f>
        <v>48058.36</v>
      </c>
      <c r="AO75" s="289">
        <f>IFERROR(_xlfn.XLOOKUP($A75,CFR20242025_BenchMarkDataReport!$B:$B,CFR20242025_BenchMarkDataReport!BN:BN),0)</f>
        <v>35060.31</v>
      </c>
      <c r="AP75" s="289">
        <f>IFERROR(_xlfn.XLOOKUP($A75,CFR20242025_BenchMarkDataReport!$B:$B,CFR20242025_BenchMarkDataReport!BO:BO),0)</f>
        <v>0</v>
      </c>
      <c r="AQ75" s="289">
        <f>IFERROR(_xlfn.XLOOKUP($A75,CFR20242025_BenchMarkDataReport!$B:$B,CFR20242025_BenchMarkDataReport!BP:BP),0)</f>
        <v>3889.67</v>
      </c>
      <c r="AR75" s="289">
        <f>IFERROR(_xlfn.XLOOKUP($A75,CFR20242025_BenchMarkDataReport!$B:$B,CFR20242025_BenchMarkDataReport!BQ:BQ),0)</f>
        <v>11816.76</v>
      </c>
      <c r="AS75" s="289">
        <f>IFERROR(_xlfn.XLOOKUP($A75,CFR20242025_BenchMarkDataReport!$B:$B,CFR20242025_BenchMarkDataReport!BR:BR),0)</f>
        <v>11122.76</v>
      </c>
      <c r="AT75" s="289">
        <f>IFERROR(_xlfn.XLOOKUP($A75,CFR20242025_BenchMarkDataReport!$B:$B,CFR20242025_BenchMarkDataReport!BS:BS),0)</f>
        <v>101018.49</v>
      </c>
      <c r="AU75" s="289">
        <f>IFERROR(_xlfn.XLOOKUP($A75,CFR20242025_BenchMarkDataReport!$B:$B,CFR20242025_BenchMarkDataReport!BT:BT),0)</f>
        <v>25237.18</v>
      </c>
      <c r="AV75" s="289">
        <f>IFERROR(_xlfn.XLOOKUP($A75,CFR20242025_BenchMarkDataReport!$B:$B,CFR20242025_BenchMarkDataReport!BU:BU),0)</f>
        <v>235294.2</v>
      </c>
      <c r="AW75" s="289">
        <f>IFERROR(_xlfn.XLOOKUP($A75,CFR20242025_BenchMarkDataReport!$B:$B,CFR20242025_BenchMarkDataReport!BV:BV),0)</f>
        <v>33654.400000000001</v>
      </c>
      <c r="AX75" s="289">
        <f>IFERROR(_xlfn.XLOOKUP($A75,CFR20242025_BenchMarkDataReport!$B:$B,CFR20242025_BenchMarkDataReport!BW:BW),0)</f>
        <v>0</v>
      </c>
      <c r="AY75" s="289">
        <f>IFERROR(_xlfn.XLOOKUP($A75,CFR20242025_BenchMarkDataReport!$B:$B,CFR20242025_BenchMarkDataReport!BX:BX),0)</f>
        <v>0</v>
      </c>
      <c r="AZ75" s="289">
        <f>IFERROR(_xlfn.XLOOKUP($A75,CFR20242025_BenchMarkDataReport!$B:$B,CFR20242025_BenchMarkDataReport!BY:BY),0)</f>
        <v>14366</v>
      </c>
      <c r="BA75" s="289">
        <f>IFERROR(_xlfn.XLOOKUP($A75,CFR20242025_BenchMarkDataReport!$B:$B,CFR20242025_BenchMarkDataReport!BZ:BZ),0)</f>
        <v>0</v>
      </c>
      <c r="BB75" s="289">
        <f>IFERROR(_xlfn.XLOOKUP($A75,CFR20242025_BenchMarkDataReport!$B:$B,CFR20242025_BenchMarkDataReport!CA:CA),0)</f>
        <v>0</v>
      </c>
      <c r="BC75" s="290">
        <f t="shared" si="180"/>
        <v>2422376.6099999994</v>
      </c>
      <c r="BD75" s="291">
        <f t="shared" si="175"/>
        <v>2484330.5400000005</v>
      </c>
      <c r="BE75" s="327">
        <f t="shared" si="176"/>
        <v>-61953.930000001099</v>
      </c>
      <c r="BF75" s="289">
        <f>IFERROR(_xlfn.XLOOKUP(A75,CFR20242025_BenchMarkDataReport!B:B,CFR20242025_BenchMarkDataReport!Q:Q),0)</f>
        <v>180558.93</v>
      </c>
      <c r="BG75" s="290">
        <f t="shared" si="177"/>
        <v>118604.99999999889</v>
      </c>
      <c r="BH75" s="292">
        <f>_xlfn.XLOOKUP(A75,'Pupil on roll 24-25'!E:E,'Pupil on roll 24-25'!I:I)</f>
        <v>262</v>
      </c>
      <c r="BI75" s="291">
        <f t="shared" si="174"/>
        <v>1964277.0399999998</v>
      </c>
      <c r="BJ75" t="s">
        <v>190</v>
      </c>
      <c r="BK75" s="293">
        <f t="shared" si="181"/>
        <v>0.73377530672243418</v>
      </c>
      <c r="BL75" s="294">
        <f t="shared" si="182"/>
        <v>6784.27534351145</v>
      </c>
      <c r="BM75" s="295">
        <f t="shared" si="183"/>
        <v>0</v>
      </c>
      <c r="BN75" s="296">
        <f t="shared" si="184"/>
        <v>0</v>
      </c>
      <c r="BO75" s="293">
        <f t="shared" si="185"/>
        <v>7.7113071199940306E-2</v>
      </c>
      <c r="BP75" s="294">
        <f t="shared" si="186"/>
        <v>712.96526717557254</v>
      </c>
      <c r="BQ75" s="295">
        <f t="shared" si="187"/>
        <v>0</v>
      </c>
      <c r="BR75" s="296">
        <f t="shared" si="188"/>
        <v>0</v>
      </c>
      <c r="BS75" s="293">
        <f t="shared" si="189"/>
        <v>5.1932469740945869E-2</v>
      </c>
      <c r="BT75" s="294">
        <f t="shared" si="190"/>
        <v>480.15267175572518</v>
      </c>
      <c r="BU75" s="295">
        <f t="shared" si="191"/>
        <v>6.2802414526286253E-3</v>
      </c>
      <c r="BV75" s="296">
        <f t="shared" si="192"/>
        <v>58.065305343511454</v>
      </c>
      <c r="BW75" s="293">
        <f t="shared" si="193"/>
        <v>5.5055609210163253E-2</v>
      </c>
      <c r="BX75" s="294">
        <f t="shared" si="194"/>
        <v>509.02832061068705</v>
      </c>
      <c r="BY75" s="295">
        <f t="shared" si="195"/>
        <v>4.3017790697706587E-2</v>
      </c>
      <c r="BZ75" s="297">
        <f t="shared" si="196"/>
        <v>397.73011450381676</v>
      </c>
      <c r="CA75" s="298">
        <f t="shared" si="197"/>
        <v>2.6018043494896535E-3</v>
      </c>
      <c r="CB75" s="299">
        <f t="shared" si="198"/>
        <v>24.055534351145038</v>
      </c>
      <c r="CC75" s="295">
        <f t="shared" si="199"/>
        <v>5.4652443164071021E-3</v>
      </c>
      <c r="CD75" s="296">
        <f t="shared" si="200"/>
        <v>50.530076335877858</v>
      </c>
      <c r="CE75" s="300">
        <f t="shared" si="201"/>
        <v>0.53906820597974314</v>
      </c>
      <c r="CF75" s="298">
        <f t="shared" si="202"/>
        <v>0.43712414313643838</v>
      </c>
      <c r="CG75" s="298">
        <f t="shared" si="203"/>
        <v>0.42622319492155814</v>
      </c>
      <c r="CH75" s="299">
        <f t="shared" si="204"/>
        <v>4041.5240458015269</v>
      </c>
      <c r="CI75" s="295">
        <f t="shared" si="205"/>
        <v>0.20111765904467327</v>
      </c>
      <c r="CJ75" s="301">
        <f t="shared" si="206"/>
        <v>0.16308397231428026</v>
      </c>
      <c r="CK75" s="301">
        <f t="shared" si="207"/>
        <v>0.15901700423487122</v>
      </c>
      <c r="CL75" s="302">
        <f t="shared" si="208"/>
        <v>1507.8274809160305</v>
      </c>
      <c r="CM75" s="300">
        <f t="shared" si="209"/>
        <v>1.5680822701058503E-2</v>
      </c>
      <c r="CN75" s="298">
        <f t="shared" si="210"/>
        <v>1.2715396884549677E-2</v>
      </c>
      <c r="CO75" s="298">
        <f t="shared" si="211"/>
        <v>1.2398301878138967E-2</v>
      </c>
      <c r="CP75" s="299">
        <f t="shared" si="212"/>
        <v>117.56290076335878</v>
      </c>
      <c r="CQ75" s="295">
        <f t="shared" si="213"/>
        <v>8.0073435058834685E-2</v>
      </c>
      <c r="CR75" s="301">
        <f t="shared" si="214"/>
        <v>6.4930617869531054E-2</v>
      </c>
      <c r="CS75" s="301">
        <f t="shared" si="215"/>
        <v>6.3311386092770081E-2</v>
      </c>
      <c r="CT75" s="296">
        <f t="shared" si="216"/>
        <v>600.32980916030533</v>
      </c>
      <c r="CU75" s="300">
        <f t="shared" si="217"/>
        <v>0.85190258091088822</v>
      </c>
      <c r="CV75" s="298">
        <f t="shared" si="218"/>
        <v>0.69079790198271451</v>
      </c>
      <c r="CW75" s="298">
        <f t="shared" si="219"/>
        <v>0.67357086871379024</v>
      </c>
      <c r="CX75" s="299">
        <f t="shared" si="220"/>
        <v>6386.9186259541984</v>
      </c>
      <c r="CY75" s="295">
        <f t="shared" si="221"/>
        <v>2.1028999045877971E-2</v>
      </c>
      <c r="CZ75" s="301">
        <f t="shared" si="222"/>
        <v>1.6626925980630577E-2</v>
      </c>
      <c r="DA75" s="296">
        <f t="shared" si="223"/>
        <v>157.65946564885496</v>
      </c>
      <c r="DB75" s="300">
        <f t="shared" si="224"/>
        <v>8.3495370950115166E-3</v>
      </c>
      <c r="DC75" s="299">
        <f t="shared" si="225"/>
        <v>79.17179389312976</v>
      </c>
      <c r="DD75" s="295">
        <f t="shared" si="226"/>
        <v>3.8791386575490396E-2</v>
      </c>
      <c r="DE75" s="301">
        <f t="shared" si="227"/>
        <v>3.0671051526017946E-2</v>
      </c>
      <c r="DF75" s="296">
        <f t="shared" si="228"/>
        <v>290.82835877862595</v>
      </c>
      <c r="DG75" s="300">
        <f t="shared" si="229"/>
        <v>6.3943016917817263E-3</v>
      </c>
      <c r="DH75" s="298">
        <f t="shared" si="230"/>
        <v>5.0557604142321567E-3</v>
      </c>
      <c r="DI75" s="303">
        <f t="shared" si="231"/>
        <v>47.939618320610691</v>
      </c>
      <c r="DJ75" s="295">
        <f t="shared" si="232"/>
        <v>2.4466182224478886E-2</v>
      </c>
      <c r="DK75" s="301">
        <f t="shared" si="233"/>
        <v>1.9839342817960917E-2</v>
      </c>
      <c r="DL75" s="301">
        <f t="shared" si="234"/>
        <v>1.9344591722484719E-2</v>
      </c>
      <c r="DM75" s="296">
        <f t="shared" si="235"/>
        <v>183.42885496183206</v>
      </c>
      <c r="DN75" s="300">
        <f t="shared" si="236"/>
        <v>1.9802043809461828E-3</v>
      </c>
      <c r="DO75" s="298">
        <f t="shared" si="237"/>
        <v>1.5656813525304887E-3</v>
      </c>
      <c r="DP75" s="299">
        <f t="shared" si="238"/>
        <v>14.846068702290077</v>
      </c>
      <c r="DQ75" s="295">
        <f t="shared" si="239"/>
        <v>0.11978666715974037</v>
      </c>
      <c r="DR75" s="301">
        <f t="shared" si="240"/>
        <v>9.4711310033647925E-2</v>
      </c>
      <c r="DS75" s="296">
        <f t="shared" si="241"/>
        <v>898.06946564885504</v>
      </c>
      <c r="DT75" s="300">
        <f t="shared" si="242"/>
        <v>4.0662258251673702E-2</v>
      </c>
      <c r="DU75" s="299">
        <f t="shared" si="243"/>
        <v>385.56675572519089</v>
      </c>
      <c r="DV75" s="295">
        <f t="shared" si="178"/>
        <v>2.7916381851506761E-2</v>
      </c>
      <c r="DW75" s="296">
        <f t="shared" si="179"/>
        <v>264.70809160305345</v>
      </c>
      <c r="DX75" s="295">
        <f t="shared" si="244"/>
        <v>4.327291836593478E-5</v>
      </c>
      <c r="DY75" s="301">
        <f t="shared" si="245"/>
        <v>3.5089506581720178E-5</v>
      </c>
      <c r="DZ75" s="301">
        <f t="shared" si="246"/>
        <v>3.4214448774598241E-5</v>
      </c>
      <c r="EA75" s="330">
        <f t="shared" si="247"/>
        <v>0.32442748091603052</v>
      </c>
      <c r="EB75" s="304">
        <f>IFERROR(_xlfn.XLOOKUP(A75,'Pupil on roll 24-25'!E:E,'Pupil on roll 24-25'!R:R),0)</f>
        <v>85</v>
      </c>
      <c r="EC75" s="289">
        <f>IFERROR(_xlfn.XLOOKUP(A75,CFR20242025_BenchMarkDataReport!B:B,CFR20242025_BenchMarkDataReport!AK:AK),0)</f>
        <v>9236.25</v>
      </c>
      <c r="ED75" s="289">
        <f>IFERROR(_xlfn.XLOOKUP(A75,CFR20242025_BenchMarkDataReport!B:B,CFR20242025_BenchMarkDataReport!AL:AL),0)</f>
        <v>50415</v>
      </c>
    </row>
    <row r="76" spans="1:228">
      <c r="A76" s="208">
        <v>2060</v>
      </c>
      <c r="B76" s="326">
        <v>10105</v>
      </c>
      <c r="C76" s="208" t="s">
        <v>111</v>
      </c>
      <c r="D76" s="289">
        <f>IFERROR(_xlfn.XLOOKUP($A76,CFR20242025_BenchMarkDataReport!$B:$B,CFR20242025_BenchMarkDataReport!T:T),0)</f>
        <v>2986344.36</v>
      </c>
      <c r="E76" s="289">
        <f>IFERROR(_xlfn.XLOOKUP($A76,CFR20242025_BenchMarkDataReport!$B:$B,CFR20242025_BenchMarkDataReport!U:U),0)</f>
        <v>0</v>
      </c>
      <c r="F76" s="289">
        <f>IFERROR(_xlfn.XLOOKUP($A76,CFR20242025_BenchMarkDataReport!$B:$B,CFR20242025_BenchMarkDataReport!V:V),0)</f>
        <v>271662.53999999998</v>
      </c>
      <c r="G76" s="289">
        <f>IFERROR(_xlfn.XLOOKUP($A76,CFR20242025_BenchMarkDataReport!$B:$B,CFR20242025_BenchMarkDataReport!W:W),0)</f>
        <v>0</v>
      </c>
      <c r="H76" s="289">
        <f>IFERROR(_xlfn.XLOOKUP($A76,CFR20242025_BenchMarkDataReport!$B:$B,CFR20242025_BenchMarkDataReport!X:X),0)</f>
        <v>186541</v>
      </c>
      <c r="I76" s="289">
        <f>IFERROR(_xlfn.XLOOKUP($A76,CFR20242025_BenchMarkDataReport!$B:$B,CFR20242025_BenchMarkDataReport!Y:Y),0)</f>
        <v>10072.34</v>
      </c>
      <c r="J76" s="289">
        <f>IFERROR(_xlfn.XLOOKUP($A76,CFR20242025_BenchMarkDataReport!$B:$B,CFR20242025_BenchMarkDataReport!Z:Z),0)</f>
        <v>145268.1</v>
      </c>
      <c r="K76" s="289">
        <f>IFERROR(_xlfn.XLOOKUP($A76,CFR20242025_BenchMarkDataReport!$B:$B,CFR20242025_BenchMarkDataReport!AA:AA),0)</f>
        <v>121057.88</v>
      </c>
      <c r="L76" s="289">
        <f>IFERROR(_xlfn.XLOOKUP($A76,CFR20242025_BenchMarkDataReport!$B:$B,CFR20242025_BenchMarkDataReport!AB:AB),0)</f>
        <v>59899.25</v>
      </c>
      <c r="M76" s="289">
        <f>IFERROR(_xlfn.XLOOKUP($A76,CFR20242025_BenchMarkDataReport!$B:$B,CFR20242025_BenchMarkDataReport!AC:AC),0)</f>
        <v>1380.13</v>
      </c>
      <c r="N76" s="289">
        <f>IFERROR(_xlfn.XLOOKUP($A76,CFR20242025_BenchMarkDataReport!$B:$B,CFR20242025_BenchMarkDataReport!AD:AD),0)</f>
        <v>0</v>
      </c>
      <c r="O76" s="289">
        <f>IFERROR(_xlfn.XLOOKUP($A76,CFR20242025_BenchMarkDataReport!$B:$B,CFR20242025_BenchMarkDataReport!AE:AE),0)</f>
        <v>0</v>
      </c>
      <c r="P76" s="289">
        <f>IFERROR(_xlfn.XLOOKUP($A76,CFR20242025_BenchMarkDataReport!$B:$B,CFR20242025_BenchMarkDataReport!AF:AF),0)</f>
        <v>46522.93</v>
      </c>
      <c r="Q76" s="289">
        <f>IFERROR(_xlfn.XLOOKUP($A76,CFR20242025_BenchMarkDataReport!$B:$B,CFR20242025_BenchMarkDataReport!AG:AG),0)</f>
        <v>13984.22</v>
      </c>
      <c r="R76" s="289">
        <f>IFERROR(_xlfn.XLOOKUP($A76,CFR20242025_BenchMarkDataReport!$B:$B,CFR20242025_BenchMarkDataReport!AH:AH),0)</f>
        <v>0</v>
      </c>
      <c r="S76" s="289">
        <f>IFERROR(_xlfn.XLOOKUP($A76,CFR20242025_BenchMarkDataReport!$B:$B,CFR20242025_BenchMarkDataReport!AI:AI),0)</f>
        <v>0</v>
      </c>
      <c r="T76" s="289">
        <f>IFERROR(_xlfn.XLOOKUP($A76,CFR20242025_BenchMarkDataReport!$B:$B,CFR20242025_BenchMarkDataReport!AJ:AJ),0)</f>
        <v>0</v>
      </c>
      <c r="U76" s="289">
        <f>INDEX(CFR20242025_BenchMarkDataReport!$B$3:$AM$87,MATCH(A76,CFR20242025_BenchMarkDataReport!$B$3:$B$87),MATCH($U$2,CFR20242025_BenchMarkDataReport!$B$3:$AM$3,0))</f>
        <v>93164.25</v>
      </c>
      <c r="V76" s="289">
        <f>IFERROR(_xlfn.XLOOKUP($A76,CFR20242025_BenchMarkDataReport!$B:$B,CFR20242025_BenchMarkDataReport!AN:AN),0)</f>
        <v>1463539.29</v>
      </c>
      <c r="W76" s="289">
        <f>IFERROR(_xlfn.XLOOKUP($A76,CFR20242025_BenchMarkDataReport!$B:$B,CFR20242025_BenchMarkDataReport!AO:AO),0)</f>
        <v>0</v>
      </c>
      <c r="X76" s="289">
        <f>IFERROR(_xlfn.XLOOKUP($A76,CFR20242025_BenchMarkDataReport!$B:$B,CFR20242025_BenchMarkDataReport!AP:AP),0)</f>
        <v>1071954.83</v>
      </c>
      <c r="Y76" s="289">
        <f>IFERROR(_xlfn.XLOOKUP($A76,CFR20242025_BenchMarkDataReport!$B:$B,CFR20242025_BenchMarkDataReport!AQ:AQ),0)</f>
        <v>61449.82</v>
      </c>
      <c r="Z76" s="289">
        <f>IFERROR(_xlfn.XLOOKUP($A76,CFR20242025_BenchMarkDataReport!$B:$B,CFR20242025_BenchMarkDataReport!AR:AR),0)</f>
        <v>105941.39</v>
      </c>
      <c r="AA76" s="289">
        <f>IFERROR(_xlfn.XLOOKUP($A76,CFR20242025_BenchMarkDataReport!$B:$B,CFR20242025_BenchMarkDataReport!AS:AS),0)</f>
        <v>0</v>
      </c>
      <c r="AB76" s="289">
        <f>IFERROR(_xlfn.XLOOKUP($A76,CFR20242025_BenchMarkDataReport!$B:$B,CFR20242025_BenchMarkDataReport!AT:AT),0)</f>
        <v>116743.44</v>
      </c>
      <c r="AC76" s="289">
        <f>IFERROR(_xlfn.XLOOKUP($A76,CFR20242025_BenchMarkDataReport!$B:$B,CFR20242025_BenchMarkDataReport!AU:AU),0)</f>
        <v>13186.18</v>
      </c>
      <c r="AD76" s="289">
        <f>IFERROR(_xlfn.XLOOKUP($A76,CFR20242025_BenchMarkDataReport!$B:$B,CFR20242025_BenchMarkDataReport!AV:AV),0)</f>
        <v>5411.22</v>
      </c>
      <c r="AE76" s="289">
        <f>IFERROR(_xlfn.XLOOKUP($A76,CFR20242025_BenchMarkDataReport!$B:$B,CFR20242025_BenchMarkDataReport!AW:AW),0)</f>
        <v>693.88</v>
      </c>
      <c r="AF76" s="289">
        <f>IFERROR(_xlfn.XLOOKUP($A76,CFR20242025_BenchMarkDataReport!$B:$B,CFR20242025_BenchMarkDataReport!AX:AX),0)</f>
        <v>0</v>
      </c>
      <c r="AG76" s="289">
        <f>IFERROR(_xlfn.XLOOKUP($A76,CFR20242025_BenchMarkDataReport!$B:$B,CFR20242025_BenchMarkDataReport!AY:AY),0)</f>
        <v>75241.73</v>
      </c>
      <c r="AH76" s="289">
        <f>IFERROR(_xlfn.XLOOKUP($A76,CFR20242025_BenchMarkDataReport!$B:$B,CFR20242025_BenchMarkDataReport!AZ:AZ),0)</f>
        <v>8024</v>
      </c>
      <c r="AI76" s="289">
        <f>IFERROR(_xlfn.XLOOKUP($A76,CFR20242025_BenchMarkDataReport!$B:$B,CFR20242025_BenchMarkDataReport!BA:BA),0)</f>
        <v>44328.59</v>
      </c>
      <c r="AJ76" s="289">
        <f>IFERROR(_xlfn.XLOOKUP($A76,CFR20242025_BenchMarkDataReport!$B:$B,CFR20242025_BenchMarkDataReport!BB:BB),0)</f>
        <v>7752.71</v>
      </c>
      <c r="AK76" s="289">
        <f>IFERROR(_xlfn.XLOOKUP($A76,CFR20242025_BenchMarkDataReport!$B:$B,CFR20242025_BenchMarkDataReport!BC:BC),0)</f>
        <v>143291.49</v>
      </c>
      <c r="AL76" s="289">
        <f>IFERROR(_xlfn.XLOOKUP($A76,CFR20242025_BenchMarkDataReport!$B:$B,CFR20242025_BenchMarkDataReport!BD:BD),0)</f>
        <v>111720</v>
      </c>
      <c r="AM76" s="289">
        <f>IFERROR(_xlfn.XLOOKUP($A76,CFR20242025_BenchMarkDataReport!$B:$B,CFR20242025_BenchMarkDataReport!BE:BE),0)</f>
        <v>15811.38</v>
      </c>
      <c r="AN76" s="289">
        <f>IFERROR(_xlfn.XLOOKUP($A76,CFR20242025_BenchMarkDataReport!$B:$B,CFR20242025_BenchMarkDataReport!BF:BF),0)</f>
        <v>88426.92</v>
      </c>
      <c r="AO76" s="289">
        <f>IFERROR(_xlfn.XLOOKUP($A76,CFR20242025_BenchMarkDataReport!$B:$B,CFR20242025_BenchMarkDataReport!BN:BN),0)</f>
        <v>38916.33</v>
      </c>
      <c r="AP76" s="289">
        <f>IFERROR(_xlfn.XLOOKUP($A76,CFR20242025_BenchMarkDataReport!$B:$B,CFR20242025_BenchMarkDataReport!BO:BO),0)</f>
        <v>0</v>
      </c>
      <c r="AQ76" s="289">
        <f>IFERROR(_xlfn.XLOOKUP($A76,CFR20242025_BenchMarkDataReport!$B:$B,CFR20242025_BenchMarkDataReport!BP:BP),0)</f>
        <v>4511</v>
      </c>
      <c r="AR76" s="289">
        <f>IFERROR(_xlfn.XLOOKUP($A76,CFR20242025_BenchMarkDataReport!$B:$B,CFR20242025_BenchMarkDataReport!BQ:BQ),0)</f>
        <v>18472.02</v>
      </c>
      <c r="AS76" s="289">
        <f>IFERROR(_xlfn.XLOOKUP($A76,CFR20242025_BenchMarkDataReport!$B:$B,CFR20242025_BenchMarkDataReport!BR:BR),0)</f>
        <v>11278.72</v>
      </c>
      <c r="AT76" s="289">
        <f>IFERROR(_xlfn.XLOOKUP($A76,CFR20242025_BenchMarkDataReport!$B:$B,CFR20242025_BenchMarkDataReport!BS:BS),0)</f>
        <v>171683.13</v>
      </c>
      <c r="AU76" s="289">
        <f>IFERROR(_xlfn.XLOOKUP($A76,CFR20242025_BenchMarkDataReport!$B:$B,CFR20242025_BenchMarkDataReport!BT:BT),0)</f>
        <v>33322.89</v>
      </c>
      <c r="AV76" s="289">
        <f>IFERROR(_xlfn.XLOOKUP($A76,CFR20242025_BenchMarkDataReport!$B:$B,CFR20242025_BenchMarkDataReport!BU:BU),0)</f>
        <v>126981.39</v>
      </c>
      <c r="AW76" s="289">
        <f>IFERROR(_xlfn.XLOOKUP($A76,CFR20242025_BenchMarkDataReport!$B:$B,CFR20242025_BenchMarkDataReport!BV:BV),0)</f>
        <v>46564.92</v>
      </c>
      <c r="AX76" s="289">
        <f>IFERROR(_xlfn.XLOOKUP($A76,CFR20242025_BenchMarkDataReport!$B:$B,CFR20242025_BenchMarkDataReport!BW:BW),0)</f>
        <v>0</v>
      </c>
      <c r="AY76" s="289">
        <f>IFERROR(_xlfn.XLOOKUP($A76,CFR20242025_BenchMarkDataReport!$B:$B,CFR20242025_BenchMarkDataReport!BX:BX),0)</f>
        <v>0</v>
      </c>
      <c r="AZ76" s="289">
        <f>IFERROR(_xlfn.XLOOKUP($A76,CFR20242025_BenchMarkDataReport!$B:$B,CFR20242025_BenchMarkDataReport!BY:BY),0)</f>
        <v>10013</v>
      </c>
      <c r="BA76" s="289">
        <f>IFERROR(_xlfn.XLOOKUP($A76,CFR20242025_BenchMarkDataReport!$B:$B,CFR20242025_BenchMarkDataReport!BZ:BZ),0)</f>
        <v>0</v>
      </c>
      <c r="BB76" s="289">
        <f>IFERROR(_xlfn.XLOOKUP($A76,CFR20242025_BenchMarkDataReport!$B:$B,CFR20242025_BenchMarkDataReport!CA:CA),0)</f>
        <v>0</v>
      </c>
      <c r="BC76" s="290">
        <f t="shared" si="180"/>
        <v>3935897</v>
      </c>
      <c r="BD76" s="291">
        <f t="shared" si="175"/>
        <v>3795260.2700000005</v>
      </c>
      <c r="BE76" s="327">
        <f t="shared" si="176"/>
        <v>140636.72999999952</v>
      </c>
      <c r="BF76" s="289">
        <f>IFERROR(_xlfn.XLOOKUP(A76,CFR20242025_BenchMarkDataReport!B:B,CFR20242025_BenchMarkDataReport!Q:Q),0)</f>
        <v>312024.27</v>
      </c>
      <c r="BG76" s="290">
        <f t="shared" si="177"/>
        <v>452660.99999999953</v>
      </c>
      <c r="BH76" s="292">
        <f>_xlfn.XLOOKUP(A76,'Pupil on roll 24-25'!E:E,'Pupil on roll 24-25'!I:I)</f>
        <v>418</v>
      </c>
      <c r="BI76" s="291">
        <f t="shared" si="174"/>
        <v>3258006.9</v>
      </c>
      <c r="BJ76" t="s">
        <v>190</v>
      </c>
      <c r="BK76" s="293">
        <f t="shared" si="181"/>
        <v>0.75874555660374243</v>
      </c>
      <c r="BL76" s="294">
        <f t="shared" si="182"/>
        <v>7144.3644976076548</v>
      </c>
      <c r="BM76" s="295">
        <f t="shared" si="183"/>
        <v>0</v>
      </c>
      <c r="BN76" s="296">
        <f t="shared" si="184"/>
        <v>0</v>
      </c>
      <c r="BO76" s="293">
        <f t="shared" si="185"/>
        <v>6.9021760477979976E-2</v>
      </c>
      <c r="BP76" s="294">
        <f t="shared" si="186"/>
        <v>649.91038277511961</v>
      </c>
      <c r="BQ76" s="295">
        <f t="shared" si="187"/>
        <v>0</v>
      </c>
      <c r="BR76" s="296">
        <f t="shared" si="188"/>
        <v>0</v>
      </c>
      <c r="BS76" s="293">
        <f t="shared" si="189"/>
        <v>4.7394787007891723E-2</v>
      </c>
      <c r="BT76" s="294">
        <f t="shared" si="190"/>
        <v>446.27033492822966</v>
      </c>
      <c r="BU76" s="295">
        <f t="shared" si="191"/>
        <v>2.5590964397696385E-3</v>
      </c>
      <c r="BV76" s="296">
        <f t="shared" si="192"/>
        <v>24.096507177033494</v>
      </c>
      <c r="BW76" s="293">
        <f t="shared" si="193"/>
        <v>3.6908511579444282E-2</v>
      </c>
      <c r="BX76" s="294">
        <f t="shared" si="194"/>
        <v>347.53133971291868</v>
      </c>
      <c r="BY76" s="295">
        <f t="shared" si="195"/>
        <v>4.5976083723735656E-2</v>
      </c>
      <c r="BZ76" s="297">
        <f t="shared" si="196"/>
        <v>432.91179425837322</v>
      </c>
      <c r="CA76" s="298">
        <f t="shared" si="197"/>
        <v>1.1820159419822215E-2</v>
      </c>
      <c r="CB76" s="299">
        <f t="shared" si="198"/>
        <v>111.29887559808613</v>
      </c>
      <c r="CC76" s="295">
        <f t="shared" si="199"/>
        <v>3.5529944000058942E-3</v>
      </c>
      <c r="CD76" s="296">
        <f t="shared" si="200"/>
        <v>33.455071770334925</v>
      </c>
      <c r="CE76" s="300">
        <f t="shared" si="201"/>
        <v>0.4594410711653189</v>
      </c>
      <c r="CF76" s="298">
        <f t="shared" si="202"/>
        <v>0.38031030283566869</v>
      </c>
      <c r="CG76" s="298">
        <f t="shared" si="203"/>
        <v>0.39440303787123399</v>
      </c>
      <c r="CH76" s="299">
        <f t="shared" si="204"/>
        <v>3581.0099999999998</v>
      </c>
      <c r="CI76" s="295">
        <f t="shared" si="205"/>
        <v>0.32902165738200251</v>
      </c>
      <c r="CJ76" s="301">
        <f t="shared" si="206"/>
        <v>0.27235337459288189</v>
      </c>
      <c r="CK76" s="301">
        <f t="shared" si="207"/>
        <v>0.28244567005677318</v>
      </c>
      <c r="CL76" s="302">
        <f t="shared" si="208"/>
        <v>2564.4852392344501</v>
      </c>
      <c r="CM76" s="300">
        <f t="shared" si="209"/>
        <v>1.886116938549148E-2</v>
      </c>
      <c r="CN76" s="298">
        <f t="shared" si="210"/>
        <v>1.5612659579252201E-2</v>
      </c>
      <c r="CO76" s="298">
        <f t="shared" si="211"/>
        <v>1.6191200504939281E-2</v>
      </c>
      <c r="CP76" s="299">
        <f t="shared" si="212"/>
        <v>147.00913875598087</v>
      </c>
      <c r="CQ76" s="295">
        <f t="shared" si="213"/>
        <v>3.2517239297436724E-2</v>
      </c>
      <c r="CR76" s="301">
        <f t="shared" si="214"/>
        <v>2.6916707932143548E-2</v>
      </c>
      <c r="CS76" s="301">
        <f t="shared" si="215"/>
        <v>2.7914130379258544E-2</v>
      </c>
      <c r="CT76" s="296">
        <f t="shared" si="216"/>
        <v>253.44830143540671</v>
      </c>
      <c r="CU76" s="300">
        <f t="shared" si="217"/>
        <v>0.86544591725695852</v>
      </c>
      <c r="CV76" s="298">
        <f t="shared" si="218"/>
        <v>0.71638784500712294</v>
      </c>
      <c r="CW76" s="298">
        <f t="shared" si="219"/>
        <v>0.74293423096382261</v>
      </c>
      <c r="CX76" s="299">
        <f t="shared" si="220"/>
        <v>6745.5233732057413</v>
      </c>
      <c r="CY76" s="295">
        <f t="shared" si="221"/>
        <v>2.3094404741745636E-2</v>
      </c>
      <c r="CZ76" s="301">
        <f t="shared" si="222"/>
        <v>1.9825183161944249E-2</v>
      </c>
      <c r="DA76" s="296">
        <f t="shared" si="223"/>
        <v>180.00413875598085</v>
      </c>
      <c r="DB76" s="300">
        <f t="shared" si="224"/>
        <v>2.0427347397705608E-3</v>
      </c>
      <c r="DC76" s="299">
        <f t="shared" si="225"/>
        <v>18.547153110047848</v>
      </c>
      <c r="DD76" s="295">
        <f t="shared" si="226"/>
        <v>4.3981334109513395E-2</v>
      </c>
      <c r="DE76" s="301">
        <f t="shared" si="227"/>
        <v>3.7755379027009386E-2</v>
      </c>
      <c r="DF76" s="296">
        <f t="shared" si="228"/>
        <v>342.80260765550236</v>
      </c>
      <c r="DG76" s="300">
        <f t="shared" si="229"/>
        <v>4.8530836444821528E-3</v>
      </c>
      <c r="DH76" s="298">
        <f t="shared" si="230"/>
        <v>4.1660858215660651E-3</v>
      </c>
      <c r="DI76" s="303">
        <f t="shared" si="231"/>
        <v>37.826267942583733</v>
      </c>
      <c r="DJ76" s="295">
        <f t="shared" si="232"/>
        <v>2.7141415814681057E-2</v>
      </c>
      <c r="DK76" s="301">
        <f t="shared" si="233"/>
        <v>2.2466776950717967E-2</v>
      </c>
      <c r="DL76" s="301">
        <f t="shared" si="234"/>
        <v>2.3299303264911524E-2</v>
      </c>
      <c r="DM76" s="296">
        <f t="shared" si="235"/>
        <v>211.54765550239233</v>
      </c>
      <c r="DN76" s="300">
        <f t="shared" si="236"/>
        <v>1.3845888417240615E-3</v>
      </c>
      <c r="DO76" s="298">
        <f t="shared" si="237"/>
        <v>1.1885877855749797E-3</v>
      </c>
      <c r="DP76" s="299">
        <f t="shared" si="238"/>
        <v>10.791866028708133</v>
      </c>
      <c r="DQ76" s="295">
        <f t="shared" si="239"/>
        <v>3.8975175282777948E-2</v>
      </c>
      <c r="DR76" s="301">
        <f t="shared" si="240"/>
        <v>3.3457887197812654E-2</v>
      </c>
      <c r="DS76" s="296">
        <f t="shared" si="241"/>
        <v>303.78322966507176</v>
      </c>
      <c r="DT76" s="300">
        <f t="shared" si="242"/>
        <v>4.5236194038413072E-2</v>
      </c>
      <c r="DU76" s="299">
        <f t="shared" si="243"/>
        <v>410.72519138755985</v>
      </c>
      <c r="DV76" s="295">
        <f t="shared" si="178"/>
        <v>1.1679986837898733E-2</v>
      </c>
      <c r="DW76" s="296">
        <f t="shared" si="179"/>
        <v>106.04925837320573</v>
      </c>
      <c r="DX76" s="295">
        <f t="shared" si="244"/>
        <v>3.6832334517155257E-5</v>
      </c>
      <c r="DY76" s="301">
        <f t="shared" si="245"/>
        <v>3.0488602725122125E-5</v>
      </c>
      <c r="DZ76" s="301">
        <f t="shared" si="246"/>
        <v>3.1618384896696425E-5</v>
      </c>
      <c r="EA76" s="296">
        <f t="shared" si="247"/>
        <v>0.28708133971291866</v>
      </c>
      <c r="EB76" s="304">
        <f>IFERROR(_xlfn.XLOOKUP(A76,'Pupil on roll 24-25'!E:E,'Pupil on roll 24-25'!R:R),0)</f>
        <v>120</v>
      </c>
      <c r="EC76" s="289">
        <f>IFERROR(_xlfn.XLOOKUP(A76,CFR20242025_BenchMarkDataReport!B:B,CFR20242025_BenchMarkDataReport!AK:AK),0)</f>
        <v>11886.25</v>
      </c>
      <c r="ED76" s="289">
        <f>IFERROR(_xlfn.XLOOKUP(A76,CFR20242025_BenchMarkDataReport!B:B,CFR20242025_BenchMarkDataReport!AL:AL),0)</f>
        <v>81278</v>
      </c>
    </row>
    <row r="77" spans="1:228">
      <c r="A77" s="208">
        <v>3518</v>
      </c>
      <c r="B77" s="326">
        <v>10123</v>
      </c>
      <c r="C77" s="208" t="s">
        <v>112</v>
      </c>
      <c r="D77" s="289">
        <f>IFERROR(_xlfn.XLOOKUP($A77,CFR20242025_BenchMarkDataReport!$B:$B,CFR20242025_BenchMarkDataReport!T:T),0)</f>
        <v>2644061.1800000002</v>
      </c>
      <c r="E77" s="289">
        <f>IFERROR(_xlfn.XLOOKUP($A77,CFR20242025_BenchMarkDataReport!$B:$B,CFR20242025_BenchMarkDataReport!U:U),0)</f>
        <v>0</v>
      </c>
      <c r="F77" s="289">
        <f>IFERROR(_xlfn.XLOOKUP($A77,CFR20242025_BenchMarkDataReport!$B:$B,CFR20242025_BenchMarkDataReport!V:V),0)</f>
        <v>100657.28</v>
      </c>
      <c r="G77" s="289">
        <f>IFERROR(_xlfn.XLOOKUP($A77,CFR20242025_BenchMarkDataReport!$B:$B,CFR20242025_BenchMarkDataReport!W:W),0)</f>
        <v>0</v>
      </c>
      <c r="H77" s="289">
        <f>IFERROR(_xlfn.XLOOKUP($A77,CFR20242025_BenchMarkDataReport!$B:$B,CFR20242025_BenchMarkDataReport!X:X),0)</f>
        <v>190240</v>
      </c>
      <c r="I77" s="289">
        <f>IFERROR(_xlfn.XLOOKUP($A77,CFR20242025_BenchMarkDataReport!$B:$B,CFR20242025_BenchMarkDataReport!Y:Y),0)</f>
        <v>5000</v>
      </c>
      <c r="J77" s="289">
        <f>IFERROR(_xlfn.XLOOKUP($A77,CFR20242025_BenchMarkDataReport!$B:$B,CFR20242025_BenchMarkDataReport!Z:Z),0)</f>
        <v>90804.72</v>
      </c>
      <c r="K77" s="289">
        <f>IFERROR(_xlfn.XLOOKUP($A77,CFR20242025_BenchMarkDataReport!$B:$B,CFR20242025_BenchMarkDataReport!AA:AA),0)</f>
        <v>10865</v>
      </c>
      <c r="L77" s="289">
        <f>IFERROR(_xlfn.XLOOKUP($A77,CFR20242025_BenchMarkDataReport!$B:$B,CFR20242025_BenchMarkDataReport!AB:AB),0)</f>
        <v>32917.800000000003</v>
      </c>
      <c r="M77" s="289">
        <f>IFERROR(_xlfn.XLOOKUP($A77,CFR20242025_BenchMarkDataReport!$B:$B,CFR20242025_BenchMarkDataReport!AC:AC),0)</f>
        <v>1626.12</v>
      </c>
      <c r="N77" s="289">
        <f>IFERROR(_xlfn.XLOOKUP($A77,CFR20242025_BenchMarkDataReport!$B:$B,CFR20242025_BenchMarkDataReport!AD:AD),0)</f>
        <v>0</v>
      </c>
      <c r="O77" s="289">
        <f>IFERROR(_xlfn.XLOOKUP($A77,CFR20242025_BenchMarkDataReport!$B:$B,CFR20242025_BenchMarkDataReport!AE:AE),0)</f>
        <v>0</v>
      </c>
      <c r="P77" s="289">
        <f>IFERROR(_xlfn.XLOOKUP($A77,CFR20242025_BenchMarkDataReport!$B:$B,CFR20242025_BenchMarkDataReport!AF:AF),0)</f>
        <v>31939.31</v>
      </c>
      <c r="Q77" s="289">
        <f>IFERROR(_xlfn.XLOOKUP($A77,CFR20242025_BenchMarkDataReport!$B:$B,CFR20242025_BenchMarkDataReport!AG:AG),0)</f>
        <v>935.24</v>
      </c>
      <c r="R77" s="289">
        <f>IFERROR(_xlfn.XLOOKUP($A77,CFR20242025_BenchMarkDataReport!$B:$B,CFR20242025_BenchMarkDataReport!AH:AH),0)</f>
        <v>0</v>
      </c>
      <c r="S77" s="289">
        <f>IFERROR(_xlfn.XLOOKUP($A77,CFR20242025_BenchMarkDataReport!$B:$B,CFR20242025_BenchMarkDataReport!AI:AI),0)</f>
        <v>0</v>
      </c>
      <c r="T77" s="289">
        <f>IFERROR(_xlfn.XLOOKUP($A77,CFR20242025_BenchMarkDataReport!$B:$B,CFR20242025_BenchMarkDataReport!AJ:AJ),0)</f>
        <v>0</v>
      </c>
      <c r="U77" s="289">
        <f>INDEX(CFR20242025_BenchMarkDataReport!$B$3:$AM$87,MATCH(A77,CFR20242025_BenchMarkDataReport!$B$3:$B$87),MATCH($U$2,CFR20242025_BenchMarkDataReport!$B$3:$AM$3,0))</f>
        <v>93417.75</v>
      </c>
      <c r="V77" s="289">
        <f>IFERROR(_xlfn.XLOOKUP($A77,CFR20242025_BenchMarkDataReport!$B:$B,CFR20242025_BenchMarkDataReport!AN:AN),0)</f>
        <v>1465244.46</v>
      </c>
      <c r="W77" s="289">
        <f>IFERROR(_xlfn.XLOOKUP($A77,CFR20242025_BenchMarkDataReport!$B:$B,CFR20242025_BenchMarkDataReport!AO:AO),0)</f>
        <v>3791.74</v>
      </c>
      <c r="X77" s="289">
        <f>IFERROR(_xlfn.XLOOKUP($A77,CFR20242025_BenchMarkDataReport!$B:$B,CFR20242025_BenchMarkDataReport!AP:AP),0)</f>
        <v>700442.63</v>
      </c>
      <c r="Y77" s="289">
        <f>IFERROR(_xlfn.XLOOKUP($A77,CFR20242025_BenchMarkDataReport!$B:$B,CFR20242025_BenchMarkDataReport!AQ:AQ),0)</f>
        <v>15359.2</v>
      </c>
      <c r="Z77" s="289">
        <f>IFERROR(_xlfn.XLOOKUP($A77,CFR20242025_BenchMarkDataReport!$B:$B,CFR20242025_BenchMarkDataReport!AR:AR),0)</f>
        <v>60710.46</v>
      </c>
      <c r="AA77" s="289">
        <f>IFERROR(_xlfn.XLOOKUP($A77,CFR20242025_BenchMarkDataReport!$B:$B,CFR20242025_BenchMarkDataReport!AS:AS),0)</f>
        <v>0</v>
      </c>
      <c r="AB77" s="289">
        <f>IFERROR(_xlfn.XLOOKUP($A77,CFR20242025_BenchMarkDataReport!$B:$B,CFR20242025_BenchMarkDataReport!AT:AT),0)</f>
        <v>200695.06</v>
      </c>
      <c r="AC77" s="289">
        <f>IFERROR(_xlfn.XLOOKUP($A77,CFR20242025_BenchMarkDataReport!$B:$B,CFR20242025_BenchMarkDataReport!AU:AU),0)</f>
        <v>16495.169999999998</v>
      </c>
      <c r="AD77" s="289">
        <f>IFERROR(_xlfn.XLOOKUP($A77,CFR20242025_BenchMarkDataReport!$B:$B,CFR20242025_BenchMarkDataReport!AV:AV),0)</f>
        <v>3190.54</v>
      </c>
      <c r="AE77" s="289">
        <f>IFERROR(_xlfn.XLOOKUP($A77,CFR20242025_BenchMarkDataReport!$B:$B,CFR20242025_BenchMarkDataReport!AW:AW),0)</f>
        <v>661</v>
      </c>
      <c r="AF77" s="289">
        <f>IFERROR(_xlfn.XLOOKUP($A77,CFR20242025_BenchMarkDataReport!$B:$B,CFR20242025_BenchMarkDataReport!AX:AX),0)</f>
        <v>0</v>
      </c>
      <c r="AG77" s="289">
        <f>IFERROR(_xlfn.XLOOKUP($A77,CFR20242025_BenchMarkDataReport!$B:$B,CFR20242025_BenchMarkDataReport!AY:AY),0)</f>
        <v>10320.73</v>
      </c>
      <c r="AH77" s="289">
        <f>IFERROR(_xlfn.XLOOKUP($A77,CFR20242025_BenchMarkDataReport!$B:$B,CFR20242025_BenchMarkDataReport!AZ:AZ),0)</f>
        <v>4277.74</v>
      </c>
      <c r="AI77" s="289">
        <f>IFERROR(_xlfn.XLOOKUP($A77,CFR20242025_BenchMarkDataReport!$B:$B,CFR20242025_BenchMarkDataReport!BA:BA),0)</f>
        <v>68548.399999999994</v>
      </c>
      <c r="AJ77" s="289">
        <f>IFERROR(_xlfn.XLOOKUP($A77,CFR20242025_BenchMarkDataReport!$B:$B,CFR20242025_BenchMarkDataReport!BB:BB),0)</f>
        <v>2821.35</v>
      </c>
      <c r="AK77" s="289">
        <f>IFERROR(_xlfn.XLOOKUP($A77,CFR20242025_BenchMarkDataReport!$B:$B,CFR20242025_BenchMarkDataReport!BC:BC),0)</f>
        <v>71127.520000000004</v>
      </c>
      <c r="AL77" s="289">
        <f>IFERROR(_xlfn.XLOOKUP($A77,CFR20242025_BenchMarkDataReport!$B:$B,CFR20242025_BenchMarkDataReport!BD:BD),0)</f>
        <v>41400</v>
      </c>
      <c r="AM77" s="289">
        <f>IFERROR(_xlfn.XLOOKUP($A77,CFR20242025_BenchMarkDataReport!$B:$B,CFR20242025_BenchMarkDataReport!BE:BE),0)</f>
        <v>9155.83</v>
      </c>
      <c r="AN77" s="289">
        <f>IFERROR(_xlfn.XLOOKUP($A77,CFR20242025_BenchMarkDataReport!$B:$B,CFR20242025_BenchMarkDataReport!BF:BF),0)</f>
        <v>38468.910000000003</v>
      </c>
      <c r="AO77" s="289">
        <f>IFERROR(_xlfn.XLOOKUP($A77,CFR20242025_BenchMarkDataReport!$B:$B,CFR20242025_BenchMarkDataReport!BN:BN),0)</f>
        <v>51404.639999999999</v>
      </c>
      <c r="AP77" s="289">
        <f>IFERROR(_xlfn.XLOOKUP($A77,CFR20242025_BenchMarkDataReport!$B:$B,CFR20242025_BenchMarkDataReport!BO:BO),0)</f>
        <v>0</v>
      </c>
      <c r="AQ77" s="289">
        <f>IFERROR(_xlfn.XLOOKUP($A77,CFR20242025_BenchMarkDataReport!$B:$B,CFR20242025_BenchMarkDataReport!BP:BP),0)</f>
        <v>12316.99</v>
      </c>
      <c r="AR77" s="289">
        <f>IFERROR(_xlfn.XLOOKUP($A77,CFR20242025_BenchMarkDataReport!$B:$B,CFR20242025_BenchMarkDataReport!BQ:BQ),0)</f>
        <v>15824</v>
      </c>
      <c r="AS77" s="289">
        <f>IFERROR(_xlfn.XLOOKUP($A77,CFR20242025_BenchMarkDataReport!$B:$B,CFR20242025_BenchMarkDataReport!BR:BR),0)</f>
        <v>8268.76</v>
      </c>
      <c r="AT77" s="289">
        <f>IFERROR(_xlfn.XLOOKUP($A77,CFR20242025_BenchMarkDataReport!$B:$B,CFR20242025_BenchMarkDataReport!BS:BS),0)</f>
        <v>157820.49</v>
      </c>
      <c r="AU77" s="289">
        <f>IFERROR(_xlfn.XLOOKUP($A77,CFR20242025_BenchMarkDataReport!$B:$B,CFR20242025_BenchMarkDataReport!BT:BT),0)</f>
        <v>69051.64</v>
      </c>
      <c r="AV77" s="289">
        <f>IFERROR(_xlfn.XLOOKUP($A77,CFR20242025_BenchMarkDataReport!$B:$B,CFR20242025_BenchMarkDataReport!BU:BU),0)</f>
        <v>237237.48</v>
      </c>
      <c r="AW77" s="289">
        <f>IFERROR(_xlfn.XLOOKUP($A77,CFR20242025_BenchMarkDataReport!$B:$B,CFR20242025_BenchMarkDataReport!BV:BV),0)</f>
        <v>49915.46</v>
      </c>
      <c r="AX77" s="289">
        <f>IFERROR(_xlfn.XLOOKUP($A77,CFR20242025_BenchMarkDataReport!$B:$B,CFR20242025_BenchMarkDataReport!BW:BW),0)</f>
        <v>0</v>
      </c>
      <c r="AY77" s="289">
        <f>IFERROR(_xlfn.XLOOKUP($A77,CFR20242025_BenchMarkDataReport!$B:$B,CFR20242025_BenchMarkDataReport!BX:BX),0)</f>
        <v>0</v>
      </c>
      <c r="AZ77" s="289">
        <f>IFERROR(_xlfn.XLOOKUP($A77,CFR20242025_BenchMarkDataReport!$B:$B,CFR20242025_BenchMarkDataReport!BY:BY),0)</f>
        <v>0</v>
      </c>
      <c r="BA77" s="289">
        <f>IFERROR(_xlfn.XLOOKUP($A77,CFR20242025_BenchMarkDataReport!$B:$B,CFR20242025_BenchMarkDataReport!BZ:BZ),0)</f>
        <v>0</v>
      </c>
      <c r="BB77" s="289">
        <f>IFERROR(_xlfn.XLOOKUP($A77,CFR20242025_BenchMarkDataReport!$B:$B,CFR20242025_BenchMarkDataReport!CA:CA),0)</f>
        <v>0</v>
      </c>
      <c r="BC77" s="290">
        <f t="shared" si="180"/>
        <v>3202464.4000000004</v>
      </c>
      <c r="BD77" s="291">
        <f t="shared" si="175"/>
        <v>3314550.2000000011</v>
      </c>
      <c r="BE77" s="327">
        <f t="shared" si="176"/>
        <v>-112085.80000000075</v>
      </c>
      <c r="BF77" s="289">
        <f>IFERROR(_xlfn.XLOOKUP(A77,CFR20242025_BenchMarkDataReport!B:B,CFR20242025_BenchMarkDataReport!Q:Q),0)</f>
        <v>-212590.2</v>
      </c>
      <c r="BG77" s="290">
        <f t="shared" si="177"/>
        <v>-324676.00000000076</v>
      </c>
      <c r="BH77" s="292">
        <f>_xlfn.XLOOKUP(A77,'Pupil on roll 24-25'!E:E,'Pupil on roll 24-25'!I:I)</f>
        <v>398</v>
      </c>
      <c r="BI77" s="291">
        <f t="shared" si="174"/>
        <v>2744718.46</v>
      </c>
      <c r="BJ77" t="s">
        <v>190</v>
      </c>
      <c r="BK77" s="293">
        <f t="shared" si="181"/>
        <v>0.82563327792184038</v>
      </c>
      <c r="BL77" s="294">
        <f t="shared" si="182"/>
        <v>6643.3697989949751</v>
      </c>
      <c r="BM77" s="295">
        <f t="shared" si="183"/>
        <v>0</v>
      </c>
      <c r="BN77" s="296">
        <f t="shared" si="184"/>
        <v>0</v>
      </c>
      <c r="BO77" s="293">
        <f t="shared" si="185"/>
        <v>3.1431194051680947E-2</v>
      </c>
      <c r="BP77" s="294">
        <f t="shared" si="186"/>
        <v>252.90773869346734</v>
      </c>
      <c r="BQ77" s="295">
        <f t="shared" si="187"/>
        <v>0</v>
      </c>
      <c r="BR77" s="296">
        <f t="shared" si="188"/>
        <v>0</v>
      </c>
      <c r="BS77" s="293">
        <f t="shared" si="189"/>
        <v>5.9404251300966833E-2</v>
      </c>
      <c r="BT77" s="294">
        <f t="shared" si="190"/>
        <v>477.9899497487437</v>
      </c>
      <c r="BU77" s="295">
        <f t="shared" si="191"/>
        <v>1.5612976056814244E-3</v>
      </c>
      <c r="BV77" s="296">
        <f t="shared" si="192"/>
        <v>12.562814070351759</v>
      </c>
      <c r="BW77" s="293">
        <f t="shared" si="193"/>
        <v>2.8354638384114429E-2</v>
      </c>
      <c r="BX77" s="294">
        <f t="shared" si="194"/>
        <v>228.15256281407036</v>
      </c>
      <c r="BY77" s="295">
        <f t="shared" si="195"/>
        <v>1.3671596162005735E-2</v>
      </c>
      <c r="BZ77" s="297">
        <f t="shared" si="196"/>
        <v>110.00703517587941</v>
      </c>
      <c r="CA77" s="298">
        <f t="shared" si="197"/>
        <v>9.9733536460233554E-3</v>
      </c>
      <c r="CB77" s="299">
        <f t="shared" si="198"/>
        <v>80.249522613065324</v>
      </c>
      <c r="CC77" s="295">
        <f t="shared" si="199"/>
        <v>2.9203759454749905E-4</v>
      </c>
      <c r="CD77" s="296">
        <f t="shared" si="200"/>
        <v>2.3498492462311558</v>
      </c>
      <c r="CE77" s="300">
        <f t="shared" si="201"/>
        <v>0.56038091425959946</v>
      </c>
      <c r="CF77" s="298">
        <f t="shared" si="202"/>
        <v>0.48028257238394273</v>
      </c>
      <c r="CG77" s="298">
        <f t="shared" si="203"/>
        <v>0.46404119629867102</v>
      </c>
      <c r="CH77" s="299">
        <f t="shared" si="204"/>
        <v>3864.5423115577887</v>
      </c>
      <c r="CI77" s="295">
        <f t="shared" si="205"/>
        <v>0.25519653115897362</v>
      </c>
      <c r="CJ77" s="301">
        <f t="shared" si="206"/>
        <v>0.21871988022723998</v>
      </c>
      <c r="CK77" s="301">
        <f t="shared" si="207"/>
        <v>0.21132358472048479</v>
      </c>
      <c r="CL77" s="302">
        <f t="shared" si="208"/>
        <v>1759.9061055276381</v>
      </c>
      <c r="CM77" s="300">
        <f t="shared" si="209"/>
        <v>5.5959109190383046E-3</v>
      </c>
      <c r="CN77" s="298">
        <f t="shared" si="210"/>
        <v>4.7960564370364269E-3</v>
      </c>
      <c r="CO77" s="298">
        <f t="shared" si="211"/>
        <v>4.6338715883681584E-3</v>
      </c>
      <c r="CP77" s="299">
        <f t="shared" si="212"/>
        <v>38.590954773869349</v>
      </c>
      <c r="CQ77" s="295">
        <f t="shared" si="213"/>
        <v>2.2119011798390424E-2</v>
      </c>
      <c r="CR77" s="301">
        <f t="shared" si="214"/>
        <v>1.8957419167563577E-2</v>
      </c>
      <c r="CS77" s="301">
        <f t="shared" si="215"/>
        <v>1.8316349530624089E-2</v>
      </c>
      <c r="CT77" s="296">
        <f t="shared" si="216"/>
        <v>152.53884422110553</v>
      </c>
      <c r="CU77" s="300">
        <f t="shared" si="217"/>
        <v>0.89125481744309776</v>
      </c>
      <c r="CV77" s="298">
        <f t="shared" si="218"/>
        <v>0.76386283950572564</v>
      </c>
      <c r="CW77" s="298">
        <f t="shared" si="219"/>
        <v>0.73803183008059414</v>
      </c>
      <c r="CX77" s="299">
        <f t="shared" si="220"/>
        <v>6146.3405778894476</v>
      </c>
      <c r="CY77" s="295">
        <f t="shared" si="221"/>
        <v>3.7602144447266917E-3</v>
      </c>
      <c r="CZ77" s="301">
        <f t="shared" si="222"/>
        <v>3.1137648782631187E-3</v>
      </c>
      <c r="DA77" s="296">
        <f t="shared" si="223"/>
        <v>25.931482412060301</v>
      </c>
      <c r="DB77" s="300">
        <f t="shared" si="224"/>
        <v>8.5120146920689241E-4</v>
      </c>
      <c r="DC77" s="299">
        <f t="shared" si="225"/>
        <v>7.0888190954773869</v>
      </c>
      <c r="DD77" s="295">
        <f t="shared" si="226"/>
        <v>2.591432273895225E-2</v>
      </c>
      <c r="DE77" s="301">
        <f t="shared" si="227"/>
        <v>2.1459177175835197E-2</v>
      </c>
      <c r="DF77" s="296">
        <f t="shared" si="228"/>
        <v>178.71236180904523</v>
      </c>
      <c r="DG77" s="300">
        <f t="shared" si="229"/>
        <v>3.3357993300340174E-3</v>
      </c>
      <c r="DH77" s="298">
        <f t="shared" si="230"/>
        <v>2.7623144763352799E-3</v>
      </c>
      <c r="DI77" s="303">
        <f t="shared" si="231"/>
        <v>23.004597989949747</v>
      </c>
      <c r="DJ77" s="295">
        <f t="shared" si="232"/>
        <v>1.4015612369947774E-2</v>
      </c>
      <c r="DK77" s="301">
        <f t="shared" si="233"/>
        <v>1.2012283415234842E-2</v>
      </c>
      <c r="DL77" s="301">
        <f t="shared" si="234"/>
        <v>1.16060725222988E-2</v>
      </c>
      <c r="DM77" s="296">
        <f t="shared" si="235"/>
        <v>96.655552763819102</v>
      </c>
      <c r="DN77" s="300">
        <f t="shared" si="236"/>
        <v>4.487524013665139E-3</v>
      </c>
      <c r="DO77" s="298">
        <f t="shared" si="237"/>
        <v>3.7160366435240581E-3</v>
      </c>
      <c r="DP77" s="299">
        <f t="shared" si="238"/>
        <v>30.94721105527638</v>
      </c>
      <c r="DQ77" s="295">
        <f t="shared" si="239"/>
        <v>8.643417656760323E-2</v>
      </c>
      <c r="DR77" s="301">
        <f t="shared" si="240"/>
        <v>7.1574562364449909E-2</v>
      </c>
      <c r="DS77" s="296">
        <f t="shared" si="241"/>
        <v>596.07407035175879</v>
      </c>
      <c r="DT77" s="300">
        <f t="shared" si="242"/>
        <v>4.7614451577773644E-2</v>
      </c>
      <c r="DU77" s="299">
        <f t="shared" si="243"/>
        <v>396.53389447236179</v>
      </c>
      <c r="DV77" s="295">
        <f t="shared" si="178"/>
        <v>2.0681056512585016E-2</v>
      </c>
      <c r="DW77" s="296">
        <f t="shared" si="179"/>
        <v>172.23216080402008</v>
      </c>
      <c r="DX77" s="295">
        <f t="shared" si="244"/>
        <v>4.663501989927229E-5</v>
      </c>
      <c r="DY77" s="301">
        <f t="shared" si="245"/>
        <v>3.9969218705444464E-5</v>
      </c>
      <c r="DZ77" s="301">
        <f t="shared" si="246"/>
        <v>3.8617607903479623E-5</v>
      </c>
      <c r="EA77" s="296">
        <f t="shared" si="247"/>
        <v>0.32160804020100503</v>
      </c>
      <c r="EB77" s="304">
        <f>IFERROR(_xlfn.XLOOKUP(A77,'Pupil on roll 24-25'!E:E,'Pupil on roll 24-25'!R:R),0)</f>
        <v>128</v>
      </c>
      <c r="EC77" s="289">
        <f>IFERROR(_xlfn.XLOOKUP(A77,CFR20242025_BenchMarkDataReport!B:B,CFR20242025_BenchMarkDataReport!AK:AK),0)</f>
        <v>14493.75</v>
      </c>
      <c r="ED77" s="289">
        <f>IFERROR(_xlfn.XLOOKUP(A77,CFR20242025_BenchMarkDataReport!B:B,CFR20242025_BenchMarkDataReport!AL:AL),0)</f>
        <v>78924</v>
      </c>
    </row>
    <row r="78" spans="1:228">
      <c r="A78" s="208">
        <v>2054</v>
      </c>
      <c r="B78" s="326">
        <v>10109</v>
      </c>
      <c r="C78" s="208" t="s">
        <v>113</v>
      </c>
      <c r="D78" s="289">
        <f>IFERROR(_xlfn.XLOOKUP($A78,CFR20242025_BenchMarkDataReport!$B:$B,CFR20242025_BenchMarkDataReport!T:T),0)</f>
        <v>1156607.51</v>
      </c>
      <c r="E78" s="289">
        <f>IFERROR(_xlfn.XLOOKUP($A78,CFR20242025_BenchMarkDataReport!$B:$B,CFR20242025_BenchMarkDataReport!U:U),0)</f>
        <v>0</v>
      </c>
      <c r="F78" s="289">
        <f>IFERROR(_xlfn.XLOOKUP($A78,CFR20242025_BenchMarkDataReport!$B:$B,CFR20242025_BenchMarkDataReport!V:V),0)</f>
        <v>71766.679999999993</v>
      </c>
      <c r="G78" s="289">
        <f>IFERROR(_xlfn.XLOOKUP($A78,CFR20242025_BenchMarkDataReport!$B:$B,CFR20242025_BenchMarkDataReport!W:W),0)</f>
        <v>0</v>
      </c>
      <c r="H78" s="289">
        <f>IFERROR(_xlfn.XLOOKUP($A78,CFR20242025_BenchMarkDataReport!$B:$B,CFR20242025_BenchMarkDataReport!X:X),0)</f>
        <v>15890</v>
      </c>
      <c r="I78" s="289">
        <f>IFERROR(_xlfn.XLOOKUP($A78,CFR20242025_BenchMarkDataReport!$B:$B,CFR20242025_BenchMarkDataReport!Y:Y),0)</f>
        <v>5514.81</v>
      </c>
      <c r="J78" s="289">
        <f>IFERROR(_xlfn.XLOOKUP($A78,CFR20242025_BenchMarkDataReport!$B:$B,CFR20242025_BenchMarkDataReport!Z:Z),0)</f>
        <v>59006.03</v>
      </c>
      <c r="K78" s="289">
        <f>IFERROR(_xlfn.XLOOKUP($A78,CFR20242025_BenchMarkDataReport!$B:$B,CFR20242025_BenchMarkDataReport!AA:AA),0)</f>
        <v>35759.919999999998</v>
      </c>
      <c r="L78" s="289">
        <f>IFERROR(_xlfn.XLOOKUP($A78,CFR20242025_BenchMarkDataReport!$B:$B,CFR20242025_BenchMarkDataReport!AB:AB),0)</f>
        <v>43356.52</v>
      </c>
      <c r="M78" s="289">
        <f>IFERROR(_xlfn.XLOOKUP($A78,CFR20242025_BenchMarkDataReport!$B:$B,CFR20242025_BenchMarkDataReport!AC:AC),0)</f>
        <v>1381.44</v>
      </c>
      <c r="N78" s="289">
        <f>IFERROR(_xlfn.XLOOKUP($A78,CFR20242025_BenchMarkDataReport!$B:$B,CFR20242025_BenchMarkDataReport!AD:AD),0)</f>
        <v>0</v>
      </c>
      <c r="O78" s="289">
        <f>IFERROR(_xlfn.XLOOKUP($A78,CFR20242025_BenchMarkDataReport!$B:$B,CFR20242025_BenchMarkDataReport!AE:AE),0)</f>
        <v>0</v>
      </c>
      <c r="P78" s="289">
        <f>IFERROR(_xlfn.XLOOKUP($A78,CFR20242025_BenchMarkDataReport!$B:$B,CFR20242025_BenchMarkDataReport!AF:AF),0)</f>
        <v>27861.01</v>
      </c>
      <c r="Q78" s="289">
        <f>IFERROR(_xlfn.XLOOKUP($A78,CFR20242025_BenchMarkDataReport!$B:$B,CFR20242025_BenchMarkDataReport!AG:AG),0)</f>
        <v>34597.279999999999</v>
      </c>
      <c r="R78" s="289">
        <f>IFERROR(_xlfn.XLOOKUP($A78,CFR20242025_BenchMarkDataReport!$B:$B,CFR20242025_BenchMarkDataReport!AH:AH),0)</f>
        <v>0</v>
      </c>
      <c r="S78" s="289">
        <f>IFERROR(_xlfn.XLOOKUP($A78,CFR20242025_BenchMarkDataReport!$B:$B,CFR20242025_BenchMarkDataReport!AI:AI),0)</f>
        <v>0</v>
      </c>
      <c r="T78" s="289">
        <f>IFERROR(_xlfn.XLOOKUP($A78,CFR20242025_BenchMarkDataReport!$B:$B,CFR20242025_BenchMarkDataReport!AJ:AJ),0)</f>
        <v>0</v>
      </c>
      <c r="U78" s="289">
        <f>INDEX(CFR20242025_BenchMarkDataReport!$B$3:$AM$87,MATCH(A78,CFR20242025_BenchMarkDataReport!$B$3:$B$87),MATCH($U$2,CFR20242025_BenchMarkDataReport!$B$3:$AM$3,0))</f>
        <v>54994.13</v>
      </c>
      <c r="V78" s="289">
        <f>IFERROR(_xlfn.XLOOKUP($A78,CFR20242025_BenchMarkDataReport!$B:$B,CFR20242025_BenchMarkDataReport!AN:AN),0)</f>
        <v>664723.17000000004</v>
      </c>
      <c r="W78" s="289">
        <f>IFERROR(_xlfn.XLOOKUP($A78,CFR20242025_BenchMarkDataReport!$B:$B,CFR20242025_BenchMarkDataReport!AO:AO),0)</f>
        <v>0</v>
      </c>
      <c r="X78" s="289">
        <f>IFERROR(_xlfn.XLOOKUP($A78,CFR20242025_BenchMarkDataReport!$B:$B,CFR20242025_BenchMarkDataReport!AP:AP),0)</f>
        <v>168759.2</v>
      </c>
      <c r="Y78" s="289">
        <f>IFERROR(_xlfn.XLOOKUP($A78,CFR20242025_BenchMarkDataReport!$B:$B,CFR20242025_BenchMarkDataReport!AQ:AQ),0)</f>
        <v>30834.93</v>
      </c>
      <c r="Z78" s="289">
        <f>IFERROR(_xlfn.XLOOKUP($A78,CFR20242025_BenchMarkDataReport!$B:$B,CFR20242025_BenchMarkDataReport!AR:AR),0)</f>
        <v>54061.53</v>
      </c>
      <c r="AA78" s="289">
        <f>IFERROR(_xlfn.XLOOKUP($A78,CFR20242025_BenchMarkDataReport!$B:$B,CFR20242025_BenchMarkDataReport!AS:AS),0)</f>
        <v>0</v>
      </c>
      <c r="AB78" s="289">
        <f>IFERROR(_xlfn.XLOOKUP($A78,CFR20242025_BenchMarkDataReport!$B:$B,CFR20242025_BenchMarkDataReport!AT:AT),0)</f>
        <v>66291.77</v>
      </c>
      <c r="AC78" s="289">
        <f>IFERROR(_xlfn.XLOOKUP($A78,CFR20242025_BenchMarkDataReport!$B:$B,CFR20242025_BenchMarkDataReport!AU:AU),0)</f>
        <v>4412.55</v>
      </c>
      <c r="AD78" s="289">
        <f>IFERROR(_xlfn.XLOOKUP($A78,CFR20242025_BenchMarkDataReport!$B:$B,CFR20242025_BenchMarkDataReport!AV:AV),0)</f>
        <v>1648.15</v>
      </c>
      <c r="AE78" s="289">
        <f>IFERROR(_xlfn.XLOOKUP($A78,CFR20242025_BenchMarkDataReport!$B:$B,CFR20242025_BenchMarkDataReport!AW:AW),0)</f>
        <v>338.64</v>
      </c>
      <c r="AF78" s="289">
        <f>IFERROR(_xlfn.XLOOKUP($A78,CFR20242025_BenchMarkDataReport!$B:$B,CFR20242025_BenchMarkDataReport!AX:AX),0)</f>
        <v>5368.35</v>
      </c>
      <c r="AG78" s="289">
        <f>IFERROR(_xlfn.XLOOKUP($A78,CFR20242025_BenchMarkDataReport!$B:$B,CFR20242025_BenchMarkDataReport!AY:AY),0)</f>
        <v>19730.330000000002</v>
      </c>
      <c r="AH78" s="289">
        <f>IFERROR(_xlfn.XLOOKUP($A78,CFR20242025_BenchMarkDataReport!$B:$B,CFR20242025_BenchMarkDataReport!AZ:AZ),0)</f>
        <v>2196.64</v>
      </c>
      <c r="AI78" s="289">
        <f>IFERROR(_xlfn.XLOOKUP($A78,CFR20242025_BenchMarkDataReport!$B:$B,CFR20242025_BenchMarkDataReport!BA:BA),0)</f>
        <v>20132.939999999999</v>
      </c>
      <c r="AJ78" s="289">
        <f>IFERROR(_xlfn.XLOOKUP($A78,CFR20242025_BenchMarkDataReport!$B:$B,CFR20242025_BenchMarkDataReport!BB:BB),0)</f>
        <v>2619.5</v>
      </c>
      <c r="AK78" s="289">
        <f>IFERROR(_xlfn.XLOOKUP($A78,CFR20242025_BenchMarkDataReport!$B:$B,CFR20242025_BenchMarkDataReport!BC:BC),0)</f>
        <v>16488.77</v>
      </c>
      <c r="AL78" s="289">
        <f>IFERROR(_xlfn.XLOOKUP($A78,CFR20242025_BenchMarkDataReport!$B:$B,CFR20242025_BenchMarkDataReport!BD:BD),0)</f>
        <v>22904.1</v>
      </c>
      <c r="AM78" s="289">
        <f>IFERROR(_xlfn.XLOOKUP($A78,CFR20242025_BenchMarkDataReport!$B:$B,CFR20242025_BenchMarkDataReport!BE:BE),0)</f>
        <v>9857.52</v>
      </c>
      <c r="AN78" s="289">
        <f>IFERROR(_xlfn.XLOOKUP($A78,CFR20242025_BenchMarkDataReport!$B:$B,CFR20242025_BenchMarkDataReport!BF:BF),0)</f>
        <v>58345.919999999998</v>
      </c>
      <c r="AO78" s="289">
        <f>IFERROR(_xlfn.XLOOKUP($A78,CFR20242025_BenchMarkDataReport!$B:$B,CFR20242025_BenchMarkDataReport!BN:BN),0)</f>
        <v>30122.920000000002</v>
      </c>
      <c r="AP78" s="289">
        <f>IFERROR(_xlfn.XLOOKUP($A78,CFR20242025_BenchMarkDataReport!$B:$B,CFR20242025_BenchMarkDataReport!BO:BO),0)</f>
        <v>0</v>
      </c>
      <c r="AQ78" s="289">
        <f>IFERROR(_xlfn.XLOOKUP($A78,CFR20242025_BenchMarkDataReport!$B:$B,CFR20242025_BenchMarkDataReport!BP:BP),0)</f>
        <v>1386.97</v>
      </c>
      <c r="AR78" s="289">
        <f>IFERROR(_xlfn.XLOOKUP($A78,CFR20242025_BenchMarkDataReport!$B:$B,CFR20242025_BenchMarkDataReport!BQ:BQ),0)</f>
        <v>8341.56</v>
      </c>
      <c r="AS78" s="289">
        <f>IFERROR(_xlfn.XLOOKUP($A78,CFR20242025_BenchMarkDataReport!$B:$B,CFR20242025_BenchMarkDataReport!BR:BR),0)</f>
        <v>6247.46</v>
      </c>
      <c r="AT78" s="289">
        <f>IFERROR(_xlfn.XLOOKUP($A78,CFR20242025_BenchMarkDataReport!$B:$B,CFR20242025_BenchMarkDataReport!BS:BS),0)</f>
        <v>82308.19</v>
      </c>
      <c r="AU78" s="289">
        <f>IFERROR(_xlfn.XLOOKUP($A78,CFR20242025_BenchMarkDataReport!$B:$B,CFR20242025_BenchMarkDataReport!BT:BT),0)</f>
        <v>49831.78</v>
      </c>
      <c r="AV78" s="289">
        <f>IFERROR(_xlfn.XLOOKUP($A78,CFR20242025_BenchMarkDataReport!$B:$B,CFR20242025_BenchMarkDataReport!BU:BU),0)</f>
        <v>160290.26</v>
      </c>
      <c r="AW78" s="289">
        <f>IFERROR(_xlfn.XLOOKUP($A78,CFR20242025_BenchMarkDataReport!$B:$B,CFR20242025_BenchMarkDataReport!BV:BV),0)</f>
        <v>25232.35</v>
      </c>
      <c r="AX78" s="289">
        <f>IFERROR(_xlfn.XLOOKUP($A78,CFR20242025_BenchMarkDataReport!$B:$B,CFR20242025_BenchMarkDataReport!BW:BW),0)</f>
        <v>0</v>
      </c>
      <c r="AY78" s="289">
        <f>IFERROR(_xlfn.XLOOKUP($A78,CFR20242025_BenchMarkDataReport!$B:$B,CFR20242025_BenchMarkDataReport!BX:BX),0)</f>
        <v>0</v>
      </c>
      <c r="AZ78" s="289">
        <f>IFERROR(_xlfn.XLOOKUP($A78,CFR20242025_BenchMarkDataReport!$B:$B,CFR20242025_BenchMarkDataReport!BY:BY),0)</f>
        <v>0</v>
      </c>
      <c r="BA78" s="289">
        <f>IFERROR(_xlfn.XLOOKUP($A78,CFR20242025_BenchMarkDataReport!$B:$B,CFR20242025_BenchMarkDataReport!BZ:BZ),0)</f>
        <v>0</v>
      </c>
      <c r="BB78" s="289">
        <f>IFERROR(_xlfn.XLOOKUP($A78,CFR20242025_BenchMarkDataReport!$B:$B,CFR20242025_BenchMarkDataReport!CA:CA),0)</f>
        <v>0</v>
      </c>
      <c r="BC78" s="290">
        <f t="shared" si="180"/>
        <v>1506735.3299999998</v>
      </c>
      <c r="BD78" s="291">
        <f t="shared" si="175"/>
        <v>1512475.5000000002</v>
      </c>
      <c r="BE78" s="327">
        <f t="shared" si="176"/>
        <v>-5740.1700000003912</v>
      </c>
      <c r="BF78" s="289">
        <f>IFERROR(_xlfn.XLOOKUP(A78,CFR20242025_BenchMarkDataReport!B:B,CFR20242025_BenchMarkDataReport!Q:Q),0)</f>
        <v>65267.17</v>
      </c>
      <c r="BG78" s="290">
        <f>SUM(BE78:BF78)</f>
        <v>59526.999999999607</v>
      </c>
      <c r="BH78" s="292">
        <f>_xlfn.XLOOKUP(A78,'Pupil on roll 24-25'!E:E,'Pupil on roll 24-25'!I:I)</f>
        <v>204</v>
      </c>
      <c r="BI78" s="291">
        <f t="shared" si="174"/>
        <v>1228374.19</v>
      </c>
      <c r="BJ78" t="s">
        <v>190</v>
      </c>
      <c r="BK78" s="293">
        <f t="shared" si="181"/>
        <v>0.76762486879497283</v>
      </c>
      <c r="BL78" s="294">
        <f t="shared" si="182"/>
        <v>5669.6446568627453</v>
      </c>
      <c r="BM78" s="295">
        <f t="shared" si="183"/>
        <v>0</v>
      </c>
      <c r="BN78" s="296">
        <f t="shared" si="184"/>
        <v>0</v>
      </c>
      <c r="BO78" s="293">
        <f t="shared" si="185"/>
        <v>4.7630581543475194E-2</v>
      </c>
      <c r="BP78" s="294">
        <f t="shared" si="186"/>
        <v>351.79745098039211</v>
      </c>
      <c r="BQ78" s="295">
        <f t="shared" si="187"/>
        <v>0</v>
      </c>
      <c r="BR78" s="296">
        <f t="shared" si="188"/>
        <v>0</v>
      </c>
      <c r="BS78" s="293">
        <f t="shared" si="189"/>
        <v>1.054597956497111E-2</v>
      </c>
      <c r="BT78" s="294">
        <f t="shared" si="190"/>
        <v>77.892156862745097</v>
      </c>
      <c r="BU78" s="295">
        <f t="shared" si="191"/>
        <v>3.6601053218815816E-3</v>
      </c>
      <c r="BV78" s="296">
        <f t="shared" si="192"/>
        <v>27.033382352941178</v>
      </c>
      <c r="BW78" s="293">
        <f t="shared" si="193"/>
        <v>3.9161509539966784E-2</v>
      </c>
      <c r="BX78" s="294">
        <f t="shared" si="194"/>
        <v>289.24524509803922</v>
      </c>
      <c r="BY78" s="295">
        <f t="shared" si="195"/>
        <v>5.2508518533244994E-2</v>
      </c>
      <c r="BZ78" s="297">
        <f t="shared" si="196"/>
        <v>387.82568627450979</v>
      </c>
      <c r="CA78" s="298">
        <f t="shared" si="197"/>
        <v>1.8490978106951272E-2</v>
      </c>
      <c r="CB78" s="299">
        <f t="shared" si="198"/>
        <v>136.57357843137254</v>
      </c>
      <c r="CC78" s="295">
        <f t="shared" si="199"/>
        <v>2.2961750024139943E-2</v>
      </c>
      <c r="CD78" s="296">
        <f t="shared" si="200"/>
        <v>169.59450980392157</v>
      </c>
      <c r="CE78" s="300">
        <f t="shared" si="201"/>
        <v>0.58170788332828782</v>
      </c>
      <c r="CF78" s="298">
        <f t="shared" si="202"/>
        <v>0.47424052238822867</v>
      </c>
      <c r="CG78" s="298">
        <f t="shared" si="203"/>
        <v>0.47244067755147107</v>
      </c>
      <c r="CH78" s="299">
        <f t="shared" si="204"/>
        <v>3502.7203431372554</v>
      </c>
      <c r="CI78" s="295">
        <f t="shared" si="205"/>
        <v>0.13738419560899437</v>
      </c>
      <c r="CJ78" s="301">
        <f t="shared" si="206"/>
        <v>0.11200321426059615</v>
      </c>
      <c r="CK78" s="301">
        <f t="shared" si="207"/>
        <v>0.11157813795992066</v>
      </c>
      <c r="CL78" s="302">
        <f t="shared" si="208"/>
        <v>827.25098039215698</v>
      </c>
      <c r="CM78" s="300">
        <f t="shared" si="209"/>
        <v>2.5102228824915314E-2</v>
      </c>
      <c r="CN78" s="298">
        <f t="shared" si="210"/>
        <v>2.0464728865155105E-2</v>
      </c>
      <c r="CO78" s="298">
        <f t="shared" si="211"/>
        <v>2.0387060815199979E-2</v>
      </c>
      <c r="CP78" s="299">
        <f t="shared" si="212"/>
        <v>151.15161764705883</v>
      </c>
      <c r="CQ78" s="295">
        <f t="shared" si="213"/>
        <v>4.401063653087664E-2</v>
      </c>
      <c r="CR78" s="301">
        <f t="shared" si="214"/>
        <v>3.5879911304661588E-2</v>
      </c>
      <c r="CS78" s="301">
        <f t="shared" si="215"/>
        <v>3.5743739320074928E-2</v>
      </c>
      <c r="CT78" s="296">
        <f t="shared" si="216"/>
        <v>265.00749999999999</v>
      </c>
      <c r="CU78" s="300">
        <f t="shared" si="217"/>
        <v>0.8016047618193608</v>
      </c>
      <c r="CV78" s="298">
        <f t="shared" si="218"/>
        <v>0.6535126510904874</v>
      </c>
      <c r="CW78" s="298">
        <f t="shared" si="219"/>
        <v>0.65103242994679922</v>
      </c>
      <c r="CX78" s="299">
        <f t="shared" si="220"/>
        <v>4826.8166666666675</v>
      </c>
      <c r="CY78" s="295">
        <f t="shared" si="221"/>
        <v>1.6062149596288735E-2</v>
      </c>
      <c r="CZ78" s="301">
        <f t="shared" si="222"/>
        <v>1.3045057589362604E-2</v>
      </c>
      <c r="DA78" s="296">
        <f t="shared" si="223"/>
        <v>96.717303921568643</v>
      </c>
      <c r="DB78" s="300">
        <f t="shared" si="224"/>
        <v>1.7319288808314579E-3</v>
      </c>
      <c r="DC78" s="299">
        <f t="shared" si="225"/>
        <v>12.840686274509803</v>
      </c>
      <c r="DD78" s="295">
        <f t="shared" si="226"/>
        <v>1.3423246869099391E-2</v>
      </c>
      <c r="DE78" s="301">
        <f t="shared" si="227"/>
        <v>1.0901842707534765E-2</v>
      </c>
      <c r="DF78" s="296">
        <f t="shared" si="228"/>
        <v>80.827303921568628</v>
      </c>
      <c r="DG78" s="300">
        <f t="shared" si="229"/>
        <v>8.0248511245583892E-3</v>
      </c>
      <c r="DH78" s="298">
        <f t="shared" si="230"/>
        <v>6.5174741673501482E-3</v>
      </c>
      <c r="DI78" s="303">
        <f t="shared" si="231"/>
        <v>48.321176470588235</v>
      </c>
      <c r="DJ78" s="295">
        <f t="shared" si="232"/>
        <v>4.7498490667570933E-2</v>
      </c>
      <c r="DK78" s="301">
        <f t="shared" si="233"/>
        <v>3.872340339958711E-2</v>
      </c>
      <c r="DL78" s="301">
        <f t="shared" si="234"/>
        <v>3.8576439750594299E-2</v>
      </c>
      <c r="DM78" s="296">
        <f t="shared" si="235"/>
        <v>286.00941176470587</v>
      </c>
      <c r="DN78" s="300">
        <f t="shared" si="236"/>
        <v>1.1291103405551041E-3</v>
      </c>
      <c r="DO78" s="298">
        <f t="shared" si="237"/>
        <v>9.1701981288291933E-4</v>
      </c>
      <c r="DP78" s="299">
        <f t="shared" si="238"/>
        <v>6.7988725490196078</v>
      </c>
      <c r="DQ78" s="295">
        <f t="shared" si="239"/>
        <v>0.13048976550052718</v>
      </c>
      <c r="DR78" s="301">
        <f t="shared" si="240"/>
        <v>0.10597874808550617</v>
      </c>
      <c r="DS78" s="296">
        <f t="shared" si="241"/>
        <v>785.73656862745099</v>
      </c>
      <c r="DT78" s="300">
        <f t="shared" si="242"/>
        <v>5.441951952279557E-2</v>
      </c>
      <c r="DU78" s="299">
        <f t="shared" si="243"/>
        <v>403.47151960784316</v>
      </c>
      <c r="DV78" s="295">
        <f t="shared" si="178"/>
        <v>1.3311250330997094E-2</v>
      </c>
      <c r="DW78" s="296">
        <f t="shared" si="179"/>
        <v>98.690882352941173</v>
      </c>
      <c r="DX78" s="295">
        <f t="shared" si="244"/>
        <v>7.3267576551734615E-6</v>
      </c>
      <c r="DY78" s="301">
        <f t="shared" si="245"/>
        <v>5.9731791116891121E-6</v>
      </c>
      <c r="DZ78" s="301">
        <f t="shared" si="246"/>
        <v>5.9505096115606488E-6</v>
      </c>
      <c r="EA78" s="296">
        <f t="shared" si="247"/>
        <v>4.4117647058823532E-2</v>
      </c>
      <c r="EB78" s="304">
        <f>IFERROR(_xlfn.XLOOKUP(A78,'Pupil on roll 24-25'!E:E,'Pupil on roll 24-25'!R:R),0)</f>
        <v>9</v>
      </c>
      <c r="EC78" s="289">
        <f>IFERROR(_xlfn.XLOOKUP(A78,CFR20242025_BenchMarkDataReport!B:B,CFR20242025_BenchMarkDataReport!AK:AK),0)</f>
        <v>1253.1300000000001</v>
      </c>
      <c r="ED78" s="289">
        <f>IFERROR(_xlfn.XLOOKUP(A78,CFR20242025_BenchMarkDataReport!B:B,CFR20242025_BenchMarkDataReport!AL:AL),0)</f>
        <v>53741</v>
      </c>
    </row>
    <row r="79" spans="1:228" s="16" customFormat="1" ht="16.2" thickBot="1">
      <c r="A79" s="306">
        <v>5999</v>
      </c>
      <c r="B79" s="307"/>
      <c r="C79" s="308" t="s">
        <v>191</v>
      </c>
      <c r="D79" s="309">
        <f t="shared" ref="D79:AI79" si="248">AVERAGE(D9:D78)</f>
        <v>1949377.1464285713</v>
      </c>
      <c r="E79" s="309">
        <f t="shared" si="248"/>
        <v>0</v>
      </c>
      <c r="F79" s="309">
        <f t="shared" si="248"/>
        <v>166905.96485714283</v>
      </c>
      <c r="G79" s="309">
        <f t="shared" si="248"/>
        <v>0</v>
      </c>
      <c r="H79" s="309">
        <f t="shared" si="248"/>
        <v>99034.043142857132</v>
      </c>
      <c r="I79" s="309">
        <f t="shared" si="248"/>
        <v>11798.670142857141</v>
      </c>
      <c r="J79" s="309">
        <f t="shared" si="248"/>
        <v>86653.7038571429</v>
      </c>
      <c r="K79" s="309">
        <f t="shared" si="248"/>
        <v>24467.474857142861</v>
      </c>
      <c r="L79" s="309">
        <f t="shared" si="248"/>
        <v>42444.34071428571</v>
      </c>
      <c r="M79" s="309">
        <f t="shared" si="248"/>
        <v>4696.8140000000003</v>
      </c>
      <c r="N79" s="309">
        <f t="shared" si="248"/>
        <v>914.98514285714282</v>
      </c>
      <c r="O79" s="309">
        <f t="shared" si="248"/>
        <v>1377.795142857143</v>
      </c>
      <c r="P79" s="309">
        <f t="shared" si="248"/>
        <v>47906.333714285698</v>
      </c>
      <c r="Q79" s="309">
        <f t="shared" si="248"/>
        <v>72770.269714285721</v>
      </c>
      <c r="R79" s="309">
        <f t="shared" si="248"/>
        <v>0</v>
      </c>
      <c r="S79" s="309">
        <f t="shared" si="248"/>
        <v>8870.8357142857149</v>
      </c>
      <c r="T79" s="309">
        <f t="shared" si="248"/>
        <v>60.699857142857141</v>
      </c>
      <c r="U79" s="309">
        <f t="shared" si="248"/>
        <v>74911.964428571402</v>
      </c>
      <c r="V79" s="309">
        <f t="shared" si="248"/>
        <v>1124925.4332857141</v>
      </c>
      <c r="W79" s="309">
        <f t="shared" si="248"/>
        <v>2809.9052857142856</v>
      </c>
      <c r="X79" s="309">
        <f t="shared" si="248"/>
        <v>525029.43014285713</v>
      </c>
      <c r="Y79" s="309">
        <f t="shared" si="248"/>
        <v>60317.540857142863</v>
      </c>
      <c r="Z79" s="309">
        <f t="shared" si="248"/>
        <v>101358.32771428574</v>
      </c>
      <c r="AA79" s="309">
        <f t="shared" si="248"/>
        <v>4273.966571428572</v>
      </c>
      <c r="AB79" s="309">
        <f t="shared" si="248"/>
        <v>59387.557142857149</v>
      </c>
      <c r="AC79" s="309">
        <f t="shared" si="248"/>
        <v>12885.532571428575</v>
      </c>
      <c r="AD79" s="309">
        <f t="shared" si="248"/>
        <v>4506.8908571428556</v>
      </c>
      <c r="AE79" s="309">
        <f t="shared" si="248"/>
        <v>2653.4491428571432</v>
      </c>
      <c r="AF79" s="309">
        <f t="shared" si="248"/>
        <v>802.09800000000007</v>
      </c>
      <c r="AG79" s="309">
        <f t="shared" si="248"/>
        <v>31925.745571428572</v>
      </c>
      <c r="AH79" s="309">
        <f t="shared" si="248"/>
        <v>4707.9181428571428</v>
      </c>
      <c r="AI79" s="309">
        <f t="shared" si="248"/>
        <v>34770.050857142858</v>
      </c>
      <c r="AJ79" s="309">
        <f t="shared" ref="AJ79:BI79" si="249">AVERAGE(AJ9:AJ78)</f>
        <v>6453.0801428571449</v>
      </c>
      <c r="AK79" s="309">
        <f t="shared" si="249"/>
        <v>49701.109857142867</v>
      </c>
      <c r="AL79" s="309">
        <f t="shared" si="249"/>
        <v>25717.774857142864</v>
      </c>
      <c r="AM79" s="309">
        <f t="shared" si="249"/>
        <v>21604.334571428575</v>
      </c>
      <c r="AN79" s="309">
        <f t="shared" si="249"/>
        <v>83062.857428571442</v>
      </c>
      <c r="AO79" s="309">
        <f t="shared" si="249"/>
        <v>29609.12828571428</v>
      </c>
      <c r="AP79" s="309">
        <f t="shared" si="249"/>
        <v>0</v>
      </c>
      <c r="AQ79" s="309">
        <f t="shared" si="249"/>
        <v>12348.520857142859</v>
      </c>
      <c r="AR79" s="309">
        <f t="shared" si="249"/>
        <v>12590.676571428572</v>
      </c>
      <c r="AS79" s="309">
        <f t="shared" si="249"/>
        <v>13450.057428571425</v>
      </c>
      <c r="AT79" s="309">
        <f t="shared" si="249"/>
        <v>122446.36285714286</v>
      </c>
      <c r="AU79" s="309">
        <f t="shared" si="249"/>
        <v>55622.709285714292</v>
      </c>
      <c r="AV79" s="309">
        <f t="shared" si="249"/>
        <v>167136.47199999998</v>
      </c>
      <c r="AW79" s="309">
        <f t="shared" si="249"/>
        <v>37684.580714285716</v>
      </c>
      <c r="AX79" s="309">
        <f t="shared" si="249"/>
        <v>1143.8602857142855</v>
      </c>
      <c r="AY79" s="309">
        <f t="shared" si="249"/>
        <v>0</v>
      </c>
      <c r="AZ79" s="309">
        <f t="shared" si="249"/>
        <v>4276.4017142857147</v>
      </c>
      <c r="BA79" s="309">
        <f t="shared" si="249"/>
        <v>5336.5491428571431</v>
      </c>
      <c r="BB79" s="309">
        <f t="shared" si="249"/>
        <v>1289.3847142857142</v>
      </c>
      <c r="BC79" s="309">
        <f t="shared" si="249"/>
        <v>2583259.506142858</v>
      </c>
      <c r="BD79" s="309">
        <f t="shared" si="249"/>
        <v>2613201.7729999996</v>
      </c>
      <c r="BE79" s="309">
        <f t="shared" si="249"/>
        <v>-29942.266857142946</v>
      </c>
      <c r="BF79" s="309">
        <f t="shared" si="249"/>
        <v>33486.904142857136</v>
      </c>
      <c r="BG79" s="309">
        <f t="shared" si="249"/>
        <v>3544.6372857141964</v>
      </c>
      <c r="BH79" s="309">
        <f t="shared" si="249"/>
        <v>311.45</v>
      </c>
      <c r="BI79" s="309">
        <f t="shared" si="249"/>
        <v>2116283.111285714</v>
      </c>
      <c r="BJ79" s="16" t="s">
        <v>190</v>
      </c>
      <c r="BK79" s="310">
        <f t="shared" ref="BK79:CP79" si="250">AVERAGE(BK9:BK78)</f>
        <v>0.75537544438460313</v>
      </c>
      <c r="BL79" s="311">
        <f t="shared" si="250"/>
        <v>6311.9520230077169</v>
      </c>
      <c r="BM79" s="312">
        <f t="shared" si="250"/>
        <v>0</v>
      </c>
      <c r="BN79" s="313">
        <f t="shared" si="250"/>
        <v>0</v>
      </c>
      <c r="BO79" s="310">
        <f t="shared" si="250"/>
        <v>6.2668675623086631E-2</v>
      </c>
      <c r="BP79" s="311">
        <f t="shared" si="250"/>
        <v>552.86376772372455</v>
      </c>
      <c r="BQ79" s="312">
        <f t="shared" si="250"/>
        <v>0</v>
      </c>
      <c r="BR79" s="313">
        <f t="shared" si="250"/>
        <v>0</v>
      </c>
      <c r="BS79" s="310">
        <f t="shared" si="250"/>
        <v>3.5766608568264503E-2</v>
      </c>
      <c r="BT79" s="311">
        <f t="shared" si="250"/>
        <v>304.27453700468561</v>
      </c>
      <c r="BU79" s="312">
        <f t="shared" si="250"/>
        <v>5.0127186464251688E-3</v>
      </c>
      <c r="BV79" s="313">
        <f t="shared" si="250"/>
        <v>44.382798772149116</v>
      </c>
      <c r="BW79" s="310">
        <f t="shared" si="250"/>
        <v>3.5119076468359954E-2</v>
      </c>
      <c r="BX79" s="311">
        <f t="shared" si="250"/>
        <v>290.85100605357991</v>
      </c>
      <c r="BY79" s="312">
        <f t="shared" si="250"/>
        <v>2.5541930645542041E-2</v>
      </c>
      <c r="BZ79" s="314">
        <f t="shared" si="250"/>
        <v>212.93419469301514</v>
      </c>
      <c r="CA79" s="315">
        <f t="shared" si="250"/>
        <v>1.9001996193765205E-2</v>
      </c>
      <c r="CB79" s="316">
        <f t="shared" si="250"/>
        <v>159.64298089513045</v>
      </c>
      <c r="CC79" s="312">
        <f t="shared" si="250"/>
        <v>2.8914768023999109E-2</v>
      </c>
      <c r="CD79" s="317">
        <f t="shared" si="250"/>
        <v>266.47711499717389</v>
      </c>
      <c r="CE79" s="318">
        <f t="shared" si="250"/>
        <v>0.57252611813033194</v>
      </c>
      <c r="CF79" s="315">
        <f t="shared" si="250"/>
        <v>0.4655054294987242</v>
      </c>
      <c r="CG79" s="315">
        <f t="shared" si="250"/>
        <v>0.45841397769737191</v>
      </c>
      <c r="CH79" s="316">
        <f t="shared" si="250"/>
        <v>3888.2202672324884</v>
      </c>
      <c r="CI79" s="312">
        <f t="shared" si="250"/>
        <v>0.24361930049152808</v>
      </c>
      <c r="CJ79" s="319">
        <f t="shared" si="250"/>
        <v>0.19722868734584373</v>
      </c>
      <c r="CK79" s="319">
        <f t="shared" si="250"/>
        <v>0.19389640320024057</v>
      </c>
      <c r="CL79" s="320">
        <f t="shared" si="250"/>
        <v>1698.2587150633126</v>
      </c>
      <c r="CM79" s="318">
        <f t="shared" si="250"/>
        <v>2.7965829688443734E-2</v>
      </c>
      <c r="CN79" s="315">
        <f t="shared" si="250"/>
        <v>2.2946201125579293E-2</v>
      </c>
      <c r="CO79" s="315">
        <f t="shared" si="250"/>
        <v>2.2668084792574691E-2</v>
      </c>
      <c r="CP79" s="316">
        <f t="shared" si="250"/>
        <v>193.08226545229402</v>
      </c>
      <c r="CQ79" s="312">
        <f t="shared" ref="CQ79:DV79" si="251">AVERAGE(CQ9:CQ78)</f>
        <v>5.0131611346254157E-2</v>
      </c>
      <c r="CR79" s="319">
        <f t="shared" si="251"/>
        <v>4.0369386984384602E-2</v>
      </c>
      <c r="CS79" s="319">
        <f t="shared" si="251"/>
        <v>3.9832092300316264E-2</v>
      </c>
      <c r="CT79" s="317">
        <f t="shared" si="251"/>
        <v>339.4215299218165</v>
      </c>
      <c r="CU79" s="318">
        <f t="shared" si="251"/>
        <v>0.89537095181237358</v>
      </c>
      <c r="CV79" s="315">
        <f t="shared" si="251"/>
        <v>0.7268683391891585</v>
      </c>
      <c r="CW79" s="315">
        <f t="shared" si="251"/>
        <v>0.71558280602515267</v>
      </c>
      <c r="CX79" s="316">
        <f t="shared" si="251"/>
        <v>6128.5364810285173</v>
      </c>
      <c r="CY79" s="312">
        <f t="shared" si="251"/>
        <v>1.5896158636355115E-2</v>
      </c>
      <c r="CZ79" s="319">
        <f t="shared" si="251"/>
        <v>1.2648027083811329E-2</v>
      </c>
      <c r="DA79" s="317">
        <f t="shared" si="251"/>
        <v>107.35541373950097</v>
      </c>
      <c r="DB79" s="318">
        <f t="shared" si="251"/>
        <v>2.4637270746676381E-3</v>
      </c>
      <c r="DC79" s="316">
        <f t="shared" si="251"/>
        <v>21.555400048607439</v>
      </c>
      <c r="DD79" s="312">
        <f t="shared" si="251"/>
        <v>2.3689304570839859E-2</v>
      </c>
      <c r="DE79" s="319">
        <f t="shared" si="251"/>
        <v>1.8938420607484997E-2</v>
      </c>
      <c r="DF79" s="317">
        <f t="shared" si="251"/>
        <v>162.24465232019608</v>
      </c>
      <c r="DG79" s="318">
        <f t="shared" si="251"/>
        <v>1.1317526997010895E-2</v>
      </c>
      <c r="DH79" s="315">
        <f t="shared" si="251"/>
        <v>8.5006910260643134E-3</v>
      </c>
      <c r="DI79" s="316">
        <f t="shared" si="251"/>
        <v>74.595488148207238</v>
      </c>
      <c r="DJ79" s="312">
        <f t="shared" si="251"/>
        <v>4.1354136123243131E-2</v>
      </c>
      <c r="DK79" s="319">
        <f t="shared" si="251"/>
        <v>3.3167133962219424E-2</v>
      </c>
      <c r="DL79" s="319">
        <f t="shared" si="251"/>
        <v>3.2702647091814571E-2</v>
      </c>
      <c r="DM79" s="317">
        <f t="shared" si="251"/>
        <v>275.31723870758259</v>
      </c>
      <c r="DN79" s="318">
        <f t="shared" si="251"/>
        <v>5.6233513096601937E-3</v>
      </c>
      <c r="DO79" s="315">
        <f t="shared" si="251"/>
        <v>4.4484547592961539E-3</v>
      </c>
      <c r="DP79" s="316">
        <f t="shared" si="251"/>
        <v>38.597299620269794</v>
      </c>
      <c r="DQ79" s="312">
        <f t="shared" si="251"/>
        <v>7.9860908934980393E-2</v>
      </c>
      <c r="DR79" s="319">
        <f t="shared" si="251"/>
        <v>6.4340693557689524E-2</v>
      </c>
      <c r="DS79" s="317">
        <f t="shared" si="251"/>
        <v>555.17548916160979</v>
      </c>
      <c r="DT79" s="318">
        <f t="shared" si="251"/>
        <v>4.7353965662246755E-2</v>
      </c>
      <c r="DU79" s="316">
        <f t="shared" si="251"/>
        <v>396.10639164341859</v>
      </c>
      <c r="DV79" s="312">
        <f t="shared" si="251"/>
        <v>1.3461847451226618E-2</v>
      </c>
      <c r="DW79" s="317">
        <f t="shared" ref="DW79:ED79" si="252">AVERAGE(DW9:DW78)</f>
        <v>114.81206319087622</v>
      </c>
      <c r="DX79" s="312">
        <f t="shared" si="252"/>
        <v>2.7303084551923791E-5</v>
      </c>
      <c r="DY79" s="319">
        <f t="shared" si="252"/>
        <v>2.2860412365333579E-5</v>
      </c>
      <c r="DZ79" s="319">
        <f t="shared" si="252"/>
        <v>2.2491057877361078E-5</v>
      </c>
      <c r="EA79" s="313">
        <f t="shared" si="252"/>
        <v>0.1943931593064146</v>
      </c>
      <c r="EB79" s="331">
        <f t="shared" si="252"/>
        <v>63.428571428571431</v>
      </c>
      <c r="EC79" s="309">
        <f t="shared" si="252"/>
        <v>6288.9657142857159</v>
      </c>
      <c r="ED79" s="309">
        <f t="shared" si="252"/>
        <v>68622.998714285714</v>
      </c>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row>
    <row r="80" spans="1:228" ht="15.6" thickTop="1">
      <c r="A80" s="208">
        <v>3521</v>
      </c>
      <c r="B80" s="326">
        <v>10698</v>
      </c>
      <c r="C80" s="211" t="s">
        <v>715</v>
      </c>
      <c r="D80" s="289">
        <f>IFERROR(_xlfn.XLOOKUP($A80,CFR20242025_BenchMarkDataReport!$B:$B,CFR20242025_BenchMarkDataReport!T:T),0)</f>
        <v>10354041.59</v>
      </c>
      <c r="E80" s="289">
        <f>IFERROR(_xlfn.XLOOKUP($A80,CFR20242025_BenchMarkDataReport!$B:$B,CFR20242025_BenchMarkDataReport!U:U),0)</f>
        <v>719920.31</v>
      </c>
      <c r="F80" s="289">
        <f>IFERROR(_xlfn.XLOOKUP($A80,CFR20242025_BenchMarkDataReport!$B:$B,CFR20242025_BenchMarkDataReport!V:V),0)</f>
        <v>400867</v>
      </c>
      <c r="G80" s="289">
        <f>IFERROR(_xlfn.XLOOKUP($A80,CFR20242025_BenchMarkDataReport!$B:$B,CFR20242025_BenchMarkDataReport!W:W),0)</f>
        <v>0</v>
      </c>
      <c r="H80" s="289">
        <f>IFERROR(_xlfn.XLOOKUP($A80,CFR20242025_BenchMarkDataReport!$B:$B,CFR20242025_BenchMarkDataReport!X:X),0)</f>
        <v>510957</v>
      </c>
      <c r="I80" s="289">
        <f>IFERROR(_xlfn.XLOOKUP($A80,CFR20242025_BenchMarkDataReport!$B:$B,CFR20242025_BenchMarkDataReport!Y:Y),0)</f>
        <v>3000</v>
      </c>
      <c r="J80" s="289">
        <f>IFERROR(_xlfn.XLOOKUP($A80,CFR20242025_BenchMarkDataReport!$B:$B,CFR20242025_BenchMarkDataReport!Z:Z),0)</f>
        <v>260188.47</v>
      </c>
      <c r="K80" s="289">
        <f>IFERROR(_xlfn.XLOOKUP($A80,CFR20242025_BenchMarkDataReport!$B:$B,CFR20242025_BenchMarkDataReport!AA:AA),0)</f>
        <v>77695.98</v>
      </c>
      <c r="L80" s="289">
        <f>IFERROR(_xlfn.XLOOKUP($A80,CFR20242025_BenchMarkDataReport!$B:$B,CFR20242025_BenchMarkDataReport!AB:AB),0)</f>
        <v>75073.73</v>
      </c>
      <c r="M80" s="289">
        <f>IFERROR(_xlfn.XLOOKUP($A80,CFR20242025_BenchMarkDataReport!$B:$B,CFR20242025_BenchMarkDataReport!AC:AC),0)</f>
        <v>204706.51</v>
      </c>
      <c r="N80" s="289">
        <f>IFERROR(_xlfn.XLOOKUP($A80,CFR20242025_BenchMarkDataReport!$B:$B,CFR20242025_BenchMarkDataReport!AD:AD),0)</f>
        <v>0</v>
      </c>
      <c r="O80" s="289">
        <f>IFERROR(_xlfn.XLOOKUP($A80,CFR20242025_BenchMarkDataReport!$B:$B,CFR20242025_BenchMarkDataReport!AE:AE),0)</f>
        <v>0</v>
      </c>
      <c r="P80" s="289">
        <f>IFERROR(_xlfn.XLOOKUP($A80,CFR20242025_BenchMarkDataReport!$B:$B,CFR20242025_BenchMarkDataReport!AF:AF),0)</f>
        <v>251153.32</v>
      </c>
      <c r="Q80" s="289">
        <f>IFERROR(_xlfn.XLOOKUP($A80,CFR20242025_BenchMarkDataReport!$B:$B,CFR20242025_BenchMarkDataReport!AG:AG),0)</f>
        <v>196454.25</v>
      </c>
      <c r="R80" s="289">
        <f>IFERROR(_xlfn.XLOOKUP($A80,CFR20242025_BenchMarkDataReport!$B:$B,CFR20242025_BenchMarkDataReport!AH:AH),0)</f>
        <v>0</v>
      </c>
      <c r="S80" s="289">
        <f>IFERROR(_xlfn.XLOOKUP($A80,CFR20242025_BenchMarkDataReport!$B:$B,CFR20242025_BenchMarkDataReport!AI:AI),0)</f>
        <v>0</v>
      </c>
      <c r="T80" s="289">
        <f>IFERROR(_xlfn.XLOOKUP($A80,CFR20242025_BenchMarkDataReport!$B:$B,CFR20242025_BenchMarkDataReport!AJ:AJ),0)</f>
        <v>0</v>
      </c>
      <c r="U80" s="289">
        <f>INDEX(CFR20242025_BenchMarkDataReport!$B$3:$AM$87,MATCH(A80,CFR20242025_BenchMarkDataReport!$B$3:$B$87),MATCH($U$2,CFR20242025_BenchMarkDataReport!$B$3:$AM$3,0))</f>
        <v>200926.85</v>
      </c>
      <c r="V80" s="289">
        <f>IFERROR(_xlfn.XLOOKUP($A80,CFR20242025_BenchMarkDataReport!$B:$B,CFR20242025_BenchMarkDataReport!AN:AN),0)</f>
        <v>6898852.5700000003</v>
      </c>
      <c r="W80" s="289">
        <f>IFERROR(_xlfn.XLOOKUP($A80,CFR20242025_BenchMarkDataReport!$B:$B,CFR20242025_BenchMarkDataReport!AO:AO),0)</f>
        <v>0</v>
      </c>
      <c r="X80" s="289">
        <f>IFERROR(_xlfn.XLOOKUP($A80,CFR20242025_BenchMarkDataReport!$B:$B,CFR20242025_BenchMarkDataReport!AP:AP),0)</f>
        <v>1379451.17</v>
      </c>
      <c r="Y80" s="289">
        <f>IFERROR(_xlfn.XLOOKUP($A80,CFR20242025_BenchMarkDataReport!$B:$B,CFR20242025_BenchMarkDataReport!AQ:AQ),0)</f>
        <v>262308.96999999997</v>
      </c>
      <c r="Z80" s="289">
        <f>IFERROR(_xlfn.XLOOKUP($A80,CFR20242025_BenchMarkDataReport!$B:$B,CFR20242025_BenchMarkDataReport!AR:AR),0)</f>
        <v>917109.21</v>
      </c>
      <c r="AA80" s="289">
        <f>IFERROR(_xlfn.XLOOKUP($A80,CFR20242025_BenchMarkDataReport!$B:$B,CFR20242025_BenchMarkDataReport!AS:AS),0)</f>
        <v>0</v>
      </c>
      <c r="AB80" s="289">
        <f>IFERROR(_xlfn.XLOOKUP($A80,CFR20242025_BenchMarkDataReport!$B:$B,CFR20242025_BenchMarkDataReport!AT:AT),0)</f>
        <v>128072.95</v>
      </c>
      <c r="AC80" s="289">
        <f>IFERROR(_xlfn.XLOOKUP($A80,CFR20242025_BenchMarkDataReport!$B:$B,CFR20242025_BenchMarkDataReport!AU:AU),0)</f>
        <v>126521.67</v>
      </c>
      <c r="AD80" s="289">
        <f>IFERROR(_xlfn.XLOOKUP($A80,CFR20242025_BenchMarkDataReport!$B:$B,CFR20242025_BenchMarkDataReport!AV:AV),0)</f>
        <v>23928.25</v>
      </c>
      <c r="AE80" s="289">
        <f>IFERROR(_xlfn.XLOOKUP($A80,CFR20242025_BenchMarkDataReport!$B:$B,CFR20242025_BenchMarkDataReport!AW:AW),0)</f>
        <v>0</v>
      </c>
      <c r="AF80" s="289">
        <f>IFERROR(_xlfn.XLOOKUP($A80,CFR20242025_BenchMarkDataReport!$B:$B,CFR20242025_BenchMarkDataReport!AX:AX),0)</f>
        <v>0</v>
      </c>
      <c r="AG80" s="289">
        <f>IFERROR(_xlfn.XLOOKUP($A80,CFR20242025_BenchMarkDataReport!$B:$B,CFR20242025_BenchMarkDataReport!AY:AY),0)</f>
        <v>114615.03999999999</v>
      </c>
      <c r="AH80" s="289">
        <f>IFERROR(_xlfn.XLOOKUP($A80,CFR20242025_BenchMarkDataReport!$B:$B,CFR20242025_BenchMarkDataReport!AZ:AZ),0)</f>
        <v>17206.5</v>
      </c>
      <c r="AI80" s="289">
        <f>IFERROR(_xlfn.XLOOKUP($A80,CFR20242025_BenchMarkDataReport!$B:$B,CFR20242025_BenchMarkDataReport!BA:BA),0)</f>
        <v>198537.83</v>
      </c>
      <c r="AJ80" s="289">
        <f>IFERROR(_xlfn.XLOOKUP($A80,CFR20242025_BenchMarkDataReport!$B:$B,CFR20242025_BenchMarkDataReport!BB:BB),0)</f>
        <v>30752.720000000001</v>
      </c>
      <c r="AK80" s="289">
        <f>IFERROR(_xlfn.XLOOKUP($A80,CFR20242025_BenchMarkDataReport!$B:$B,CFR20242025_BenchMarkDataReport!BC:BC),0)</f>
        <v>235131.7</v>
      </c>
      <c r="AL80" s="289">
        <f>IFERROR(_xlfn.XLOOKUP($A80,CFR20242025_BenchMarkDataReport!$B:$B,CFR20242025_BenchMarkDataReport!BD:BD),0)</f>
        <v>-32813.120000000003</v>
      </c>
      <c r="AM80" s="289">
        <f>IFERROR(_xlfn.XLOOKUP($A80,CFR20242025_BenchMarkDataReport!$B:$B,CFR20242025_BenchMarkDataReport!BE:BE),0)</f>
        <v>41586.44</v>
      </c>
      <c r="AN80" s="289">
        <f>IFERROR(_xlfn.XLOOKUP($A80,CFR20242025_BenchMarkDataReport!$B:$B,CFR20242025_BenchMarkDataReport!BF:BF),0)</f>
        <v>472138.07</v>
      </c>
      <c r="AO80" s="289">
        <f>IFERROR(_xlfn.XLOOKUP($A80,CFR20242025_BenchMarkDataReport!$B:$B,CFR20242025_BenchMarkDataReport!BN:BN),0)</f>
        <v>78028.990000000005</v>
      </c>
      <c r="AP80" s="289">
        <f>IFERROR(_xlfn.XLOOKUP($A80,CFR20242025_BenchMarkDataReport!$B:$B,CFR20242025_BenchMarkDataReport!BO:BO),0)</f>
        <v>97737.27</v>
      </c>
      <c r="AQ80" s="289">
        <f>IFERROR(_xlfn.XLOOKUP($A80,CFR20242025_BenchMarkDataReport!$B:$B,CFR20242025_BenchMarkDataReport!BP:BP),0)</f>
        <v>123957.67</v>
      </c>
      <c r="AR80" s="289">
        <f>IFERROR(_xlfn.XLOOKUP($A80,CFR20242025_BenchMarkDataReport!$B:$B,CFR20242025_BenchMarkDataReport!BQ:BQ),0)</f>
        <v>44593.84</v>
      </c>
      <c r="AS80" s="289">
        <f>IFERROR(_xlfn.XLOOKUP($A80,CFR20242025_BenchMarkDataReport!$B:$B,CFR20242025_BenchMarkDataReport!BR:BR),0)</f>
        <v>21986.19</v>
      </c>
      <c r="AT80" s="289">
        <f>IFERROR(_xlfn.XLOOKUP($A80,CFR20242025_BenchMarkDataReport!$B:$B,CFR20242025_BenchMarkDataReport!BS:BS),0)</f>
        <v>647125.93999999994</v>
      </c>
      <c r="AU80" s="289">
        <f>IFERROR(_xlfn.XLOOKUP($A80,CFR20242025_BenchMarkDataReport!$B:$B,CFR20242025_BenchMarkDataReport!BT:BT),0)</f>
        <v>308709.89</v>
      </c>
      <c r="AV80" s="289">
        <f>IFERROR(_xlfn.XLOOKUP($A80,CFR20242025_BenchMarkDataReport!$B:$B,CFR20242025_BenchMarkDataReport!BU:BU),0)</f>
        <v>861396.02</v>
      </c>
      <c r="AW80" s="289">
        <f>IFERROR(_xlfn.XLOOKUP($A80,CFR20242025_BenchMarkDataReport!$B:$B,CFR20242025_BenchMarkDataReport!BV:BV),0)</f>
        <v>262592.08</v>
      </c>
      <c r="AX80" s="289">
        <f>IFERROR(_xlfn.XLOOKUP($A80,CFR20242025_BenchMarkDataReport!$B:$B,CFR20242025_BenchMarkDataReport!BW:BW),0)</f>
        <v>0</v>
      </c>
      <c r="AY80" s="289">
        <f>IFERROR(_xlfn.XLOOKUP($A80,CFR20242025_BenchMarkDataReport!$B:$B,CFR20242025_BenchMarkDataReport!BX:BX),0)</f>
        <v>0</v>
      </c>
      <c r="AZ80" s="289">
        <f>IFERROR(_xlfn.XLOOKUP($A80,CFR20242025_BenchMarkDataReport!$B:$B,CFR20242025_BenchMarkDataReport!BY:BY),0)</f>
        <v>0</v>
      </c>
      <c r="BA80" s="289">
        <f>IFERROR(_xlfn.XLOOKUP($A80,CFR20242025_BenchMarkDataReport!$B:$B,CFR20242025_BenchMarkDataReport!BZ:BZ),0)</f>
        <v>0</v>
      </c>
      <c r="BB80" s="289">
        <f>IFERROR(_xlfn.XLOOKUP($A80,CFR20242025_BenchMarkDataReport!$B:$B,CFR20242025_BenchMarkDataReport!CA:CA),0)</f>
        <v>0</v>
      </c>
      <c r="BC80" s="290">
        <f>SUM(D80:R80)+U80</f>
        <v>13254985.010000002</v>
      </c>
      <c r="BD80" s="291">
        <f>SUM(V80:AZ80)</f>
        <v>13259527.859999999</v>
      </c>
      <c r="BE80" s="327">
        <f>BC80-BD80</f>
        <v>-4542.8499999977648</v>
      </c>
      <c r="BF80" s="289">
        <f>IFERROR(_xlfn.XLOOKUP(A80,CFR20242025_BenchMarkDataReport!B:B,CFR20242025_BenchMarkDataReport!Q:Q),0)</f>
        <v>1474540.85</v>
      </c>
      <c r="BG80" s="290">
        <f t="shared" si="177"/>
        <v>1469998.0000000023</v>
      </c>
      <c r="BH80" s="292">
        <f>_xlfn.XLOOKUP(A80,'Pupil on roll 24-25'!E:E,'Pupil on roll 24-25'!I:I)</f>
        <v>1492</v>
      </c>
      <c r="BI80" s="291">
        <f t="shared" si="174"/>
        <v>11474828.9</v>
      </c>
      <c r="BJ80" t="s">
        <v>190</v>
      </c>
      <c r="BK80" s="293">
        <f>IFERROR(D80/BC80,0)</f>
        <v>0.78114321383151819</v>
      </c>
      <c r="BL80" s="294">
        <f>D80/BH80</f>
        <v>6939.7061595174264</v>
      </c>
      <c r="BM80" s="295">
        <f>E80/BC80</f>
        <v>5.4313174210070266E-2</v>
      </c>
      <c r="BN80" s="296">
        <f>E80/BH80</f>
        <v>482.52031501340485</v>
      </c>
      <c r="BO80" s="293">
        <f>F80/BC80</f>
        <v>3.0242735068924831E-2</v>
      </c>
      <c r="BP80" s="294">
        <f>F80/BH80</f>
        <v>268.67761394101876</v>
      </c>
      <c r="BQ80" s="295">
        <f>G80/BC80</f>
        <v>0</v>
      </c>
      <c r="BR80" s="296">
        <f>G80/BH80</f>
        <v>0</v>
      </c>
      <c r="BS80" s="293">
        <f>H80/BC80</f>
        <v>3.8548289538955872E-2</v>
      </c>
      <c r="BT80" s="294">
        <f>H80/BH80</f>
        <v>342.46447721179624</v>
      </c>
      <c r="BU80" s="295">
        <f>I80/BC80</f>
        <v>2.2632994286577465E-4</v>
      </c>
      <c r="BV80" s="296">
        <f>I80/BH80</f>
        <v>2.0107238605898123</v>
      </c>
      <c r="BW80" s="293">
        <f>J80/BC80</f>
        <v>1.9629480516477775E-2</v>
      </c>
      <c r="BX80" s="294">
        <f>J80/BH80</f>
        <v>174.38905495978551</v>
      </c>
      <c r="BY80" s="295">
        <f>IFERROR((K80+L80)/BC80,0)</f>
        <v>1.1525453245306988E-2</v>
      </c>
      <c r="BZ80" s="297">
        <f>IFERROR((K80+L80)/BH80,0)</f>
        <v>102.39256702412868</v>
      </c>
      <c r="CA80" s="298">
        <f>P80/BC80</f>
        <v>1.8947838855383207E-2</v>
      </c>
      <c r="CB80" s="299">
        <f>P80/BH80</f>
        <v>168.33332439678284</v>
      </c>
      <c r="CC80" s="295">
        <f>Q80/BC80</f>
        <v>1.4821159726079537E-2</v>
      </c>
      <c r="CD80" s="296">
        <f>Q80/BH80</f>
        <v>131.67174932975871</v>
      </c>
      <c r="CE80" s="300">
        <f>(V80+W80+AU80)/BI80</f>
        <v>0.62811938398488887</v>
      </c>
      <c r="CF80" s="298">
        <f>(V80+W80+AU80)/BC80</f>
        <v>0.54376239992443409</v>
      </c>
      <c r="CG80" s="298">
        <f>(V80+W80+AU80)/BD80</f>
        <v>0.5435761013590118</v>
      </c>
      <c r="CH80" s="299">
        <f>(V80+W80+AU80)/BH80</f>
        <v>4830.8059383378013</v>
      </c>
      <c r="CI80" s="295">
        <f>X80/BI80</f>
        <v>0.12021540207889286</v>
      </c>
      <c r="CJ80" s="301">
        <f>X80/BC80</f>
        <v>0.10407036816407533</v>
      </c>
      <c r="CK80" s="301">
        <f>X80/BD80</f>
        <v>0.10403471259043759</v>
      </c>
      <c r="CL80" s="302">
        <f>X80/BH80</f>
        <v>924.56512734584442</v>
      </c>
      <c r="CM80" s="300">
        <f>Y80/BI80</f>
        <v>2.2859510349648872E-2</v>
      </c>
      <c r="CN80" s="298">
        <f>Y80/BC80</f>
        <v>1.9789458064426731E-2</v>
      </c>
      <c r="CO80" s="298">
        <f>Y80/BD80</f>
        <v>1.9782677993483246E-2</v>
      </c>
      <c r="CP80" s="299">
        <f>Y80/BH80</f>
        <v>175.81030160857907</v>
      </c>
      <c r="CQ80" s="295">
        <f>Z80/BI80</f>
        <v>7.9923562956132607E-2</v>
      </c>
      <c r="CR80" s="301">
        <f>Z80/BC80</f>
        <v>6.9189758366991913E-2</v>
      </c>
      <c r="CS80" s="301">
        <f>Z80/BD80</f>
        <v>6.9166053247389156E-2</v>
      </c>
      <c r="CT80" s="296">
        <f>Z80/BH80</f>
        <v>614.68445710455762</v>
      </c>
      <c r="CU80" s="300">
        <f>(V80+W80+X80+Y80+Z80+AA80+AB80)/BI80</f>
        <v>0.83537584338185655</v>
      </c>
      <c r="CV80" s="298">
        <f>(V80+W80+X80+Y80+Z80+AA80+AB80)/BC80</f>
        <v>0.72318413508337875</v>
      </c>
      <c r="CW80" s="298">
        <f>(V80+W80+X80+Y80+Z80+AA80+AB80)/BD80</f>
        <v>0.72293636479451551</v>
      </c>
      <c r="CX80" s="299">
        <f>(V80+W80+X80+Y80+Z80+AA80+AB80)/BH80</f>
        <v>6424.79548927614</v>
      </c>
      <c r="CY80" s="295">
        <f>AG80/BI80</f>
        <v>9.9883877135632047E-3</v>
      </c>
      <c r="CZ80" s="301">
        <f>AG80/BD80</f>
        <v>8.6439759552645185E-3</v>
      </c>
      <c r="DA80" s="296">
        <f>AG80/BH80</f>
        <v>76.819731903485248</v>
      </c>
      <c r="DB80" s="300">
        <f>AJ80/BD80</f>
        <v>2.3192922345879065E-3</v>
      </c>
      <c r="DC80" s="299">
        <f>AJ80/BH80</f>
        <v>20.611742627345844</v>
      </c>
      <c r="DD80" s="295">
        <f>AK80/BI80</f>
        <v>2.0491085492351003E-2</v>
      </c>
      <c r="DE80" s="301">
        <f>AK80/BD80</f>
        <v>1.7733037139981544E-2</v>
      </c>
      <c r="DF80" s="296">
        <f>AK80/BH80</f>
        <v>157.59497319034853</v>
      </c>
      <c r="DG80" s="300">
        <f>AM80/BI80</f>
        <v>3.6241446702529917E-3</v>
      </c>
      <c r="DH80" s="298">
        <f>AM80/BD80</f>
        <v>3.1363439512393019E-3</v>
      </c>
      <c r="DI80" s="303">
        <f>AM80/BH80</f>
        <v>27.872949061662201</v>
      </c>
      <c r="DJ80" s="295">
        <f>AN80/BI80</f>
        <v>4.1145543355334907E-2</v>
      </c>
      <c r="DK80" s="301">
        <f>AN80/BC80</f>
        <v>3.5619660802619038E-2</v>
      </c>
      <c r="DL80" s="301">
        <f>AN80/BD80</f>
        <v>3.5607457142142918E-2</v>
      </c>
      <c r="DM80" s="296">
        <f>AN80/BH80</f>
        <v>316.44642761394101</v>
      </c>
      <c r="DN80" s="300">
        <f>AQ80/BI80</f>
        <v>1.0802572402626413E-2</v>
      </c>
      <c r="DO80" s="298">
        <f>IFERROR(AQ80/BD80,0)</f>
        <v>9.348573441588591E-3</v>
      </c>
      <c r="DP80" s="299">
        <f>AQ80/BH80</f>
        <v>83.08154825737266</v>
      </c>
      <c r="DQ80" s="295">
        <f>IFERROR(AV80/BI80,0)</f>
        <v>7.50683106046139E-2</v>
      </c>
      <c r="DR80" s="301">
        <f>IFERROR(AV80/BD80,0)</f>
        <v>6.49643055993398E-2</v>
      </c>
      <c r="DS80" s="296">
        <f>AV80/BH80</f>
        <v>577.34317694369975</v>
      </c>
      <c r="DT80" s="300">
        <f>AT80/BD80</f>
        <v>4.8804598989695851E-2</v>
      </c>
      <c r="DU80" s="299">
        <f>AT80/BH80</f>
        <v>433.7305227882037</v>
      </c>
      <c r="DV80" s="295">
        <f t="shared" si="178"/>
        <v>1.4973220170148653E-2</v>
      </c>
      <c r="DW80" s="296">
        <f t="shared" si="179"/>
        <v>133.06825067024127</v>
      </c>
      <c r="DX80" s="295">
        <f>EB80/BI80</f>
        <v>3.6514705678966593E-5</v>
      </c>
      <c r="DY80" s="301">
        <f>EB80/BC80</f>
        <v>3.1610748686919864E-5</v>
      </c>
      <c r="DZ80" s="301">
        <f>EB80/BD80</f>
        <v>3.1599918520779069E-5</v>
      </c>
      <c r="EA80" s="296">
        <f>EB80/BH80</f>
        <v>0.28083109919571048</v>
      </c>
      <c r="EB80" s="304">
        <f>IFERROR(_xlfn.XLOOKUP(A80,'Pupil on roll 24-25'!E:E,'Pupil on roll 24-25'!R:R),0)</f>
        <v>419</v>
      </c>
      <c r="EC80" s="289">
        <f>IFERROR(_xlfn.XLOOKUP(A80,CFR20242025_BenchMarkDataReport!B:B,CFR20242025_BenchMarkDataReport!AK:AK),0)</f>
        <v>51470</v>
      </c>
      <c r="ED80" s="289">
        <f>IFERROR(_xlfn.XLOOKUP(A80,CFR20242025_BenchMarkDataReport!B:B,CFR20242025_BenchMarkDataReport!AL:AL),0)</f>
        <v>149456.85</v>
      </c>
    </row>
    <row r="81" spans="1:228" s="16" customFormat="1" ht="16.2" thickBot="1">
      <c r="A81" s="306">
        <v>4999</v>
      </c>
      <c r="B81" s="332"/>
      <c r="C81" s="100" t="s">
        <v>476</v>
      </c>
      <c r="D81" s="333">
        <f>AVERAGE(D80)</f>
        <v>10354041.59</v>
      </c>
      <c r="E81" s="333">
        <f t="shared" ref="E81:BI81" si="253">AVERAGE(E80)</f>
        <v>719920.31</v>
      </c>
      <c r="F81" s="333">
        <f t="shared" si="253"/>
        <v>400867</v>
      </c>
      <c r="G81" s="333">
        <f t="shared" si="253"/>
        <v>0</v>
      </c>
      <c r="H81" s="333">
        <f t="shared" si="253"/>
        <v>510957</v>
      </c>
      <c r="I81" s="333">
        <f t="shared" si="253"/>
        <v>3000</v>
      </c>
      <c r="J81" s="333">
        <f t="shared" si="253"/>
        <v>260188.47</v>
      </c>
      <c r="K81" s="333">
        <f>AVERAGE(K80)</f>
        <v>77695.98</v>
      </c>
      <c r="L81" s="333">
        <f>AVERAGE(L80)</f>
        <v>75073.73</v>
      </c>
      <c r="M81" s="333">
        <f t="shared" si="253"/>
        <v>204706.51</v>
      </c>
      <c r="N81" s="333">
        <f t="shared" si="253"/>
        <v>0</v>
      </c>
      <c r="O81" s="333">
        <f t="shared" si="253"/>
        <v>0</v>
      </c>
      <c r="P81" s="333">
        <f t="shared" si="253"/>
        <v>251153.32</v>
      </c>
      <c r="Q81" s="333">
        <f t="shared" si="253"/>
        <v>196454.25</v>
      </c>
      <c r="R81" s="333">
        <f t="shared" si="253"/>
        <v>0</v>
      </c>
      <c r="S81" s="333">
        <f t="shared" si="253"/>
        <v>0</v>
      </c>
      <c r="T81" s="333">
        <f t="shared" si="253"/>
        <v>0</v>
      </c>
      <c r="U81" s="333">
        <f t="shared" si="253"/>
        <v>200926.85</v>
      </c>
      <c r="V81" s="333">
        <f t="shared" si="253"/>
        <v>6898852.5700000003</v>
      </c>
      <c r="W81" s="333">
        <f t="shared" si="253"/>
        <v>0</v>
      </c>
      <c r="X81" s="333">
        <f t="shared" si="253"/>
        <v>1379451.17</v>
      </c>
      <c r="Y81" s="333">
        <f t="shared" si="253"/>
        <v>262308.96999999997</v>
      </c>
      <c r="Z81" s="333">
        <f t="shared" si="253"/>
        <v>917109.21</v>
      </c>
      <c r="AA81" s="333">
        <f t="shared" si="253"/>
        <v>0</v>
      </c>
      <c r="AB81" s="333">
        <f t="shared" si="253"/>
        <v>128072.95</v>
      </c>
      <c r="AC81" s="333">
        <f t="shared" si="253"/>
        <v>126521.67</v>
      </c>
      <c r="AD81" s="333">
        <f t="shared" si="253"/>
        <v>23928.25</v>
      </c>
      <c r="AE81" s="333">
        <f t="shared" si="253"/>
        <v>0</v>
      </c>
      <c r="AF81" s="333">
        <f t="shared" si="253"/>
        <v>0</v>
      </c>
      <c r="AG81" s="333">
        <f t="shared" si="253"/>
        <v>114615.03999999999</v>
      </c>
      <c r="AH81" s="333">
        <f t="shared" si="253"/>
        <v>17206.5</v>
      </c>
      <c r="AI81" s="333">
        <f t="shared" si="253"/>
        <v>198537.83</v>
      </c>
      <c r="AJ81" s="333">
        <f t="shared" si="253"/>
        <v>30752.720000000001</v>
      </c>
      <c r="AK81" s="333">
        <f t="shared" si="253"/>
        <v>235131.7</v>
      </c>
      <c r="AL81" s="333">
        <f t="shared" si="253"/>
        <v>-32813.120000000003</v>
      </c>
      <c r="AM81" s="333">
        <f t="shared" si="253"/>
        <v>41586.44</v>
      </c>
      <c r="AN81" s="333">
        <f t="shared" si="253"/>
        <v>472138.07</v>
      </c>
      <c r="AO81" s="333">
        <f t="shared" si="253"/>
        <v>78028.990000000005</v>
      </c>
      <c r="AP81" s="333">
        <f t="shared" si="253"/>
        <v>97737.27</v>
      </c>
      <c r="AQ81" s="333">
        <f t="shared" si="253"/>
        <v>123957.67</v>
      </c>
      <c r="AR81" s="333">
        <f t="shared" si="253"/>
        <v>44593.84</v>
      </c>
      <c r="AS81" s="333">
        <f t="shared" si="253"/>
        <v>21986.19</v>
      </c>
      <c r="AT81" s="333">
        <f t="shared" si="253"/>
        <v>647125.93999999994</v>
      </c>
      <c r="AU81" s="333">
        <f t="shared" si="253"/>
        <v>308709.89</v>
      </c>
      <c r="AV81" s="333">
        <f t="shared" si="253"/>
        <v>861396.02</v>
      </c>
      <c r="AW81" s="333">
        <f t="shared" si="253"/>
        <v>262592.08</v>
      </c>
      <c r="AX81" s="333">
        <f t="shared" si="253"/>
        <v>0</v>
      </c>
      <c r="AY81" s="333">
        <f t="shared" si="253"/>
        <v>0</v>
      </c>
      <c r="AZ81" s="333">
        <f t="shared" si="253"/>
        <v>0</v>
      </c>
      <c r="BA81" s="333">
        <f t="shared" si="253"/>
        <v>0</v>
      </c>
      <c r="BB81" s="333">
        <f t="shared" si="253"/>
        <v>0</v>
      </c>
      <c r="BC81" s="333">
        <f t="shared" si="253"/>
        <v>13254985.010000002</v>
      </c>
      <c r="BD81" s="333">
        <f t="shared" si="253"/>
        <v>13259527.859999999</v>
      </c>
      <c r="BE81" s="333">
        <f t="shared" si="253"/>
        <v>-4542.8499999977648</v>
      </c>
      <c r="BF81" s="333">
        <f t="shared" si="253"/>
        <v>1474540.85</v>
      </c>
      <c r="BG81" s="333">
        <f t="shared" si="253"/>
        <v>1469998.0000000023</v>
      </c>
      <c r="BH81" s="333">
        <f t="shared" si="253"/>
        <v>1492</v>
      </c>
      <c r="BI81" s="333">
        <f t="shared" si="253"/>
        <v>11474828.9</v>
      </c>
      <c r="BJ81" s="334" t="s">
        <v>337</v>
      </c>
      <c r="BK81" s="310">
        <f t="shared" ref="BK81:CP81" si="254">AVERAGE(BK80)</f>
        <v>0.78114321383151819</v>
      </c>
      <c r="BL81" s="311">
        <f t="shared" si="254"/>
        <v>6939.7061595174264</v>
      </c>
      <c r="BM81" s="312">
        <f t="shared" si="254"/>
        <v>5.4313174210070266E-2</v>
      </c>
      <c r="BN81" s="313">
        <f t="shared" si="254"/>
        <v>482.52031501340485</v>
      </c>
      <c r="BO81" s="310">
        <f t="shared" si="254"/>
        <v>3.0242735068924831E-2</v>
      </c>
      <c r="BP81" s="311">
        <f t="shared" si="254"/>
        <v>268.67761394101876</v>
      </c>
      <c r="BQ81" s="312">
        <f t="shared" si="254"/>
        <v>0</v>
      </c>
      <c r="BR81" s="313">
        <f t="shared" si="254"/>
        <v>0</v>
      </c>
      <c r="BS81" s="310">
        <f t="shared" si="254"/>
        <v>3.8548289538955872E-2</v>
      </c>
      <c r="BT81" s="311">
        <f t="shared" si="254"/>
        <v>342.46447721179624</v>
      </c>
      <c r="BU81" s="312">
        <f t="shared" si="254"/>
        <v>2.2632994286577465E-4</v>
      </c>
      <c r="BV81" s="313">
        <f t="shared" si="254"/>
        <v>2.0107238605898123</v>
      </c>
      <c r="BW81" s="310">
        <f t="shared" si="254"/>
        <v>1.9629480516477775E-2</v>
      </c>
      <c r="BX81" s="311">
        <f t="shared" si="254"/>
        <v>174.38905495978551</v>
      </c>
      <c r="BY81" s="312">
        <f t="shared" si="254"/>
        <v>1.1525453245306988E-2</v>
      </c>
      <c r="BZ81" s="314">
        <f t="shared" si="254"/>
        <v>102.39256702412868</v>
      </c>
      <c r="CA81" s="315">
        <f t="shared" si="254"/>
        <v>1.8947838855383207E-2</v>
      </c>
      <c r="CB81" s="335">
        <f t="shared" si="254"/>
        <v>168.33332439678284</v>
      </c>
      <c r="CC81" s="312">
        <f t="shared" si="254"/>
        <v>1.4821159726079537E-2</v>
      </c>
      <c r="CD81" s="336">
        <f t="shared" si="254"/>
        <v>131.67174932975871</v>
      </c>
      <c r="CE81" s="318">
        <f t="shared" si="254"/>
        <v>0.62811938398488887</v>
      </c>
      <c r="CF81" s="315">
        <f t="shared" si="254"/>
        <v>0.54376239992443409</v>
      </c>
      <c r="CG81" s="315">
        <f t="shared" si="254"/>
        <v>0.5435761013590118</v>
      </c>
      <c r="CH81" s="337">
        <f t="shared" si="254"/>
        <v>4830.8059383378013</v>
      </c>
      <c r="CI81" s="319">
        <f t="shared" si="254"/>
        <v>0.12021540207889286</v>
      </c>
      <c r="CJ81" s="319">
        <f t="shared" si="254"/>
        <v>0.10407036816407533</v>
      </c>
      <c r="CK81" s="319">
        <f t="shared" si="254"/>
        <v>0.10403471259043759</v>
      </c>
      <c r="CL81" s="338">
        <f t="shared" si="254"/>
        <v>924.56512734584442</v>
      </c>
      <c r="CM81" s="315">
        <f t="shared" si="254"/>
        <v>2.2859510349648872E-2</v>
      </c>
      <c r="CN81" s="315">
        <f t="shared" si="254"/>
        <v>1.9789458064426731E-2</v>
      </c>
      <c r="CO81" s="315">
        <f t="shared" si="254"/>
        <v>1.9782677993483246E-2</v>
      </c>
      <c r="CP81" s="337">
        <f t="shared" si="254"/>
        <v>175.81030160857907</v>
      </c>
      <c r="CQ81" s="319">
        <f t="shared" ref="CQ81:DX81" si="255">AVERAGE(CQ80)</f>
        <v>7.9923562956132607E-2</v>
      </c>
      <c r="CR81" s="319">
        <f t="shared" si="255"/>
        <v>6.9189758366991913E-2</v>
      </c>
      <c r="CS81" s="319">
        <f t="shared" si="255"/>
        <v>6.9166053247389156E-2</v>
      </c>
      <c r="CT81" s="314">
        <f t="shared" si="255"/>
        <v>614.68445710455762</v>
      </c>
      <c r="CU81" s="315">
        <f t="shared" si="255"/>
        <v>0.83537584338185655</v>
      </c>
      <c r="CV81" s="339">
        <f t="shared" si="255"/>
        <v>0.72318413508337875</v>
      </c>
      <c r="CW81" s="339">
        <f t="shared" si="255"/>
        <v>0.72293636479451551</v>
      </c>
      <c r="CX81" s="335">
        <f t="shared" si="255"/>
        <v>6424.79548927614</v>
      </c>
      <c r="CY81" s="312">
        <f t="shared" si="255"/>
        <v>9.9883877135632047E-3</v>
      </c>
      <c r="CZ81" s="319">
        <f t="shared" si="255"/>
        <v>8.6439759552645185E-3</v>
      </c>
      <c r="DA81" s="313">
        <f t="shared" si="255"/>
        <v>76.819731903485248</v>
      </c>
      <c r="DB81" s="318">
        <f t="shared" si="255"/>
        <v>2.3192922345879065E-3</v>
      </c>
      <c r="DC81" s="340">
        <f t="shared" si="255"/>
        <v>20.611742627345844</v>
      </c>
      <c r="DD81" s="319">
        <f t="shared" si="255"/>
        <v>2.0491085492351003E-2</v>
      </c>
      <c r="DE81" s="319">
        <f t="shared" si="255"/>
        <v>1.7733037139981544E-2</v>
      </c>
      <c r="DF81" s="314">
        <f t="shared" si="255"/>
        <v>157.59497319034853</v>
      </c>
      <c r="DG81" s="315">
        <f t="shared" si="255"/>
        <v>3.6241446702529917E-3</v>
      </c>
      <c r="DH81" s="315">
        <f t="shared" si="255"/>
        <v>3.1363439512393019E-3</v>
      </c>
      <c r="DI81" s="337">
        <f t="shared" si="255"/>
        <v>27.872949061662201</v>
      </c>
      <c r="DJ81" s="319">
        <f t="shared" si="255"/>
        <v>4.1145543355334907E-2</v>
      </c>
      <c r="DK81" s="319">
        <f t="shared" si="255"/>
        <v>3.5619660802619038E-2</v>
      </c>
      <c r="DL81" s="319">
        <f t="shared" si="255"/>
        <v>3.5607457142142918E-2</v>
      </c>
      <c r="DM81" s="313">
        <f t="shared" si="255"/>
        <v>316.44642761394101</v>
      </c>
      <c r="DN81" s="318">
        <f t="shared" si="255"/>
        <v>1.0802572402626413E-2</v>
      </c>
      <c r="DO81" s="315">
        <f t="shared" si="255"/>
        <v>9.348573441588591E-3</v>
      </c>
      <c r="DP81" s="340">
        <f t="shared" si="255"/>
        <v>83.08154825737266</v>
      </c>
      <c r="DQ81" s="312">
        <f t="shared" si="255"/>
        <v>7.50683106046139E-2</v>
      </c>
      <c r="DR81" s="319">
        <f t="shared" si="255"/>
        <v>6.49643055993398E-2</v>
      </c>
      <c r="DS81" s="313">
        <f t="shared" si="255"/>
        <v>577.34317694369975</v>
      </c>
      <c r="DT81" s="318">
        <f t="shared" si="255"/>
        <v>4.8804598989695851E-2</v>
      </c>
      <c r="DU81" s="340">
        <f t="shared" si="255"/>
        <v>433.7305227882037</v>
      </c>
      <c r="DV81" s="312">
        <f t="shared" ref="DV81:DW81" si="256">AVERAGE(DV80)</f>
        <v>1.4973220170148653E-2</v>
      </c>
      <c r="DW81" s="313">
        <f t="shared" si="256"/>
        <v>133.06825067024127</v>
      </c>
      <c r="DX81" s="312">
        <f t="shared" si="255"/>
        <v>3.6514705678966593E-5</v>
      </c>
      <c r="DY81" s="319">
        <f t="shared" ref="DY81:ED81" si="257">AVERAGE(DY80)</f>
        <v>3.1610748686919864E-5</v>
      </c>
      <c r="DZ81" s="319">
        <f t="shared" si="257"/>
        <v>3.1599918520779069E-5</v>
      </c>
      <c r="EA81" s="313">
        <f t="shared" si="257"/>
        <v>0.28083109919571048</v>
      </c>
      <c r="EB81" s="341">
        <f t="shared" si="257"/>
        <v>419</v>
      </c>
      <c r="EC81" s="341">
        <f t="shared" si="257"/>
        <v>51470</v>
      </c>
      <c r="ED81" s="341">
        <f t="shared" si="257"/>
        <v>149456.85</v>
      </c>
    </row>
    <row r="82" spans="1:228" ht="15.6" thickTop="1">
      <c r="A82" s="322">
        <v>5405</v>
      </c>
      <c r="B82" s="323">
        <v>10145</v>
      </c>
      <c r="C82" s="322" t="s">
        <v>115</v>
      </c>
      <c r="D82" s="289">
        <f>IFERROR(_xlfn.XLOOKUP($A82,CFR20242025_BenchMarkDataReport!$B:$B,CFR20242025_BenchMarkDataReport!T:T),0)</f>
        <v>6479811.0899999999</v>
      </c>
      <c r="E82" s="289">
        <f>IFERROR(_xlfn.XLOOKUP($A82,CFR20242025_BenchMarkDataReport!$B:$B,CFR20242025_BenchMarkDataReport!U:U),0)</f>
        <v>1887532.8</v>
      </c>
      <c r="F82" s="289">
        <f>IFERROR(_xlfn.XLOOKUP($A82,CFR20242025_BenchMarkDataReport!$B:$B,CFR20242025_BenchMarkDataReport!V:V),0)</f>
        <v>266751.68</v>
      </c>
      <c r="G82" s="289">
        <f>IFERROR(_xlfn.XLOOKUP($A82,CFR20242025_BenchMarkDataReport!$B:$B,CFR20242025_BenchMarkDataReport!W:W),0)</f>
        <v>0</v>
      </c>
      <c r="H82" s="289">
        <f>IFERROR(_xlfn.XLOOKUP($A82,CFR20242025_BenchMarkDataReport!$B:$B,CFR20242025_BenchMarkDataReport!X:X),0)</f>
        <v>154250</v>
      </c>
      <c r="I82" s="289">
        <f>IFERROR(_xlfn.XLOOKUP($A82,CFR20242025_BenchMarkDataReport!$B:$B,CFR20242025_BenchMarkDataReport!Y:Y),0)</f>
        <v>16518.45</v>
      </c>
      <c r="J82" s="289">
        <f>IFERROR(_xlfn.XLOOKUP($A82,CFR20242025_BenchMarkDataReport!$B:$B,CFR20242025_BenchMarkDataReport!Z:Z),0)</f>
        <v>5320</v>
      </c>
      <c r="K82" s="289">
        <f>IFERROR(_xlfn.XLOOKUP($A82,CFR20242025_BenchMarkDataReport!$B:$B,CFR20242025_BenchMarkDataReport!AA:AA),0)</f>
        <v>13015</v>
      </c>
      <c r="L82" s="289">
        <f>IFERROR(_xlfn.XLOOKUP($A82,CFR20242025_BenchMarkDataReport!$B:$B,CFR20242025_BenchMarkDataReport!AB:AB),0)</f>
        <v>71326.8</v>
      </c>
      <c r="M82" s="289">
        <f>IFERROR(_xlfn.XLOOKUP($A82,CFR20242025_BenchMarkDataReport!$B:$B,CFR20242025_BenchMarkDataReport!AC:AC),0)</f>
        <v>443383.42</v>
      </c>
      <c r="N82" s="289">
        <f>IFERROR(_xlfn.XLOOKUP($A82,CFR20242025_BenchMarkDataReport!$B:$B,CFR20242025_BenchMarkDataReport!AD:AD),0)</f>
        <v>0</v>
      </c>
      <c r="O82" s="289">
        <f>IFERROR(_xlfn.XLOOKUP($A82,CFR20242025_BenchMarkDataReport!$B:$B,CFR20242025_BenchMarkDataReport!AE:AE),0)</f>
        <v>0</v>
      </c>
      <c r="P82" s="289">
        <f>IFERROR(_xlfn.XLOOKUP($A82,CFR20242025_BenchMarkDataReport!$B:$B,CFR20242025_BenchMarkDataReport!AF:AF),0)</f>
        <v>38150.01</v>
      </c>
      <c r="Q82" s="289">
        <f>IFERROR(_xlfn.XLOOKUP($A82,CFR20242025_BenchMarkDataReport!$B:$B,CFR20242025_BenchMarkDataReport!AG:AG),0)</f>
        <v>6937.5</v>
      </c>
      <c r="R82" s="289">
        <f>IFERROR(_xlfn.XLOOKUP($A82,CFR20242025_BenchMarkDataReport!$B:$B,CFR20242025_BenchMarkDataReport!AH:AH),0)</f>
        <v>0</v>
      </c>
      <c r="S82" s="289">
        <f>IFERROR(_xlfn.XLOOKUP($A82,CFR20242025_BenchMarkDataReport!$B:$B,CFR20242025_BenchMarkDataReport!AI:AI),0)</f>
        <v>0</v>
      </c>
      <c r="T82" s="289">
        <f>IFERROR(_xlfn.XLOOKUP($A82,CFR20242025_BenchMarkDataReport!$B:$B,CFR20242025_BenchMarkDataReport!AJ:AJ),0)</f>
        <v>0</v>
      </c>
      <c r="U82" s="289">
        <f>INDEX(CFR20242025_BenchMarkDataReport!$B$3:$AM$87,MATCH(A82,CFR20242025_BenchMarkDataReport!$B$3:$B$87),MATCH($U$2,CFR20242025_BenchMarkDataReport!$B$3:$AM$3,0))</f>
        <v>21439.5</v>
      </c>
      <c r="V82" s="289">
        <f>IFERROR(_xlfn.XLOOKUP($A82,CFR20242025_BenchMarkDataReport!$B:$B,CFR20242025_BenchMarkDataReport!AN:AN),0)</f>
        <v>5689154.5599999996</v>
      </c>
      <c r="W82" s="289">
        <f>IFERROR(_xlfn.XLOOKUP($A82,CFR20242025_BenchMarkDataReport!$B:$B,CFR20242025_BenchMarkDataReport!AO:AO),0)</f>
        <v>0</v>
      </c>
      <c r="X82" s="289">
        <f>IFERROR(_xlfn.XLOOKUP($A82,CFR20242025_BenchMarkDataReport!$B:$B,CFR20242025_BenchMarkDataReport!AP:AP),0)</f>
        <v>814833.12</v>
      </c>
      <c r="Y82" s="289">
        <f>IFERROR(_xlfn.XLOOKUP($A82,CFR20242025_BenchMarkDataReport!$B:$B,CFR20242025_BenchMarkDataReport!AQ:AQ),0)</f>
        <v>137623.82999999999</v>
      </c>
      <c r="Z82" s="289">
        <f>IFERROR(_xlfn.XLOOKUP($A82,CFR20242025_BenchMarkDataReport!$B:$B,CFR20242025_BenchMarkDataReport!AR:AR),0)</f>
        <v>708393.55</v>
      </c>
      <c r="AA82" s="289">
        <f>IFERROR(_xlfn.XLOOKUP($A82,CFR20242025_BenchMarkDataReport!$B:$B,CFR20242025_BenchMarkDataReport!AS:AS),0)</f>
        <v>176225.1</v>
      </c>
      <c r="AB82" s="289">
        <f>IFERROR(_xlfn.XLOOKUP($A82,CFR20242025_BenchMarkDataReport!$B:$B,CFR20242025_BenchMarkDataReport!AT:AT),0)</f>
        <v>0</v>
      </c>
      <c r="AC82" s="289">
        <f>IFERROR(_xlfn.XLOOKUP($A82,CFR20242025_BenchMarkDataReport!$B:$B,CFR20242025_BenchMarkDataReport!AU:AU),0)</f>
        <v>70951.25</v>
      </c>
      <c r="AD82" s="289">
        <f>IFERROR(_xlfn.XLOOKUP($A82,CFR20242025_BenchMarkDataReport!$B:$B,CFR20242025_BenchMarkDataReport!AV:AV),0)</f>
        <v>6140.67</v>
      </c>
      <c r="AE82" s="289">
        <f>IFERROR(_xlfn.XLOOKUP($A82,CFR20242025_BenchMarkDataReport!$B:$B,CFR20242025_BenchMarkDataReport!AW:AW),0)</f>
        <v>1283.04</v>
      </c>
      <c r="AF82" s="289">
        <f>IFERROR(_xlfn.XLOOKUP($A82,CFR20242025_BenchMarkDataReport!$B:$B,CFR20242025_BenchMarkDataReport!AX:AX),0)</f>
        <v>0</v>
      </c>
      <c r="AG82" s="289">
        <f>IFERROR(_xlfn.XLOOKUP($A82,CFR20242025_BenchMarkDataReport!$B:$B,CFR20242025_BenchMarkDataReport!AY:AY),0)</f>
        <v>91684.32</v>
      </c>
      <c r="AH82" s="289">
        <f>IFERROR(_xlfn.XLOOKUP($A82,CFR20242025_BenchMarkDataReport!$B:$B,CFR20242025_BenchMarkDataReport!AZ:AZ),0)</f>
        <v>42151.3</v>
      </c>
      <c r="AI82" s="289">
        <f>IFERROR(_xlfn.XLOOKUP($A82,CFR20242025_BenchMarkDataReport!$B:$B,CFR20242025_BenchMarkDataReport!BA:BA),0)</f>
        <v>155007.60999999999</v>
      </c>
      <c r="AJ82" s="289">
        <f>IFERROR(_xlfn.XLOOKUP($A82,CFR20242025_BenchMarkDataReport!$B:$B,CFR20242025_BenchMarkDataReport!BB:BB),0)</f>
        <v>10417.41</v>
      </c>
      <c r="AK82" s="289">
        <f>IFERROR(_xlfn.XLOOKUP($A82,CFR20242025_BenchMarkDataReport!$B:$B,CFR20242025_BenchMarkDataReport!BC:BC),0)</f>
        <v>218850.26</v>
      </c>
      <c r="AL82" s="289">
        <f>IFERROR(_xlfn.XLOOKUP($A82,CFR20242025_BenchMarkDataReport!$B:$B,CFR20242025_BenchMarkDataReport!BD:BD),0)</f>
        <v>31177.71</v>
      </c>
      <c r="AM82" s="289">
        <f>IFERROR(_xlfn.XLOOKUP($A82,CFR20242025_BenchMarkDataReport!$B:$B,CFR20242025_BenchMarkDataReport!BE:BE),0)</f>
        <v>49470.57</v>
      </c>
      <c r="AN82" s="289">
        <f>IFERROR(_xlfn.XLOOKUP($A82,CFR20242025_BenchMarkDataReport!$B:$B,CFR20242025_BenchMarkDataReport!BF:BF),0)</f>
        <v>178777.49</v>
      </c>
      <c r="AO82" s="289">
        <f>IFERROR(_xlfn.XLOOKUP($A82,CFR20242025_BenchMarkDataReport!$B:$B,CFR20242025_BenchMarkDataReport!BN:BN),0)</f>
        <v>119391.75</v>
      </c>
      <c r="AP82" s="289">
        <f>IFERROR(_xlfn.XLOOKUP($A82,CFR20242025_BenchMarkDataReport!$B:$B,CFR20242025_BenchMarkDataReport!BO:BO),0)</f>
        <v>150960.12</v>
      </c>
      <c r="AQ82" s="289">
        <f>IFERROR(_xlfn.XLOOKUP($A82,CFR20242025_BenchMarkDataReport!$B:$B,CFR20242025_BenchMarkDataReport!BP:BP),0)</f>
        <v>22627.53</v>
      </c>
      <c r="AR82" s="289">
        <f>IFERROR(_xlfn.XLOOKUP($A82,CFR20242025_BenchMarkDataReport!$B:$B,CFR20242025_BenchMarkDataReport!BQ:BQ),0)</f>
        <v>46102.69</v>
      </c>
      <c r="AS82" s="289">
        <f>IFERROR(_xlfn.XLOOKUP($A82,CFR20242025_BenchMarkDataReport!$B:$B,CFR20242025_BenchMarkDataReport!BR:BR),0)</f>
        <v>0</v>
      </c>
      <c r="AT82" s="289">
        <f>IFERROR(_xlfn.XLOOKUP($A82,CFR20242025_BenchMarkDataReport!$B:$B,CFR20242025_BenchMarkDataReport!BS:BS),0)</f>
        <v>287117.90000000002</v>
      </c>
      <c r="AU82" s="289">
        <f>IFERROR(_xlfn.XLOOKUP($A82,CFR20242025_BenchMarkDataReport!$B:$B,CFR20242025_BenchMarkDataReport!BT:BT),0)</f>
        <v>81123.87</v>
      </c>
      <c r="AV82" s="289">
        <f>IFERROR(_xlfn.XLOOKUP($A82,CFR20242025_BenchMarkDataReport!$B:$B,CFR20242025_BenchMarkDataReport!BU:BU),0)</f>
        <v>202004.58</v>
      </c>
      <c r="AW82" s="289">
        <f>IFERROR(_xlfn.XLOOKUP($A82,CFR20242025_BenchMarkDataReport!$B:$B,CFR20242025_BenchMarkDataReport!BV:BV),0)</f>
        <v>53084.32</v>
      </c>
      <c r="AX82" s="289">
        <f>IFERROR(_xlfn.XLOOKUP($A82,CFR20242025_BenchMarkDataReport!$B:$B,CFR20242025_BenchMarkDataReport!BW:BW),0)</f>
        <v>0</v>
      </c>
      <c r="AY82" s="289">
        <f>IFERROR(_xlfn.XLOOKUP($A82,CFR20242025_BenchMarkDataReport!$B:$B,CFR20242025_BenchMarkDataReport!BX:BX),0)</f>
        <v>0</v>
      </c>
      <c r="AZ82" s="289">
        <f>IFERROR(_xlfn.XLOOKUP($A82,CFR20242025_BenchMarkDataReport!$B:$B,CFR20242025_BenchMarkDataReport!BY:BY),0)</f>
        <v>11450</v>
      </c>
      <c r="BA82" s="289">
        <f>IFERROR(_xlfn.XLOOKUP($A82,CFR20242025_BenchMarkDataReport!$B:$B,CFR20242025_BenchMarkDataReport!BZ:BZ),0)</f>
        <v>0</v>
      </c>
      <c r="BB82" s="289">
        <f>IFERROR(_xlfn.XLOOKUP($A82,CFR20242025_BenchMarkDataReport!$B:$B,CFR20242025_BenchMarkDataReport!CA:CA),0)</f>
        <v>0</v>
      </c>
      <c r="BC82" s="290">
        <f t="shared" ref="BC82:BC87" si="258">SUM(D82:R82)+U82</f>
        <v>9404436.25</v>
      </c>
      <c r="BD82" s="291">
        <f t="shared" ref="BD82:BD87" si="259">SUM(V82:AZ82)</f>
        <v>9356004.549999997</v>
      </c>
      <c r="BE82" s="325">
        <f t="shared" ref="BE82:BE87" si="260">BC82-BD82</f>
        <v>48431.70000000298</v>
      </c>
      <c r="BF82" s="289">
        <f>IFERROR(_xlfn.XLOOKUP(A82,CFR20242025_BenchMarkDataReport!B:B,CFR20242025_BenchMarkDataReport!Q:Q),0)</f>
        <v>1029889.3</v>
      </c>
      <c r="BG82" s="290">
        <f t="shared" si="177"/>
        <v>1078321.000000003</v>
      </c>
      <c r="BH82" s="292">
        <f>_xlfn.XLOOKUP(A82,'Pupil on roll 24-25'!E:E,'Pupil on roll 24-25'!I:I)</f>
        <v>891</v>
      </c>
      <c r="BI82" s="291">
        <f t="shared" si="174"/>
        <v>8634095.5700000003</v>
      </c>
      <c r="BJ82" t="s">
        <v>192</v>
      </c>
      <c r="BK82" s="293">
        <f t="shared" ref="BK82:BK87" si="261">IFERROR(D82/BC82,0)</f>
        <v>0.68901642987903711</v>
      </c>
      <c r="BL82" s="294">
        <f t="shared" ref="BL82:BL87" si="262">D82/BH82</f>
        <v>7272.5152525252524</v>
      </c>
      <c r="BM82" s="295">
        <f t="shared" ref="BM82:BM87" si="263">E82/BC82</f>
        <v>0.20070663991156301</v>
      </c>
      <c r="BN82" s="296">
        <f t="shared" ref="BN82:BN87" si="264">E82/BH82</f>
        <v>2118.4430976430976</v>
      </c>
      <c r="BO82" s="293">
        <f t="shared" ref="BO82:BO87" si="265">F82/BC82</f>
        <v>2.8364451936180649E-2</v>
      </c>
      <c r="BP82" s="294">
        <f t="shared" ref="BP82:BP87" si="266">F82/BH82</f>
        <v>299.38460157126821</v>
      </c>
      <c r="BQ82" s="295">
        <f t="shared" ref="BQ82:BQ87" si="267">G82/BC82</f>
        <v>0</v>
      </c>
      <c r="BR82" s="296">
        <f t="shared" ref="BR82:BR87" si="268">G82/BH82</f>
        <v>0</v>
      </c>
      <c r="BS82" s="293">
        <f t="shared" ref="BS82:BS87" si="269">H82/BC82</f>
        <v>1.6401833762231095E-2</v>
      </c>
      <c r="BT82" s="294">
        <f t="shared" ref="BT82:BT87" si="270">H82/BH82</f>
        <v>173.12008978675647</v>
      </c>
      <c r="BU82" s="295">
        <f t="shared" ref="BU82:BU87" si="271">I82/BC82</f>
        <v>1.7564529718620827E-3</v>
      </c>
      <c r="BV82" s="296">
        <f t="shared" ref="BV82:BV87" si="272">I82/BH82</f>
        <v>18.539225589225591</v>
      </c>
      <c r="BW82" s="293">
        <f t="shared" ref="BW82:BW87" si="273">J82/BC82</f>
        <v>5.6569047400369164E-4</v>
      </c>
      <c r="BX82" s="294">
        <f t="shared" ref="BX82:BX87" si="274">J82/BH82</f>
        <v>5.9708193041526378</v>
      </c>
      <c r="BY82" s="295">
        <f t="shared" ref="BY82:BY87" si="275">IFERROR((K82+L82)/BC82,0)</f>
        <v>8.968299402316646E-3</v>
      </c>
      <c r="BZ82" s="297">
        <f t="shared" ref="BZ82:BZ87" si="276">IFERROR((K82+L82)/BH82,0)</f>
        <v>94.659708193041524</v>
      </c>
      <c r="CA82" s="298">
        <f t="shared" ref="CA82:CA87" si="277">P82/BC82</f>
        <v>4.0565972255912734E-3</v>
      </c>
      <c r="CB82" s="299">
        <f t="shared" ref="CB82:CB87" si="278">P82/BH82</f>
        <v>42.817070707070712</v>
      </c>
      <c r="CC82" s="295">
        <f t="shared" ref="CC82:CC87" si="279">Q82/BC82</f>
        <v>7.376837713159042E-4</v>
      </c>
      <c r="CD82" s="296">
        <f t="shared" ref="CD82:CD87" si="280">Q82/BH82</f>
        <v>7.7861952861952863</v>
      </c>
      <c r="CE82" s="300">
        <f t="shared" ref="CE82:CE87" si="281">(V82+W82+AU82)/BI82</f>
        <v>0.66831301358875272</v>
      </c>
      <c r="CF82" s="298">
        <f t="shared" ref="CF82:CF87" si="282">(V82+W82+AU82)/BC82</f>
        <v>0.61356983838345436</v>
      </c>
      <c r="CG82" s="298">
        <f t="shared" ref="CG82:CG87" si="283">(V82+W82+AU82)/BD82</f>
        <v>0.61674600510962785</v>
      </c>
      <c r="CH82" s="299">
        <f t="shared" ref="CH82:CH87" si="284">(V82+W82+AU82)/BH82</f>
        <v>6476.1823007856337</v>
      </c>
      <c r="CI82" s="295">
        <f t="shared" ref="CI82:CI87" si="285">X82/BI82</f>
        <v>9.4373882405380874E-2</v>
      </c>
      <c r="CJ82" s="301">
        <f t="shared" ref="CJ82:CJ87" si="286">X82/BC82</f>
        <v>8.6643483813290775E-2</v>
      </c>
      <c r="CK82" s="301">
        <f t="shared" ref="CK82:CK87" si="287">X82/BD82</f>
        <v>8.709199697856071E-2</v>
      </c>
      <c r="CL82" s="302">
        <f t="shared" ref="CL82:CM87" si="288">X82/BH82</f>
        <v>914.51528619528619</v>
      </c>
      <c r="CM82" s="300">
        <f t="shared" si="288"/>
        <v>1.5939576865258161E-2</v>
      </c>
      <c r="CN82" s="298">
        <f t="shared" ref="CN82:CN87" si="289">Y82/BC82</f>
        <v>1.4633926621598396E-2</v>
      </c>
      <c r="CO82" s="298">
        <f t="shared" ref="CO82:CO87" si="290">Y82/BD82</f>
        <v>1.4709679678383656E-2</v>
      </c>
      <c r="CP82" s="299">
        <f t="shared" ref="CP82:CQ87" si="291">Y82/BH82</f>
        <v>154.45996632996631</v>
      </c>
      <c r="CQ82" s="295">
        <f t="shared" si="291"/>
        <v>8.2046063106063119E-2</v>
      </c>
      <c r="CR82" s="301">
        <f t="shared" ref="CR82:CR87" si="292">Z82/BC82</f>
        <v>7.5325466744484551E-2</v>
      </c>
      <c r="CS82" s="301">
        <f t="shared" ref="CS82:CS87" si="293">Z82/BD82</f>
        <v>7.5715391780137628E-2</v>
      </c>
      <c r="CT82" s="296">
        <f t="shared" ref="CT82:CT87" si="294">Z82/BH82</f>
        <v>795.0544893378227</v>
      </c>
      <c r="CU82" s="300">
        <f t="shared" ref="CU82:CU87" si="295">(V82+W82+X82+Y82+Z82+AA82+AB82)/BI82</f>
        <v>0.87168714997209595</v>
      </c>
      <c r="CV82" s="298">
        <f t="shared" ref="CV82:CV87" si="296">(V82+W82+X82+Y82+Z82+AA82+AB82)/BC82</f>
        <v>0.8002850952389623</v>
      </c>
      <c r="CW82" s="298">
        <f t="shared" ref="CW82:CW87" si="297">(V82+W82+X82+Y82+Z82+AA82+AB82)/BD82</f>
        <v>0.80442780032636918</v>
      </c>
      <c r="CX82" s="299">
        <f t="shared" ref="CX82:CX87" si="298">(V82+W82+X82+Y82+Z82+AA82+AB82)/BH82</f>
        <v>8446.9474298540954</v>
      </c>
      <c r="CY82" s="295">
        <f t="shared" ref="CY82:CY87" si="299">AG82/BI82</f>
        <v>1.0618867865971514E-2</v>
      </c>
      <c r="CZ82" s="301">
        <f t="shared" ref="CZ82:CZ87" si="300">AG82/BD82</f>
        <v>9.7995163971997031E-3</v>
      </c>
      <c r="DA82" s="296">
        <f t="shared" ref="DA82:DA87" si="301">AG82/BH82</f>
        <v>102.90047138047139</v>
      </c>
      <c r="DB82" s="300">
        <f t="shared" ref="DB82:DB87" si="302">AJ82/BD82</f>
        <v>1.1134464444013125E-3</v>
      </c>
      <c r="DC82" s="299">
        <f t="shared" ref="DC82:DD87" si="303">AJ82/BH82</f>
        <v>11.691818181818181</v>
      </c>
      <c r="DD82" s="295">
        <f t="shared" si="303"/>
        <v>2.5347213060788486E-2</v>
      </c>
      <c r="DE82" s="301">
        <f t="shared" ref="DE82:DE87" si="304">AK82/BD82</f>
        <v>2.3391422997971936E-2</v>
      </c>
      <c r="DF82" s="296">
        <f t="shared" ref="DF82:DF87" si="305">AK82/BH82</f>
        <v>245.62318742985411</v>
      </c>
      <c r="DG82" s="300">
        <f t="shared" ref="DG82:DG87" si="306">AM82/BI82</f>
        <v>5.7296759804107656E-3</v>
      </c>
      <c r="DH82" s="298">
        <f t="shared" ref="DH82:DH87" si="307">AM82/BD82</f>
        <v>5.2875743845165208E-3</v>
      </c>
      <c r="DI82" s="303">
        <f t="shared" ref="DI82:DJ87" si="308">AM82/BH82</f>
        <v>55.522525252525256</v>
      </c>
      <c r="DJ82" s="295">
        <f t="shared" si="308"/>
        <v>2.0705989243526519E-2</v>
      </c>
      <c r="DK82" s="301">
        <f t="shared" ref="DK82:DK87" si="309">AN82/BC82</f>
        <v>1.9009910349490646E-2</v>
      </c>
      <c r="DL82" s="301">
        <f t="shared" ref="DL82:DL87" si="310">AN82/BD82</f>
        <v>1.9108315846212372E-2</v>
      </c>
      <c r="DM82" s="296">
        <f t="shared" ref="DM82:DM87" si="311">AN82/BH82</f>
        <v>200.64813692480359</v>
      </c>
      <c r="DN82" s="300">
        <f t="shared" ref="DN82:DN87" si="312">AQ82/BI82</f>
        <v>2.6207180377550532E-3</v>
      </c>
      <c r="DO82" s="298">
        <f t="shared" ref="DO82:DO87" si="313">IFERROR(AQ82/BD82,0)</f>
        <v>2.4185035267004018E-3</v>
      </c>
      <c r="DP82" s="299">
        <f t="shared" ref="DP82:DP87" si="314">AQ82/BH82</f>
        <v>25.395656565656566</v>
      </c>
      <c r="DQ82" s="295">
        <f t="shared" ref="DQ82:DQ87" si="315">IFERROR(AV82/BI82,0)</f>
        <v>2.3396148254587825E-2</v>
      </c>
      <c r="DR82" s="301">
        <f t="shared" ref="DR82:DR87" si="316">IFERROR(AV82/BD82,0)</f>
        <v>2.1590902283176002E-2</v>
      </c>
      <c r="DS82" s="296">
        <f t="shared" ref="DS82:DS87" si="317">AV82/BH82</f>
        <v>226.71670033670031</v>
      </c>
      <c r="DT82" s="300">
        <f t="shared" ref="DT82:DT87" si="318">AT82/BD82</f>
        <v>3.0688088966352643E-2</v>
      </c>
      <c r="DU82" s="299">
        <f t="shared" ref="DU82:DU87" si="319">AT82/BH82</f>
        <v>322.24231200897873</v>
      </c>
      <c r="DV82" s="295">
        <f t="shared" si="178"/>
        <v>1.6567714260036358E-2</v>
      </c>
      <c r="DW82" s="296">
        <f t="shared" si="179"/>
        <v>173.9703815937149</v>
      </c>
      <c r="DX82" s="295">
        <f t="shared" ref="DX82:DX87" si="320">EB82/BI82</f>
        <v>1.5751505053122779E-5</v>
      </c>
      <c r="DY82" s="301">
        <f t="shared" ref="DY82:DY87" si="321">EB82/BC82</f>
        <v>1.4461260237688357E-5</v>
      </c>
      <c r="DZ82" s="301">
        <f t="shared" ref="DZ82:DZ87" si="322">EB82/BD82</f>
        <v>1.4536119480617401E-5</v>
      </c>
      <c r="EA82" s="296">
        <f t="shared" ref="EA82:EA87" si="323">EB82/BH82</f>
        <v>0.1526374859708193</v>
      </c>
      <c r="EB82" s="304">
        <f>IFERROR(_xlfn.XLOOKUP(A82,'Pupil on roll 24-25'!E:E,'Pupil on roll 24-25'!R:R),0)</f>
        <v>136</v>
      </c>
      <c r="EC82" s="289">
        <f>IFERROR(_xlfn.XLOOKUP(A82,CFR20242025_BenchMarkDataReport!B:B,CFR20242025_BenchMarkDataReport!AK:AK),0)</f>
        <v>21439.5</v>
      </c>
      <c r="ED82" s="289">
        <f>IFERROR(_xlfn.XLOOKUP(A82,CFR20242025_BenchMarkDataReport!B:B,CFR20242025_BenchMarkDataReport!AL:AL),0)</f>
        <v>0</v>
      </c>
    </row>
    <row r="83" spans="1:228">
      <c r="A83" s="322">
        <v>4003</v>
      </c>
      <c r="B83" s="323">
        <v>10139</v>
      </c>
      <c r="C83" s="322" t="s">
        <v>116</v>
      </c>
      <c r="D83" s="289">
        <f>IFERROR(_xlfn.XLOOKUP($A83,CFR20242025_BenchMarkDataReport!$B:$B,CFR20242025_BenchMarkDataReport!T:T),0)</f>
        <v>6257128.4400000004</v>
      </c>
      <c r="E83" s="289">
        <f>IFERROR(_xlfn.XLOOKUP($A83,CFR20242025_BenchMarkDataReport!$B:$B,CFR20242025_BenchMarkDataReport!U:U),0)</f>
        <v>0</v>
      </c>
      <c r="F83" s="289">
        <f>IFERROR(_xlfn.XLOOKUP($A83,CFR20242025_BenchMarkDataReport!$B:$B,CFR20242025_BenchMarkDataReport!V:V),0)</f>
        <v>465352.64</v>
      </c>
      <c r="G83" s="289">
        <f>IFERROR(_xlfn.XLOOKUP($A83,CFR20242025_BenchMarkDataReport!$B:$B,CFR20242025_BenchMarkDataReport!W:W),0)</f>
        <v>0</v>
      </c>
      <c r="H83" s="289">
        <f>IFERROR(_xlfn.XLOOKUP($A83,CFR20242025_BenchMarkDataReport!$B:$B,CFR20242025_BenchMarkDataReport!X:X),0)</f>
        <v>319762</v>
      </c>
      <c r="I83" s="289">
        <f>IFERROR(_xlfn.XLOOKUP($A83,CFR20242025_BenchMarkDataReport!$B:$B,CFR20242025_BenchMarkDataReport!Y:Y),0)</f>
        <v>17516.52</v>
      </c>
      <c r="J83" s="289">
        <f>IFERROR(_xlfn.XLOOKUP($A83,CFR20242025_BenchMarkDataReport!$B:$B,CFR20242025_BenchMarkDataReport!Z:Z),0)</f>
        <v>10267.98</v>
      </c>
      <c r="K83" s="289">
        <f>IFERROR(_xlfn.XLOOKUP($A83,CFR20242025_BenchMarkDataReport!$B:$B,CFR20242025_BenchMarkDataReport!AA:AA),0)</f>
        <v>5778.99</v>
      </c>
      <c r="L83" s="289">
        <f>IFERROR(_xlfn.XLOOKUP($A83,CFR20242025_BenchMarkDataReport!$B:$B,CFR20242025_BenchMarkDataReport!AB:AB),0)</f>
        <v>0</v>
      </c>
      <c r="M83" s="289">
        <f>IFERROR(_xlfn.XLOOKUP($A83,CFR20242025_BenchMarkDataReport!$B:$B,CFR20242025_BenchMarkDataReport!AC:AC),0)</f>
        <v>128448.77</v>
      </c>
      <c r="N83" s="289">
        <f>IFERROR(_xlfn.XLOOKUP($A83,CFR20242025_BenchMarkDataReport!$B:$B,CFR20242025_BenchMarkDataReport!AD:AD),0)</f>
        <v>0</v>
      </c>
      <c r="O83" s="289">
        <f>IFERROR(_xlfn.XLOOKUP($A83,CFR20242025_BenchMarkDataReport!$B:$B,CFR20242025_BenchMarkDataReport!AE:AE),0)</f>
        <v>5275.83</v>
      </c>
      <c r="P83" s="289">
        <f>IFERROR(_xlfn.XLOOKUP($A83,CFR20242025_BenchMarkDataReport!$B:$B,CFR20242025_BenchMarkDataReport!AF:AF),0)</f>
        <v>93970.91</v>
      </c>
      <c r="Q83" s="289">
        <f>IFERROR(_xlfn.XLOOKUP($A83,CFR20242025_BenchMarkDataReport!$B:$B,CFR20242025_BenchMarkDataReport!AG:AG),0)</f>
        <v>500</v>
      </c>
      <c r="R83" s="289">
        <f>IFERROR(_xlfn.XLOOKUP($A83,CFR20242025_BenchMarkDataReport!$B:$B,CFR20242025_BenchMarkDataReport!AH:AH),0)</f>
        <v>0</v>
      </c>
      <c r="S83" s="289">
        <f>IFERROR(_xlfn.XLOOKUP($A83,CFR20242025_BenchMarkDataReport!$B:$B,CFR20242025_BenchMarkDataReport!AI:AI),0)</f>
        <v>0</v>
      </c>
      <c r="T83" s="289">
        <f>IFERROR(_xlfn.XLOOKUP($A83,CFR20242025_BenchMarkDataReport!$B:$B,CFR20242025_BenchMarkDataReport!AJ:AJ),0)</f>
        <v>0</v>
      </c>
      <c r="U83" s="289">
        <f>INDEX(CFR20242025_BenchMarkDataReport!$B$3:$AM$87,MATCH(A83,CFR20242025_BenchMarkDataReport!$B$3:$B$87),MATCH($U$2,CFR20242025_BenchMarkDataReport!$B$3:$AM$3,0))</f>
        <v>53173.5</v>
      </c>
      <c r="V83" s="289">
        <f>IFERROR(_xlfn.XLOOKUP($A83,CFR20242025_BenchMarkDataReport!$B:$B,CFR20242025_BenchMarkDataReport!AN:AN),0)</f>
        <v>4235064.8499999996</v>
      </c>
      <c r="W83" s="289">
        <f>IFERROR(_xlfn.XLOOKUP($A83,CFR20242025_BenchMarkDataReport!$B:$B,CFR20242025_BenchMarkDataReport!AO:AO),0)</f>
        <v>0</v>
      </c>
      <c r="X83" s="289">
        <f>IFERROR(_xlfn.XLOOKUP($A83,CFR20242025_BenchMarkDataReport!$B:$B,CFR20242025_BenchMarkDataReport!AP:AP),0)</f>
        <v>1088322.18</v>
      </c>
      <c r="Y83" s="289">
        <f>IFERROR(_xlfn.XLOOKUP($A83,CFR20242025_BenchMarkDataReport!$B:$B,CFR20242025_BenchMarkDataReport!AQ:AQ),0)</f>
        <v>91163.839999999997</v>
      </c>
      <c r="Z83" s="289">
        <f>IFERROR(_xlfn.XLOOKUP($A83,CFR20242025_BenchMarkDataReport!$B:$B,CFR20242025_BenchMarkDataReport!AR:AR),0)</f>
        <v>501859.83</v>
      </c>
      <c r="AA83" s="289">
        <f>IFERROR(_xlfn.XLOOKUP($A83,CFR20242025_BenchMarkDataReport!$B:$B,CFR20242025_BenchMarkDataReport!AS:AS),0)</f>
        <v>0</v>
      </c>
      <c r="AB83" s="289">
        <f>IFERROR(_xlfn.XLOOKUP($A83,CFR20242025_BenchMarkDataReport!$B:$B,CFR20242025_BenchMarkDataReport!AT:AT),0)</f>
        <v>51571.64</v>
      </c>
      <c r="AC83" s="289">
        <f>IFERROR(_xlfn.XLOOKUP($A83,CFR20242025_BenchMarkDataReport!$B:$B,CFR20242025_BenchMarkDataReport!AU:AU),0)</f>
        <v>56340.45</v>
      </c>
      <c r="AD83" s="289">
        <f>IFERROR(_xlfn.XLOOKUP($A83,CFR20242025_BenchMarkDataReport!$B:$B,CFR20242025_BenchMarkDataReport!AV:AV),0)</f>
        <v>8334.2999999999993</v>
      </c>
      <c r="AE83" s="289">
        <f>IFERROR(_xlfn.XLOOKUP($A83,CFR20242025_BenchMarkDataReport!$B:$B,CFR20242025_BenchMarkDataReport!AW:AW),0)</f>
        <v>1042.56</v>
      </c>
      <c r="AF83" s="289">
        <f>IFERROR(_xlfn.XLOOKUP($A83,CFR20242025_BenchMarkDataReport!$B:$B,CFR20242025_BenchMarkDataReport!AX:AX),0)</f>
        <v>0</v>
      </c>
      <c r="AG83" s="289">
        <f>IFERROR(_xlfn.XLOOKUP($A83,CFR20242025_BenchMarkDataReport!$B:$B,CFR20242025_BenchMarkDataReport!AY:AY),0)</f>
        <v>58005.55</v>
      </c>
      <c r="AH83" s="289">
        <f>IFERROR(_xlfn.XLOOKUP($A83,CFR20242025_BenchMarkDataReport!$B:$B,CFR20242025_BenchMarkDataReport!AZ:AZ),0)</f>
        <v>2846.43</v>
      </c>
      <c r="AI83" s="289">
        <f>IFERROR(_xlfn.XLOOKUP($A83,CFR20242025_BenchMarkDataReport!$B:$B,CFR20242025_BenchMarkDataReport!BA:BA),0)</f>
        <v>133912.37</v>
      </c>
      <c r="AJ83" s="289">
        <f>IFERROR(_xlfn.XLOOKUP($A83,CFR20242025_BenchMarkDataReport!$B:$B,CFR20242025_BenchMarkDataReport!BB:BB),0)</f>
        <v>0</v>
      </c>
      <c r="AK83" s="289">
        <f>IFERROR(_xlfn.XLOOKUP($A83,CFR20242025_BenchMarkDataReport!$B:$B,CFR20242025_BenchMarkDataReport!BC:BC),0)</f>
        <v>130523.62</v>
      </c>
      <c r="AL83" s="289">
        <f>IFERROR(_xlfn.XLOOKUP($A83,CFR20242025_BenchMarkDataReport!$B:$B,CFR20242025_BenchMarkDataReport!BD:BD),0)</f>
        <v>72777.600000000006</v>
      </c>
      <c r="AM83" s="289">
        <f>IFERROR(_xlfn.XLOOKUP($A83,CFR20242025_BenchMarkDataReport!$B:$B,CFR20242025_BenchMarkDataReport!BE:BE),0)</f>
        <v>44483.5</v>
      </c>
      <c r="AN83" s="289">
        <f>IFERROR(_xlfn.XLOOKUP($A83,CFR20242025_BenchMarkDataReport!$B:$B,CFR20242025_BenchMarkDataReport!BF:BF),0)</f>
        <v>198337.82</v>
      </c>
      <c r="AO83" s="289">
        <f>IFERROR(_xlfn.XLOOKUP($A83,CFR20242025_BenchMarkDataReport!$B:$B,CFR20242025_BenchMarkDataReport!BN:BN),0)</f>
        <v>90571.27</v>
      </c>
      <c r="AP83" s="289">
        <f>IFERROR(_xlfn.XLOOKUP($A83,CFR20242025_BenchMarkDataReport!$B:$B,CFR20242025_BenchMarkDataReport!BO:BO),0)</f>
        <v>77386.91</v>
      </c>
      <c r="AQ83" s="289">
        <f>IFERROR(_xlfn.XLOOKUP($A83,CFR20242025_BenchMarkDataReport!$B:$B,CFR20242025_BenchMarkDataReport!BP:BP),0)</f>
        <v>23605.35</v>
      </c>
      <c r="AR83" s="289">
        <f>IFERROR(_xlfn.XLOOKUP($A83,CFR20242025_BenchMarkDataReport!$B:$B,CFR20242025_BenchMarkDataReport!BQ:BQ),0)</f>
        <v>31452.12</v>
      </c>
      <c r="AS83" s="289">
        <f>IFERROR(_xlfn.XLOOKUP($A83,CFR20242025_BenchMarkDataReport!$B:$B,CFR20242025_BenchMarkDataReport!BR:BR),0)</f>
        <v>1884.64</v>
      </c>
      <c r="AT83" s="289">
        <f>IFERROR(_xlfn.XLOOKUP($A83,CFR20242025_BenchMarkDataReport!$B:$B,CFR20242025_BenchMarkDataReport!BS:BS),0)</f>
        <v>173241.54</v>
      </c>
      <c r="AU83" s="289">
        <f>IFERROR(_xlfn.XLOOKUP($A83,CFR20242025_BenchMarkDataReport!$B:$B,CFR20242025_BenchMarkDataReport!BT:BT),0)</f>
        <v>125320.44</v>
      </c>
      <c r="AV83" s="289">
        <f>IFERROR(_xlfn.XLOOKUP($A83,CFR20242025_BenchMarkDataReport!$B:$B,CFR20242025_BenchMarkDataReport!BU:BU),0)</f>
        <v>127233.31</v>
      </c>
      <c r="AW83" s="289">
        <f>IFERROR(_xlfn.XLOOKUP($A83,CFR20242025_BenchMarkDataReport!$B:$B,CFR20242025_BenchMarkDataReport!BV:BV),0)</f>
        <v>0</v>
      </c>
      <c r="AX83" s="289">
        <f>IFERROR(_xlfn.XLOOKUP($A83,CFR20242025_BenchMarkDataReport!$B:$B,CFR20242025_BenchMarkDataReport!BW:BW),0)</f>
        <v>18484.669999999998</v>
      </c>
      <c r="AY83" s="289">
        <f>IFERROR(_xlfn.XLOOKUP($A83,CFR20242025_BenchMarkDataReport!$B:$B,CFR20242025_BenchMarkDataReport!BX:BX),0)</f>
        <v>0</v>
      </c>
      <c r="AZ83" s="289">
        <f>IFERROR(_xlfn.XLOOKUP($A83,CFR20242025_BenchMarkDataReport!$B:$B,CFR20242025_BenchMarkDataReport!BY:BY),0)</f>
        <v>0</v>
      </c>
      <c r="BA83" s="289">
        <f>IFERROR(_xlfn.XLOOKUP($A83,CFR20242025_BenchMarkDataReport!$B:$B,CFR20242025_BenchMarkDataReport!BZ:BZ),0)</f>
        <v>0</v>
      </c>
      <c r="BB83" s="289">
        <f>IFERROR(_xlfn.XLOOKUP($A83,CFR20242025_BenchMarkDataReport!$B:$B,CFR20242025_BenchMarkDataReport!CA:CA),0)</f>
        <v>0</v>
      </c>
      <c r="BC83" s="290">
        <f t="shared" si="258"/>
        <v>7357175.5800000001</v>
      </c>
      <c r="BD83" s="291">
        <f>SUM(V83:AZ83)</f>
        <v>7343766.7899999972</v>
      </c>
      <c r="BE83" s="325">
        <f>BC83-BD83</f>
        <v>13408.790000002831</v>
      </c>
      <c r="BF83" s="289">
        <f>IFERROR(_xlfn.XLOOKUP(A83,CFR20242025_BenchMarkDataReport!B:B,CFR20242025_BenchMarkDataReport!Q:Q),0)</f>
        <v>390305.05</v>
      </c>
      <c r="BG83" s="290">
        <f t="shared" si="177"/>
        <v>403713.84000000282</v>
      </c>
      <c r="BH83" s="292">
        <f>_xlfn.XLOOKUP(A83,'Pupil on roll 24-25'!E:E,'Pupil on roll 24-25'!I:I)</f>
        <v>724</v>
      </c>
      <c r="BI83" s="291">
        <f t="shared" si="174"/>
        <v>6722481.0800000001</v>
      </c>
      <c r="BJ83" t="s">
        <v>192</v>
      </c>
      <c r="BK83" s="293">
        <f t="shared" si="261"/>
        <v>0.85047969454604211</v>
      </c>
      <c r="BL83" s="294">
        <f t="shared" si="262"/>
        <v>8642.4425966850831</v>
      </c>
      <c r="BM83" s="295">
        <f t="shared" si="263"/>
        <v>0</v>
      </c>
      <c r="BN83" s="296">
        <f t="shared" si="264"/>
        <v>0</v>
      </c>
      <c r="BO83" s="293">
        <f t="shared" si="265"/>
        <v>6.3251533817546876E-2</v>
      </c>
      <c r="BP83" s="294">
        <f t="shared" si="266"/>
        <v>642.75226519337014</v>
      </c>
      <c r="BQ83" s="295">
        <f t="shared" si="267"/>
        <v>0</v>
      </c>
      <c r="BR83" s="296">
        <f t="shared" si="268"/>
        <v>0</v>
      </c>
      <c r="BS83" s="293">
        <f t="shared" si="269"/>
        <v>4.3462602804974784E-2</v>
      </c>
      <c r="BT83" s="294">
        <f t="shared" si="270"/>
        <v>441.66022099447514</v>
      </c>
      <c r="BU83" s="295">
        <f t="shared" si="271"/>
        <v>2.3808756240122245E-3</v>
      </c>
      <c r="BV83" s="296">
        <f t="shared" si="272"/>
        <v>24.194088397790058</v>
      </c>
      <c r="BW83" s="293">
        <f t="shared" si="273"/>
        <v>1.3956415595018327E-3</v>
      </c>
      <c r="BX83" s="294">
        <f t="shared" si="274"/>
        <v>14.182292817679558</v>
      </c>
      <c r="BY83" s="295">
        <f t="shared" si="275"/>
        <v>7.8549029272997179E-4</v>
      </c>
      <c r="BZ83" s="297">
        <f t="shared" si="276"/>
        <v>7.9820303867403313</v>
      </c>
      <c r="CA83" s="298">
        <f t="shared" si="277"/>
        <v>1.2772688238602566E-2</v>
      </c>
      <c r="CB83" s="299">
        <f t="shared" si="278"/>
        <v>129.79407458563537</v>
      </c>
      <c r="CC83" s="295">
        <f t="shared" si="279"/>
        <v>6.7960862774461608E-5</v>
      </c>
      <c r="CD83" s="296">
        <f t="shared" si="280"/>
        <v>0.69060773480662985</v>
      </c>
      <c r="CE83" s="300">
        <f t="shared" si="281"/>
        <v>0.64862737999702935</v>
      </c>
      <c r="CF83" s="298">
        <f t="shared" si="282"/>
        <v>0.592671092674942</v>
      </c>
      <c r="CG83" s="298">
        <f t="shared" si="283"/>
        <v>0.59375323518409295</v>
      </c>
      <c r="CH83" s="299">
        <f t="shared" si="284"/>
        <v>6022.6316160220995</v>
      </c>
      <c r="CI83" s="295">
        <f t="shared" si="285"/>
        <v>0.16189293313712083</v>
      </c>
      <c r="CJ83" s="301">
        <f t="shared" si="286"/>
        <v>0.1479266286587658</v>
      </c>
      <c r="CK83" s="301">
        <f t="shared" si="287"/>
        <v>0.14819672398665595</v>
      </c>
      <c r="CL83" s="302">
        <f t="shared" si="288"/>
        <v>1503.2074309392265</v>
      </c>
      <c r="CM83" s="300">
        <f t="shared" si="288"/>
        <v>1.3561040769786739E-2</v>
      </c>
      <c r="CN83" s="298">
        <f t="shared" si="289"/>
        <v>1.2391146440465947E-2</v>
      </c>
      <c r="CO83" s="298">
        <f t="shared" si="290"/>
        <v>1.2413771107783234E-2</v>
      </c>
      <c r="CP83" s="299">
        <f t="shared" si="291"/>
        <v>125.91690607734806</v>
      </c>
      <c r="CQ83" s="295">
        <f t="shared" si="291"/>
        <v>7.4653959457480545E-2</v>
      </c>
      <c r="CR83" s="301">
        <f t="shared" si="292"/>
        <v>6.8213654077289271E-2</v>
      </c>
      <c r="CS83" s="301">
        <f t="shared" si="293"/>
        <v>6.83382035882978E-2</v>
      </c>
      <c r="CT83" s="296">
        <f t="shared" si="294"/>
        <v>693.17656077348067</v>
      </c>
      <c r="CU83" s="300">
        <f t="shared" si="295"/>
        <v>0.88776483994210054</v>
      </c>
      <c r="CV83" s="298">
        <f t="shared" si="296"/>
        <v>0.81117845769830044</v>
      </c>
      <c r="CW83" s="298">
        <f t="shared" si="297"/>
        <v>0.81265956703943765</v>
      </c>
      <c r="CX83" s="299">
        <f t="shared" si="298"/>
        <v>8243.0695303867396</v>
      </c>
      <c r="CY83" s="295">
        <f t="shared" si="299"/>
        <v>8.628592525544156E-3</v>
      </c>
      <c r="CZ83" s="301">
        <f t="shared" si="300"/>
        <v>7.8986100265310884E-3</v>
      </c>
      <c r="DA83" s="296">
        <f t="shared" si="301"/>
        <v>80.118162983425421</v>
      </c>
      <c r="DB83" s="300">
        <f t="shared" si="302"/>
        <v>0</v>
      </c>
      <c r="DC83" s="299">
        <f t="shared" si="303"/>
        <v>0</v>
      </c>
      <c r="DD83" s="295">
        <f t="shared" si="303"/>
        <v>1.941598919308524E-2</v>
      </c>
      <c r="DE83" s="301">
        <f t="shared" si="304"/>
        <v>1.7773388471122739E-2</v>
      </c>
      <c r="DF83" s="296">
        <f t="shared" si="305"/>
        <v>180.28124309392265</v>
      </c>
      <c r="DG83" s="300">
        <f t="shared" si="306"/>
        <v>6.6171253545573381E-3</v>
      </c>
      <c r="DH83" s="298">
        <f t="shared" si="307"/>
        <v>6.0573138107507928E-3</v>
      </c>
      <c r="DI83" s="303">
        <f t="shared" si="308"/>
        <v>61.441298342541437</v>
      </c>
      <c r="DJ83" s="295">
        <f t="shared" si="308"/>
        <v>2.9503663549172832E-2</v>
      </c>
      <c r="DK83" s="301">
        <f t="shared" si="309"/>
        <v>2.6958418736011736E-2</v>
      </c>
      <c r="DL83" s="301">
        <f t="shared" si="310"/>
        <v>2.7007641401423109E-2</v>
      </c>
      <c r="DM83" s="296">
        <f t="shared" si="311"/>
        <v>273.94726519337019</v>
      </c>
      <c r="DN83" s="300">
        <f t="shared" si="312"/>
        <v>3.5114044530713648E-3</v>
      </c>
      <c r="DO83" s="298">
        <f t="shared" si="313"/>
        <v>3.2143381829803459E-3</v>
      </c>
      <c r="DP83" s="299">
        <f t="shared" si="314"/>
        <v>32.60407458563536</v>
      </c>
      <c r="DQ83" s="295">
        <f t="shared" si="315"/>
        <v>1.892654043735888E-2</v>
      </c>
      <c r="DR83" s="301">
        <f t="shared" si="316"/>
        <v>1.7325347282712397E-2</v>
      </c>
      <c r="DS83" s="296">
        <f t="shared" si="317"/>
        <v>175.73661602209944</v>
      </c>
      <c r="DT83" s="300">
        <f t="shared" si="318"/>
        <v>2.3590283427287331E-2</v>
      </c>
      <c r="DU83" s="299">
        <f t="shared" si="319"/>
        <v>239.28389502762431</v>
      </c>
      <c r="DV83" s="295">
        <f t="shared" si="178"/>
        <v>1.8234834224630934E-2</v>
      </c>
      <c r="DW83" s="296">
        <f t="shared" si="179"/>
        <v>184.96183701657458</v>
      </c>
      <c r="DX83" s="295">
        <f t="shared" si="320"/>
        <v>4.3436343892246401E-5</v>
      </c>
      <c r="DY83" s="301">
        <f t="shared" si="321"/>
        <v>3.9689143860285581E-5</v>
      </c>
      <c r="DZ83" s="301">
        <f t="shared" si="322"/>
        <v>3.9761611220772455E-5</v>
      </c>
      <c r="EA83" s="296">
        <f t="shared" si="323"/>
        <v>0.40331491712707185</v>
      </c>
      <c r="EB83" s="304">
        <f>IFERROR(_xlfn.XLOOKUP(A83,'Pupil on roll 24-25'!E:E,'Pupil on roll 24-25'!R:R),0)</f>
        <v>292</v>
      </c>
      <c r="EC83" s="289">
        <f>IFERROR(_xlfn.XLOOKUP(A83,CFR20242025_BenchMarkDataReport!B:B,CFR20242025_BenchMarkDataReport!AK:AK),0)</f>
        <v>53173.5</v>
      </c>
      <c r="ED83" s="289">
        <f>IFERROR(_xlfn.XLOOKUP(A83,CFR20242025_BenchMarkDataReport!B:B,CFR20242025_BenchMarkDataReport!AL:AL),0)</f>
        <v>0</v>
      </c>
    </row>
    <row r="84" spans="1:228">
      <c r="A84" s="322">
        <v>4004</v>
      </c>
      <c r="B84" s="323">
        <v>11513</v>
      </c>
      <c r="C84" s="15" t="s">
        <v>432</v>
      </c>
      <c r="D84" s="289">
        <f>IFERROR(_xlfn.XLOOKUP($A84,CFR20242025_BenchMarkDataReport!$B:$B,CFR20242025_BenchMarkDataReport!T:T),0)</f>
        <v>2267787.48</v>
      </c>
      <c r="E84" s="289">
        <f>IFERROR(_xlfn.XLOOKUP($A84,CFR20242025_BenchMarkDataReport!$B:$B,CFR20242025_BenchMarkDataReport!U:U),0)</f>
        <v>453039.72</v>
      </c>
      <c r="F84" s="289">
        <f>IFERROR(_xlfn.XLOOKUP($A84,CFR20242025_BenchMarkDataReport!$B:$B,CFR20242025_BenchMarkDataReport!V:V),0)</f>
        <v>105844.96</v>
      </c>
      <c r="G84" s="289">
        <f>IFERROR(_xlfn.XLOOKUP($A84,CFR20242025_BenchMarkDataReport!$B:$B,CFR20242025_BenchMarkDataReport!W:W),0)</f>
        <v>0</v>
      </c>
      <c r="H84" s="289">
        <f>IFERROR(_xlfn.XLOOKUP($A84,CFR20242025_BenchMarkDataReport!$B:$B,CFR20242025_BenchMarkDataReport!X:X),0)</f>
        <v>10500</v>
      </c>
      <c r="I84" s="289">
        <f>IFERROR(_xlfn.XLOOKUP($A84,CFR20242025_BenchMarkDataReport!$B:$B,CFR20242025_BenchMarkDataReport!Y:Y),0)</f>
        <v>62810.98</v>
      </c>
      <c r="J84" s="289">
        <f>IFERROR(_xlfn.XLOOKUP($A84,CFR20242025_BenchMarkDataReport!$B:$B,CFR20242025_BenchMarkDataReport!Z:Z),0)</f>
        <v>0</v>
      </c>
      <c r="K84" s="289">
        <f>IFERROR(_xlfn.XLOOKUP($A84,CFR20242025_BenchMarkDataReport!$B:$B,CFR20242025_BenchMarkDataReport!AA:AA),0)</f>
        <v>0</v>
      </c>
      <c r="L84" s="289">
        <f>IFERROR(_xlfn.XLOOKUP($A84,CFR20242025_BenchMarkDataReport!$B:$B,CFR20242025_BenchMarkDataReport!AB:AB),0)</f>
        <v>0</v>
      </c>
      <c r="M84" s="289">
        <f>IFERROR(_xlfn.XLOOKUP($A84,CFR20242025_BenchMarkDataReport!$B:$B,CFR20242025_BenchMarkDataReport!AC:AC),0)</f>
        <v>0</v>
      </c>
      <c r="N84" s="289">
        <f>IFERROR(_xlfn.XLOOKUP($A84,CFR20242025_BenchMarkDataReport!$B:$B,CFR20242025_BenchMarkDataReport!AD:AD),0)</f>
        <v>0</v>
      </c>
      <c r="O84" s="289">
        <f>IFERROR(_xlfn.XLOOKUP($A84,CFR20242025_BenchMarkDataReport!$B:$B,CFR20242025_BenchMarkDataReport!AE:AE),0)</f>
        <v>0</v>
      </c>
      <c r="P84" s="289">
        <f>IFERROR(_xlfn.XLOOKUP($A84,CFR20242025_BenchMarkDataReport!$B:$B,CFR20242025_BenchMarkDataReport!AF:AF),0)</f>
        <v>0</v>
      </c>
      <c r="Q84" s="289">
        <f>IFERROR(_xlfn.XLOOKUP($A84,CFR20242025_BenchMarkDataReport!$B:$B,CFR20242025_BenchMarkDataReport!AG:AG),0)</f>
        <v>656235.82999999996</v>
      </c>
      <c r="R84" s="289">
        <f>IFERROR(_xlfn.XLOOKUP($A84,CFR20242025_BenchMarkDataReport!$B:$B,CFR20242025_BenchMarkDataReport!AH:AH),0)</f>
        <v>0</v>
      </c>
      <c r="S84" s="289">
        <f>IFERROR(_xlfn.XLOOKUP($A84,CFR20242025_BenchMarkDataReport!$B:$B,CFR20242025_BenchMarkDataReport!AI:AI),0)</f>
        <v>0</v>
      </c>
      <c r="T84" s="289">
        <f>IFERROR(_xlfn.XLOOKUP($A84,CFR20242025_BenchMarkDataReport!$B:$B,CFR20242025_BenchMarkDataReport!AJ:AJ),0)</f>
        <v>0</v>
      </c>
      <c r="U84" s="289">
        <f>INDEX(CFR20242025_BenchMarkDataReport!$B$3:$AM$87,MATCH(A84,CFR20242025_BenchMarkDataReport!$B$3:$B$87),MATCH($U$2,CFR20242025_BenchMarkDataReport!$B$3:$AM$3,0))</f>
        <v>3168.75</v>
      </c>
      <c r="V84" s="289">
        <f>IFERROR(_xlfn.XLOOKUP($A84,CFR20242025_BenchMarkDataReport!$B:$B,CFR20242025_BenchMarkDataReport!AN:AN),0)</f>
        <v>2555920.36</v>
      </c>
      <c r="W84" s="289">
        <f>IFERROR(_xlfn.XLOOKUP($A84,CFR20242025_BenchMarkDataReport!$B:$B,CFR20242025_BenchMarkDataReport!AO:AO),0)</f>
        <v>0</v>
      </c>
      <c r="X84" s="289">
        <f>IFERROR(_xlfn.XLOOKUP($A84,CFR20242025_BenchMarkDataReport!$B:$B,CFR20242025_BenchMarkDataReport!AP:AP),0)</f>
        <v>272125.89</v>
      </c>
      <c r="Y84" s="289">
        <f>IFERROR(_xlfn.XLOOKUP($A84,CFR20242025_BenchMarkDataReport!$B:$B,CFR20242025_BenchMarkDataReport!AQ:AQ),0)</f>
        <v>53203.66</v>
      </c>
      <c r="Z84" s="289">
        <f>IFERROR(_xlfn.XLOOKUP($A84,CFR20242025_BenchMarkDataReport!$B:$B,CFR20242025_BenchMarkDataReport!AR:AR),0)</f>
        <v>174243.16</v>
      </c>
      <c r="AA84" s="289">
        <f>IFERROR(_xlfn.XLOOKUP($A84,CFR20242025_BenchMarkDataReport!$B:$B,CFR20242025_BenchMarkDataReport!AS:AS),0)</f>
        <v>0</v>
      </c>
      <c r="AB84" s="289">
        <f>IFERROR(_xlfn.XLOOKUP($A84,CFR20242025_BenchMarkDataReport!$B:$B,CFR20242025_BenchMarkDataReport!AT:AT),0)</f>
        <v>0</v>
      </c>
      <c r="AC84" s="289">
        <f>IFERROR(_xlfn.XLOOKUP($A84,CFR20242025_BenchMarkDataReport!$B:$B,CFR20242025_BenchMarkDataReport!AU:AU),0)</f>
        <v>5824.51</v>
      </c>
      <c r="AD84" s="289">
        <f>IFERROR(_xlfn.XLOOKUP($A84,CFR20242025_BenchMarkDataReport!$B:$B,CFR20242025_BenchMarkDataReport!AV:AV),0)</f>
        <v>11898.58</v>
      </c>
      <c r="AE84" s="289">
        <f>IFERROR(_xlfn.XLOOKUP($A84,CFR20242025_BenchMarkDataReport!$B:$B,CFR20242025_BenchMarkDataReport!AW:AW),0)</f>
        <v>452.16</v>
      </c>
      <c r="AF84" s="289">
        <f>IFERROR(_xlfn.XLOOKUP($A84,CFR20242025_BenchMarkDataReport!$B:$B,CFR20242025_BenchMarkDataReport!AX:AX),0)</f>
        <v>0</v>
      </c>
      <c r="AG84" s="289">
        <f>IFERROR(_xlfn.XLOOKUP($A84,CFR20242025_BenchMarkDataReport!$B:$B,CFR20242025_BenchMarkDataReport!AY:AY),0)</f>
        <v>54765.7</v>
      </c>
      <c r="AH84" s="289">
        <f>IFERROR(_xlfn.XLOOKUP($A84,CFR20242025_BenchMarkDataReport!$B:$B,CFR20242025_BenchMarkDataReport!AZ:AZ),0)</f>
        <v>0</v>
      </c>
      <c r="AI84" s="289">
        <f>IFERROR(_xlfn.XLOOKUP($A84,CFR20242025_BenchMarkDataReport!$B:$B,CFR20242025_BenchMarkDataReport!BA:BA),0)</f>
        <v>63363.27</v>
      </c>
      <c r="AJ84" s="289">
        <f>IFERROR(_xlfn.XLOOKUP($A84,CFR20242025_BenchMarkDataReport!$B:$B,CFR20242025_BenchMarkDataReport!BB:BB),0)</f>
        <v>284.35000000000002</v>
      </c>
      <c r="AK84" s="289">
        <f>IFERROR(_xlfn.XLOOKUP($A84,CFR20242025_BenchMarkDataReport!$B:$B,CFR20242025_BenchMarkDataReport!BC:BC),0)</f>
        <v>30087.46</v>
      </c>
      <c r="AL84" s="289">
        <f>IFERROR(_xlfn.XLOOKUP($A84,CFR20242025_BenchMarkDataReport!$B:$B,CFR20242025_BenchMarkDataReport!BD:BD),0)</f>
        <v>8601.6</v>
      </c>
      <c r="AM84" s="289">
        <f>IFERROR(_xlfn.XLOOKUP($A84,CFR20242025_BenchMarkDataReport!$B:$B,CFR20242025_BenchMarkDataReport!BE:BE),0)</f>
        <v>103194.89</v>
      </c>
      <c r="AN84" s="289">
        <f>IFERROR(_xlfn.XLOOKUP($A84,CFR20242025_BenchMarkDataReport!$B:$B,CFR20242025_BenchMarkDataReport!BF:BF),0)</f>
        <v>45882.239999999998</v>
      </c>
      <c r="AO84" s="289">
        <f>IFERROR(_xlfn.XLOOKUP($A84,CFR20242025_BenchMarkDataReport!$B:$B,CFR20242025_BenchMarkDataReport!BN:BN),0)</f>
        <v>84340.1</v>
      </c>
      <c r="AP84" s="289">
        <f>IFERROR(_xlfn.XLOOKUP($A84,CFR20242025_BenchMarkDataReport!$B:$B,CFR20242025_BenchMarkDataReport!BO:BO),0)</f>
        <v>49233.45</v>
      </c>
      <c r="AQ84" s="289">
        <f>IFERROR(_xlfn.XLOOKUP($A84,CFR20242025_BenchMarkDataReport!$B:$B,CFR20242025_BenchMarkDataReport!BP:BP),0)</f>
        <v>25548.14</v>
      </c>
      <c r="AR84" s="289">
        <f>IFERROR(_xlfn.XLOOKUP($A84,CFR20242025_BenchMarkDataReport!$B:$B,CFR20242025_BenchMarkDataReport!BQ:BQ),0)</f>
        <v>14543.82</v>
      </c>
      <c r="AS84" s="289">
        <f>IFERROR(_xlfn.XLOOKUP($A84,CFR20242025_BenchMarkDataReport!$B:$B,CFR20242025_BenchMarkDataReport!BR:BR),0)</f>
        <v>0</v>
      </c>
      <c r="AT84" s="289">
        <f>IFERROR(_xlfn.XLOOKUP($A84,CFR20242025_BenchMarkDataReport!$B:$B,CFR20242025_BenchMarkDataReport!BS:BS),0)</f>
        <v>4605.7</v>
      </c>
      <c r="AU84" s="289">
        <f>IFERROR(_xlfn.XLOOKUP($A84,CFR20242025_BenchMarkDataReport!$B:$B,CFR20242025_BenchMarkDataReport!BT:BT),0)</f>
        <v>0</v>
      </c>
      <c r="AV84" s="289">
        <f>IFERROR(_xlfn.XLOOKUP($A84,CFR20242025_BenchMarkDataReport!$B:$B,CFR20242025_BenchMarkDataReport!BU:BU),0)</f>
        <v>25706.3</v>
      </c>
      <c r="AW84" s="289">
        <f>IFERROR(_xlfn.XLOOKUP($A84,CFR20242025_BenchMarkDataReport!$B:$B,CFR20242025_BenchMarkDataReport!BV:BV),0)</f>
        <v>0</v>
      </c>
      <c r="AX84" s="289">
        <f>IFERROR(_xlfn.XLOOKUP($A84,CFR20242025_BenchMarkDataReport!$B:$B,CFR20242025_BenchMarkDataReport!BW:BW),0)</f>
        <v>37109.019999999997</v>
      </c>
      <c r="AY84" s="289">
        <f>IFERROR(_xlfn.XLOOKUP($A84,CFR20242025_BenchMarkDataReport!$B:$B,CFR20242025_BenchMarkDataReport!BX:BX),0)</f>
        <v>0</v>
      </c>
      <c r="AZ84" s="289">
        <f>IFERROR(_xlfn.XLOOKUP($A84,CFR20242025_BenchMarkDataReport!$B:$B,CFR20242025_BenchMarkDataReport!BY:BY),0)</f>
        <v>14260</v>
      </c>
      <c r="BA84" s="289">
        <f>IFERROR(_xlfn.XLOOKUP($A84,CFR20242025_BenchMarkDataReport!$B:$B,CFR20242025_BenchMarkDataReport!BZ:BZ),0)</f>
        <v>0</v>
      </c>
      <c r="BB84" s="289">
        <f>IFERROR(_xlfn.XLOOKUP($A84,CFR20242025_BenchMarkDataReport!$B:$B,CFR20242025_BenchMarkDataReport!CA:CA),0)</f>
        <v>0</v>
      </c>
      <c r="BC84" s="290">
        <f t="shared" si="258"/>
        <v>3559387.72</v>
      </c>
      <c r="BD84" s="291">
        <f t="shared" si="259"/>
        <v>3635194.3600000013</v>
      </c>
      <c r="BE84" s="325">
        <f t="shared" si="260"/>
        <v>-75806.640000001062</v>
      </c>
      <c r="BF84" s="289">
        <f>IFERROR(_xlfn.XLOOKUP(A84,CFR20242025_BenchMarkDataReport!B:B,CFR20242025_BenchMarkDataReport!Q:Q),0)</f>
        <v>34492.639999999999</v>
      </c>
      <c r="BG84" s="290">
        <f t="shared" si="177"/>
        <v>-41314.000000001062</v>
      </c>
      <c r="BH84" s="292">
        <f>_xlfn.XLOOKUP(A84,'Pupil on roll 24-25'!E:E,'Pupil on roll 24-25'!I:I)</f>
        <v>314</v>
      </c>
      <c r="BI84" s="291">
        <f t="shared" si="174"/>
        <v>2826672.16</v>
      </c>
      <c r="BJ84" t="s">
        <v>192</v>
      </c>
      <c r="BK84" s="293">
        <f t="shared" si="261"/>
        <v>0.63712853400528102</v>
      </c>
      <c r="BL84" s="294">
        <f t="shared" si="262"/>
        <v>7222.2531210191082</v>
      </c>
      <c r="BM84" s="295">
        <f t="shared" si="263"/>
        <v>0.12728023908561439</v>
      </c>
      <c r="BN84" s="296">
        <f t="shared" si="264"/>
        <v>1442.8016560509552</v>
      </c>
      <c r="BO84" s="293">
        <f t="shared" si="265"/>
        <v>2.9736844740252125E-2</v>
      </c>
      <c r="BP84" s="294">
        <f t="shared" si="266"/>
        <v>337.08585987261148</v>
      </c>
      <c r="BQ84" s="295">
        <f t="shared" si="267"/>
        <v>0</v>
      </c>
      <c r="BR84" s="296">
        <f t="shared" si="268"/>
        <v>0</v>
      </c>
      <c r="BS84" s="293">
        <f t="shared" si="269"/>
        <v>2.9499455597380101E-3</v>
      </c>
      <c r="BT84" s="294">
        <f t="shared" si="270"/>
        <v>33.439490445859875</v>
      </c>
      <c r="BU84" s="295">
        <f t="shared" si="271"/>
        <v>1.7646568719408853E-2</v>
      </c>
      <c r="BV84" s="296">
        <f t="shared" si="272"/>
        <v>200.03496815286624</v>
      </c>
      <c r="BW84" s="293">
        <f t="shared" si="273"/>
        <v>0</v>
      </c>
      <c r="BX84" s="294">
        <f t="shared" si="274"/>
        <v>0</v>
      </c>
      <c r="BY84" s="295">
        <f t="shared" si="275"/>
        <v>0</v>
      </c>
      <c r="BZ84" s="297">
        <f t="shared" si="276"/>
        <v>0</v>
      </c>
      <c r="CA84" s="298">
        <f t="shared" si="277"/>
        <v>0</v>
      </c>
      <c r="CB84" s="299">
        <f t="shared" si="278"/>
        <v>0</v>
      </c>
      <c r="CC84" s="295">
        <f t="shared" si="279"/>
        <v>0.18436761646185595</v>
      </c>
      <c r="CD84" s="296">
        <f t="shared" si="280"/>
        <v>2089.9230254777067</v>
      </c>
      <c r="CE84" s="300">
        <f t="shared" si="281"/>
        <v>0.90421535124186447</v>
      </c>
      <c r="CF84" s="298">
        <f t="shared" si="282"/>
        <v>0.7180786587643786</v>
      </c>
      <c r="CG84" s="298">
        <f t="shared" si="283"/>
        <v>0.70310418285310028</v>
      </c>
      <c r="CH84" s="299">
        <f t="shared" si="284"/>
        <v>8139.8737579617828</v>
      </c>
      <c r="CI84" s="295">
        <f t="shared" si="285"/>
        <v>9.6270764558702843E-2</v>
      </c>
      <c r="CJ84" s="301">
        <f t="shared" si="286"/>
        <v>7.6453005799548016E-2</v>
      </c>
      <c r="CK84" s="301">
        <f t="shared" si="287"/>
        <v>7.4858690636832939E-2</v>
      </c>
      <c r="CL84" s="302">
        <f t="shared" si="288"/>
        <v>866.64296178343955</v>
      </c>
      <c r="CM84" s="300">
        <f t="shared" si="288"/>
        <v>1.8822012949672947E-2</v>
      </c>
      <c r="CN84" s="298">
        <f t="shared" si="289"/>
        <v>1.4947419102743885E-2</v>
      </c>
      <c r="CO84" s="298">
        <f t="shared" si="290"/>
        <v>1.4635712628031252E-2</v>
      </c>
      <c r="CP84" s="299">
        <f t="shared" si="291"/>
        <v>169.4384076433121</v>
      </c>
      <c r="CQ84" s="295">
        <f t="shared" si="291"/>
        <v>6.1642507562673983E-2</v>
      </c>
      <c r="CR84" s="301">
        <f t="shared" si="292"/>
        <v>4.8953127253020923E-2</v>
      </c>
      <c r="CS84" s="301">
        <f t="shared" si="293"/>
        <v>4.7932281673104253E-2</v>
      </c>
      <c r="CT84" s="296">
        <f t="shared" si="294"/>
        <v>554.91452229299364</v>
      </c>
      <c r="CU84" s="300">
        <f t="shared" si="295"/>
        <v>1.0809506363129144</v>
      </c>
      <c r="CV84" s="298">
        <f t="shared" si="296"/>
        <v>0.85843221091969157</v>
      </c>
      <c r="CW84" s="298">
        <f t="shared" si="297"/>
        <v>0.84053086779106889</v>
      </c>
      <c r="CX84" s="299">
        <f t="shared" si="298"/>
        <v>9730.8696496815301</v>
      </c>
      <c r="CY84" s="295">
        <f t="shared" si="299"/>
        <v>1.9374620366303816E-2</v>
      </c>
      <c r="CZ84" s="301">
        <f t="shared" si="300"/>
        <v>1.5065411798229126E-2</v>
      </c>
      <c r="DA84" s="296">
        <f t="shared" si="301"/>
        <v>174.41305732484076</v>
      </c>
      <c r="DB84" s="300">
        <f t="shared" si="302"/>
        <v>7.8221402170089178E-5</v>
      </c>
      <c r="DC84" s="299">
        <f t="shared" si="303"/>
        <v>0.90557324840764342</v>
      </c>
      <c r="DD84" s="295">
        <f t="shared" si="303"/>
        <v>1.0644127899147668E-2</v>
      </c>
      <c r="DE84" s="301">
        <f t="shared" si="304"/>
        <v>8.2767128853049789E-3</v>
      </c>
      <c r="DF84" s="296">
        <f t="shared" si="305"/>
        <v>95.819936305732483</v>
      </c>
      <c r="DG84" s="300">
        <f t="shared" si="306"/>
        <v>3.650755523060021E-2</v>
      </c>
      <c r="DH84" s="298">
        <f t="shared" si="307"/>
        <v>2.8387722850670347E-2</v>
      </c>
      <c r="DI84" s="303">
        <f t="shared" si="308"/>
        <v>328.64614649681528</v>
      </c>
      <c r="DJ84" s="295">
        <f t="shared" si="308"/>
        <v>1.6231892983302312E-2</v>
      </c>
      <c r="DK84" s="301">
        <f t="shared" si="309"/>
        <v>1.2890486681793687E-2</v>
      </c>
      <c r="DL84" s="301">
        <f t="shared" si="310"/>
        <v>1.2621674512061023E-2</v>
      </c>
      <c r="DM84" s="296">
        <f t="shared" si="311"/>
        <v>146.12178343949043</v>
      </c>
      <c r="DN84" s="300">
        <f t="shared" si="312"/>
        <v>9.0382395105911388E-3</v>
      </c>
      <c r="DO84" s="298">
        <f t="shared" si="313"/>
        <v>7.027998359900622E-3</v>
      </c>
      <c r="DP84" s="299">
        <f t="shared" si="314"/>
        <v>81.36350318471338</v>
      </c>
      <c r="DQ84" s="295">
        <f t="shared" si="315"/>
        <v>9.0941922320415102E-3</v>
      </c>
      <c r="DR84" s="301">
        <f t="shared" si="316"/>
        <v>7.0715063499383266E-3</v>
      </c>
      <c r="DS84" s="296">
        <f t="shared" si="317"/>
        <v>81.867197452229291</v>
      </c>
      <c r="DT84" s="300">
        <f t="shared" si="318"/>
        <v>1.2669748970451193E-3</v>
      </c>
      <c r="DU84" s="299">
        <f t="shared" si="319"/>
        <v>14.667834394904459</v>
      </c>
      <c r="DV84" s="295">
        <f t="shared" si="178"/>
        <v>1.743050404600649E-2</v>
      </c>
      <c r="DW84" s="296">
        <f t="shared" si="179"/>
        <v>201.79385350318469</v>
      </c>
      <c r="DX84" s="295">
        <f t="shared" si="320"/>
        <v>3.5377289738474658E-6</v>
      </c>
      <c r="DY84" s="301">
        <f t="shared" si="321"/>
        <v>2.8094719616552475E-6</v>
      </c>
      <c r="DZ84" s="301">
        <f t="shared" si="322"/>
        <v>2.7508845496778326E-6</v>
      </c>
      <c r="EA84" s="296">
        <f t="shared" si="323"/>
        <v>3.1847133757961783E-2</v>
      </c>
      <c r="EB84" s="304">
        <f>IFERROR(_xlfn.XLOOKUP(A84,'Pupil on roll 24-25'!E:E,'Pupil on roll 24-25'!R:R),0)</f>
        <v>10</v>
      </c>
      <c r="EC84" s="289">
        <f>IFERROR(_xlfn.XLOOKUP(A84,CFR20242025_BenchMarkDataReport!B:B,CFR20242025_BenchMarkDataReport!AK:AK),0)</f>
        <v>3168.75</v>
      </c>
      <c r="ED84" s="289">
        <f>IFERROR(_xlfn.XLOOKUP(A84,CFR20242025_BenchMarkDataReport!B:B,CFR20242025_BenchMarkDataReport!AL:AL),0)</f>
        <v>0</v>
      </c>
    </row>
    <row r="85" spans="1:228">
      <c r="A85" s="322">
        <v>5427</v>
      </c>
      <c r="B85" s="323">
        <v>11174</v>
      </c>
      <c r="C85" s="322" t="s">
        <v>315</v>
      </c>
      <c r="D85" s="289">
        <f>IFERROR(_xlfn.XLOOKUP($A85,CFR20242025_BenchMarkDataReport!$B:$B,CFR20242025_BenchMarkDataReport!T:T),0)</f>
        <v>7814301.3600000003</v>
      </c>
      <c r="E85" s="289">
        <f>IFERROR(_xlfn.XLOOKUP($A85,CFR20242025_BenchMarkDataReport!$B:$B,CFR20242025_BenchMarkDataReport!U:U),0)</f>
        <v>1997203.27</v>
      </c>
      <c r="F85" s="289">
        <f>IFERROR(_xlfn.XLOOKUP($A85,CFR20242025_BenchMarkDataReport!$B:$B,CFR20242025_BenchMarkDataReport!V:V),0)</f>
        <v>1597048.12</v>
      </c>
      <c r="G85" s="289">
        <f>IFERROR(_xlfn.XLOOKUP($A85,CFR20242025_BenchMarkDataReport!$B:$B,CFR20242025_BenchMarkDataReport!W:W),0)</f>
        <v>0</v>
      </c>
      <c r="H85" s="289">
        <f>IFERROR(_xlfn.XLOOKUP($A85,CFR20242025_BenchMarkDataReport!$B:$B,CFR20242025_BenchMarkDataReport!X:X),0)</f>
        <v>63250</v>
      </c>
      <c r="I85" s="289">
        <f>IFERROR(_xlfn.XLOOKUP($A85,CFR20242025_BenchMarkDataReport!$B:$B,CFR20242025_BenchMarkDataReport!Y:Y),0)</f>
        <v>181962.7</v>
      </c>
      <c r="J85" s="289">
        <f>IFERROR(_xlfn.XLOOKUP($A85,CFR20242025_BenchMarkDataReport!$B:$B,CFR20242025_BenchMarkDataReport!Z:Z),0)</f>
        <v>17407.29</v>
      </c>
      <c r="K85" s="289">
        <f>IFERROR(_xlfn.XLOOKUP($A85,CFR20242025_BenchMarkDataReport!$B:$B,CFR20242025_BenchMarkDataReport!AA:AA),0)</f>
        <v>34527.629999999997</v>
      </c>
      <c r="L85" s="289">
        <f>IFERROR(_xlfn.XLOOKUP($A85,CFR20242025_BenchMarkDataReport!$B:$B,CFR20242025_BenchMarkDataReport!AB:AB),0)</f>
        <v>0</v>
      </c>
      <c r="M85" s="289">
        <f>IFERROR(_xlfn.XLOOKUP($A85,CFR20242025_BenchMarkDataReport!$B:$B,CFR20242025_BenchMarkDataReport!AC:AC),0)</f>
        <v>38708.94</v>
      </c>
      <c r="N85" s="289">
        <f>IFERROR(_xlfn.XLOOKUP($A85,CFR20242025_BenchMarkDataReport!$B:$B,CFR20242025_BenchMarkDataReport!AD:AD),0)</f>
        <v>0</v>
      </c>
      <c r="O85" s="289">
        <f>IFERROR(_xlfn.XLOOKUP($A85,CFR20242025_BenchMarkDataReport!$B:$B,CFR20242025_BenchMarkDataReport!AE:AE),0)</f>
        <v>0</v>
      </c>
      <c r="P85" s="289">
        <f>IFERROR(_xlfn.XLOOKUP($A85,CFR20242025_BenchMarkDataReport!$B:$B,CFR20242025_BenchMarkDataReport!AF:AF),0)</f>
        <v>1396318.95</v>
      </c>
      <c r="Q85" s="289">
        <f>IFERROR(_xlfn.XLOOKUP($A85,CFR20242025_BenchMarkDataReport!$B:$B,CFR20242025_BenchMarkDataReport!AG:AG),0)</f>
        <v>1977352</v>
      </c>
      <c r="R85" s="289">
        <f>IFERROR(_xlfn.XLOOKUP($A85,CFR20242025_BenchMarkDataReport!$B:$B,CFR20242025_BenchMarkDataReport!AH:AH),0)</f>
        <v>0</v>
      </c>
      <c r="S85" s="289">
        <f>IFERROR(_xlfn.XLOOKUP($A85,CFR20242025_BenchMarkDataReport!$B:$B,CFR20242025_BenchMarkDataReport!AI:AI),0)</f>
        <v>0</v>
      </c>
      <c r="T85" s="289">
        <f>IFERROR(_xlfn.XLOOKUP($A85,CFR20242025_BenchMarkDataReport!$B:$B,CFR20242025_BenchMarkDataReport!AJ:AJ),0)</f>
        <v>0</v>
      </c>
      <c r="U85" s="289">
        <f>INDEX(CFR20242025_BenchMarkDataReport!$B$3:$AM$87,MATCH(A85,CFR20242025_BenchMarkDataReport!$B$3:$B$87),MATCH($U$2,CFR20242025_BenchMarkDataReport!$B$3:$AM$3,0))</f>
        <v>18228.25</v>
      </c>
      <c r="V85" s="289">
        <f>IFERROR(_xlfn.XLOOKUP($A85,CFR20242025_BenchMarkDataReport!$B:$B,CFR20242025_BenchMarkDataReport!AN:AN),0)</f>
        <v>8222247.4900000002</v>
      </c>
      <c r="W85" s="289">
        <f>IFERROR(_xlfn.XLOOKUP($A85,CFR20242025_BenchMarkDataReport!$B:$B,CFR20242025_BenchMarkDataReport!AO:AO),0)</f>
        <v>17998.900000000001</v>
      </c>
      <c r="X85" s="289">
        <f>IFERROR(_xlfn.XLOOKUP($A85,CFR20242025_BenchMarkDataReport!$B:$B,CFR20242025_BenchMarkDataReport!AP:AP),0)</f>
        <v>2066949.14</v>
      </c>
      <c r="Y85" s="289">
        <f>IFERROR(_xlfn.XLOOKUP($A85,CFR20242025_BenchMarkDataReport!$B:$B,CFR20242025_BenchMarkDataReport!AQ:AQ),0)</f>
        <v>193199.82</v>
      </c>
      <c r="Z85" s="289">
        <f>IFERROR(_xlfn.XLOOKUP($A85,CFR20242025_BenchMarkDataReport!$B:$B,CFR20242025_BenchMarkDataReport!AR:AR),0)</f>
        <v>931301.31</v>
      </c>
      <c r="AA85" s="289">
        <f>IFERROR(_xlfn.XLOOKUP($A85,CFR20242025_BenchMarkDataReport!$B:$B,CFR20242025_BenchMarkDataReport!AS:AS),0)</f>
        <v>0</v>
      </c>
      <c r="AB85" s="289">
        <f>IFERROR(_xlfn.XLOOKUP($A85,CFR20242025_BenchMarkDataReport!$B:$B,CFR20242025_BenchMarkDataReport!AT:AT),0)</f>
        <v>174539.23</v>
      </c>
      <c r="AC85" s="289">
        <f>IFERROR(_xlfn.XLOOKUP($A85,CFR20242025_BenchMarkDataReport!$B:$B,CFR20242025_BenchMarkDataReport!AU:AU),0)</f>
        <v>104438.96</v>
      </c>
      <c r="AD85" s="289">
        <f>IFERROR(_xlfn.XLOOKUP($A85,CFR20242025_BenchMarkDataReport!$B:$B,CFR20242025_BenchMarkDataReport!AV:AV),0)</f>
        <v>29522.76</v>
      </c>
      <c r="AE85" s="289">
        <f>IFERROR(_xlfn.XLOOKUP($A85,CFR20242025_BenchMarkDataReport!$B:$B,CFR20242025_BenchMarkDataReport!AW:AW),0)</f>
        <v>0</v>
      </c>
      <c r="AF85" s="289">
        <f>IFERROR(_xlfn.XLOOKUP($A85,CFR20242025_BenchMarkDataReport!$B:$B,CFR20242025_BenchMarkDataReport!AX:AX),0)</f>
        <v>0</v>
      </c>
      <c r="AG85" s="289">
        <f>IFERROR(_xlfn.XLOOKUP($A85,CFR20242025_BenchMarkDataReport!$B:$B,CFR20242025_BenchMarkDataReport!AY:AY),0)</f>
        <v>228262.04</v>
      </c>
      <c r="AH85" s="289">
        <f>IFERROR(_xlfn.XLOOKUP($A85,CFR20242025_BenchMarkDataReport!$B:$B,CFR20242025_BenchMarkDataReport!AZ:AZ),0)</f>
        <v>27363.4</v>
      </c>
      <c r="AI85" s="289">
        <f>IFERROR(_xlfn.XLOOKUP($A85,CFR20242025_BenchMarkDataReport!$B:$B,CFR20242025_BenchMarkDataReport!BA:BA),0)</f>
        <v>203318.7</v>
      </c>
      <c r="AJ85" s="289">
        <f>IFERROR(_xlfn.XLOOKUP($A85,CFR20242025_BenchMarkDataReport!$B:$B,CFR20242025_BenchMarkDataReport!BB:BB),0)</f>
        <v>16196.53</v>
      </c>
      <c r="AK85" s="289">
        <f>IFERROR(_xlfn.XLOOKUP($A85,CFR20242025_BenchMarkDataReport!$B:$B,CFR20242025_BenchMarkDataReport!BC:BC),0)</f>
        <v>192074.16</v>
      </c>
      <c r="AL85" s="289">
        <f>IFERROR(_xlfn.XLOOKUP($A85,CFR20242025_BenchMarkDataReport!$B:$B,CFR20242025_BenchMarkDataReport!BD:BD),0)</f>
        <v>10712</v>
      </c>
      <c r="AM85" s="289">
        <f>IFERROR(_xlfn.XLOOKUP($A85,CFR20242025_BenchMarkDataReport!$B:$B,CFR20242025_BenchMarkDataReport!BE:BE),0)</f>
        <v>186447.94</v>
      </c>
      <c r="AN85" s="289">
        <f>IFERROR(_xlfn.XLOOKUP($A85,CFR20242025_BenchMarkDataReport!$B:$B,CFR20242025_BenchMarkDataReport!BF:BF),0)</f>
        <v>374048.99</v>
      </c>
      <c r="AO85" s="289">
        <f>IFERROR(_xlfn.XLOOKUP($A85,CFR20242025_BenchMarkDataReport!$B:$B,CFR20242025_BenchMarkDataReport!BN:BN),0)</f>
        <v>167560</v>
      </c>
      <c r="AP85" s="289">
        <f>IFERROR(_xlfn.XLOOKUP($A85,CFR20242025_BenchMarkDataReport!$B:$B,CFR20242025_BenchMarkDataReport!BO:BO),0)</f>
        <v>262758.27</v>
      </c>
      <c r="AQ85" s="289">
        <f>IFERROR(_xlfn.XLOOKUP($A85,CFR20242025_BenchMarkDataReport!$B:$B,CFR20242025_BenchMarkDataReport!BP:BP),0)</f>
        <v>72392.31</v>
      </c>
      <c r="AR85" s="289">
        <f>IFERROR(_xlfn.XLOOKUP($A85,CFR20242025_BenchMarkDataReport!$B:$B,CFR20242025_BenchMarkDataReport!BQ:BQ),0)</f>
        <v>39477.040000000001</v>
      </c>
      <c r="AS85" s="289">
        <f>IFERROR(_xlfn.XLOOKUP($A85,CFR20242025_BenchMarkDataReport!$B:$B,CFR20242025_BenchMarkDataReport!BR:BR),0)</f>
        <v>0</v>
      </c>
      <c r="AT85" s="289">
        <f>IFERROR(_xlfn.XLOOKUP($A85,CFR20242025_BenchMarkDataReport!$B:$B,CFR20242025_BenchMarkDataReport!BS:BS),0)</f>
        <v>35218.46</v>
      </c>
      <c r="AU85" s="289">
        <f>IFERROR(_xlfn.XLOOKUP($A85,CFR20242025_BenchMarkDataReport!$B:$B,CFR20242025_BenchMarkDataReport!BT:BT),0)</f>
        <v>123274.53</v>
      </c>
      <c r="AV85" s="289">
        <f>IFERROR(_xlfn.XLOOKUP($A85,CFR20242025_BenchMarkDataReport!$B:$B,CFR20242025_BenchMarkDataReport!BU:BU),0)</f>
        <v>426831.29</v>
      </c>
      <c r="AW85" s="289">
        <f>IFERROR(_xlfn.XLOOKUP($A85,CFR20242025_BenchMarkDataReport!$B:$B,CFR20242025_BenchMarkDataReport!BV:BV),0)</f>
        <v>1029145.26</v>
      </c>
      <c r="AX85" s="289">
        <f>IFERROR(_xlfn.XLOOKUP($A85,CFR20242025_BenchMarkDataReport!$B:$B,CFR20242025_BenchMarkDataReport!BW:BW),0)</f>
        <v>0</v>
      </c>
      <c r="AY85" s="289">
        <f>IFERROR(_xlfn.XLOOKUP($A85,CFR20242025_BenchMarkDataReport!$B:$B,CFR20242025_BenchMarkDataReport!BX:BX),0)</f>
        <v>0</v>
      </c>
      <c r="AZ85" s="289">
        <f>IFERROR(_xlfn.XLOOKUP($A85,CFR20242025_BenchMarkDataReport!$B:$B,CFR20242025_BenchMarkDataReport!BY:BY),0)</f>
        <v>0</v>
      </c>
      <c r="BA85" s="289">
        <f>IFERROR(_xlfn.XLOOKUP($A85,CFR20242025_BenchMarkDataReport!$B:$B,CFR20242025_BenchMarkDataReport!BZ:BZ),0)</f>
        <v>0</v>
      </c>
      <c r="BB85" s="289">
        <f>IFERROR(_xlfn.XLOOKUP($A85,CFR20242025_BenchMarkDataReport!$B:$B,CFR20242025_BenchMarkDataReport!CA:CA),0)</f>
        <v>0</v>
      </c>
      <c r="BC85" s="290">
        <f t="shared" si="258"/>
        <v>15136308.509999998</v>
      </c>
      <c r="BD85" s="291">
        <f t="shared" si="259"/>
        <v>15135278.529999999</v>
      </c>
      <c r="BE85" s="325">
        <f t="shared" si="260"/>
        <v>1029.9799999985844</v>
      </c>
      <c r="BF85" s="289">
        <f>IFERROR(_xlfn.XLOOKUP(A85,CFR20242025_BenchMarkDataReport!B:B,CFR20242025_BenchMarkDataReport!Q:Q),0)</f>
        <v>61322.02</v>
      </c>
      <c r="BG85" s="290">
        <f t="shared" si="177"/>
        <v>62351.999999998581</v>
      </c>
      <c r="BH85" s="292">
        <f>_xlfn.XLOOKUP(A85,'Pupil on roll 24-25'!E:E,'Pupil on roll 24-25'!I:I)</f>
        <v>987</v>
      </c>
      <c r="BI85" s="291">
        <f t="shared" si="174"/>
        <v>11408552.75</v>
      </c>
      <c r="BJ85" t="s">
        <v>192</v>
      </c>
      <c r="BK85" s="293">
        <f t="shared" si="261"/>
        <v>0.51626203012692173</v>
      </c>
      <c r="BL85" s="294">
        <f t="shared" si="262"/>
        <v>7917.2252887537998</v>
      </c>
      <c r="BM85" s="295">
        <f t="shared" si="263"/>
        <v>0.13194784373485266</v>
      </c>
      <c r="BN85" s="296">
        <f t="shared" si="264"/>
        <v>2023.5088855116514</v>
      </c>
      <c r="BO85" s="293">
        <f t="shared" si="265"/>
        <v>0.10551107087602565</v>
      </c>
      <c r="BP85" s="294">
        <f t="shared" si="266"/>
        <v>1618.0832016210741</v>
      </c>
      <c r="BQ85" s="295">
        <f t="shared" si="267"/>
        <v>0</v>
      </c>
      <c r="BR85" s="296">
        <f t="shared" si="268"/>
        <v>0</v>
      </c>
      <c r="BS85" s="293">
        <f t="shared" si="269"/>
        <v>4.1786938974065621E-3</v>
      </c>
      <c r="BT85" s="294">
        <f t="shared" si="270"/>
        <v>64.083080040526852</v>
      </c>
      <c r="BU85" s="295">
        <f t="shared" si="271"/>
        <v>1.2021603542223258E-2</v>
      </c>
      <c r="BV85" s="296">
        <f t="shared" si="272"/>
        <v>184.35937183383993</v>
      </c>
      <c r="BW85" s="293">
        <f t="shared" si="273"/>
        <v>1.1500353595792297E-3</v>
      </c>
      <c r="BX85" s="294">
        <f t="shared" si="274"/>
        <v>17.636565349544075</v>
      </c>
      <c r="BY85" s="295">
        <f t="shared" si="275"/>
        <v>2.2811129924571022E-3</v>
      </c>
      <c r="BZ85" s="297">
        <f t="shared" si="276"/>
        <v>34.982401215805467</v>
      </c>
      <c r="CA85" s="298">
        <f t="shared" si="277"/>
        <v>9.2249635971512062E-2</v>
      </c>
      <c r="CB85" s="299">
        <f t="shared" si="278"/>
        <v>1414.7101823708206</v>
      </c>
      <c r="CC85" s="295">
        <f t="shared" si="279"/>
        <v>0.13063634364307763</v>
      </c>
      <c r="CD85" s="296">
        <f t="shared" si="280"/>
        <v>2003.3961499493414</v>
      </c>
      <c r="CE85" s="300">
        <f t="shared" si="281"/>
        <v>0.73309218998001313</v>
      </c>
      <c r="CF85" s="298">
        <f t="shared" si="282"/>
        <v>0.55254693801163823</v>
      </c>
      <c r="CG85" s="298">
        <f t="shared" si="283"/>
        <v>0.55258453971775046</v>
      </c>
      <c r="CH85" s="299">
        <f t="shared" si="284"/>
        <v>8473.6787436676805</v>
      </c>
      <c r="CI85" s="295">
        <f t="shared" si="285"/>
        <v>0.18117540281347255</v>
      </c>
      <c r="CJ85" s="301">
        <f t="shared" si="286"/>
        <v>0.136555695771822</v>
      </c>
      <c r="CK85" s="301">
        <f t="shared" si="287"/>
        <v>0.13656498860612643</v>
      </c>
      <c r="CL85" s="302">
        <f t="shared" si="288"/>
        <v>2094.1733941236066</v>
      </c>
      <c r="CM85" s="300">
        <f t="shared" si="288"/>
        <v>1.6934647560796001E-2</v>
      </c>
      <c r="CN85" s="298">
        <f t="shared" si="289"/>
        <v>1.2763998558324842E-2</v>
      </c>
      <c r="CO85" s="298">
        <f t="shared" si="290"/>
        <v>1.2764867168916252E-2</v>
      </c>
      <c r="CP85" s="299">
        <f t="shared" si="291"/>
        <v>195.74449848024318</v>
      </c>
      <c r="CQ85" s="295">
        <f t="shared" si="291"/>
        <v>8.163185378618687E-2</v>
      </c>
      <c r="CR85" s="301">
        <f t="shared" si="292"/>
        <v>6.1527637956422715E-2</v>
      </c>
      <c r="CS85" s="301">
        <f t="shared" si="293"/>
        <v>6.1531825010953403E-2</v>
      </c>
      <c r="CT85" s="296">
        <f t="shared" si="294"/>
        <v>943.56768996960488</v>
      </c>
      <c r="CU85" s="300">
        <f t="shared" si="295"/>
        <v>1.0173276264160678</v>
      </c>
      <c r="CV85" s="298">
        <f t="shared" si="296"/>
        <v>0.76678113969018225</v>
      </c>
      <c r="CW85" s="298">
        <f t="shared" si="297"/>
        <v>0.76683332037761998</v>
      </c>
      <c r="CX85" s="299">
        <f t="shared" si="298"/>
        <v>11759.10424518744</v>
      </c>
      <c r="CY85" s="295">
        <f t="shared" si="299"/>
        <v>2.0007975157059252E-2</v>
      </c>
      <c r="CZ85" s="301">
        <f t="shared" si="300"/>
        <v>1.5081456185134375E-2</v>
      </c>
      <c r="DA85" s="296">
        <f t="shared" si="301"/>
        <v>231.26853090172239</v>
      </c>
      <c r="DB85" s="300">
        <f t="shared" si="302"/>
        <v>1.0701177363797085E-3</v>
      </c>
      <c r="DC85" s="299">
        <f t="shared" si="303"/>
        <v>16.409858156028371</v>
      </c>
      <c r="DD85" s="295">
        <f t="shared" si="303"/>
        <v>1.6835979480394656E-2</v>
      </c>
      <c r="DE85" s="301">
        <f t="shared" si="304"/>
        <v>1.2690493909265375E-2</v>
      </c>
      <c r="DF85" s="296">
        <f t="shared" si="305"/>
        <v>194.6040121580547</v>
      </c>
      <c r="DG85" s="300">
        <f t="shared" si="306"/>
        <v>1.6342821397744775E-2</v>
      </c>
      <c r="DH85" s="298">
        <f t="shared" si="307"/>
        <v>1.2318765038280404E-2</v>
      </c>
      <c r="DI85" s="303">
        <f t="shared" si="308"/>
        <v>188.90368794326241</v>
      </c>
      <c r="DJ85" s="295">
        <f t="shared" si="308"/>
        <v>3.2786716965480127E-2</v>
      </c>
      <c r="DK85" s="301">
        <f t="shared" si="309"/>
        <v>2.4712035286072537E-2</v>
      </c>
      <c r="DL85" s="301">
        <f t="shared" si="310"/>
        <v>2.4713716979742957E-2</v>
      </c>
      <c r="DM85" s="296">
        <f t="shared" si="311"/>
        <v>378.97567375886524</v>
      </c>
      <c r="DN85" s="300">
        <f t="shared" si="312"/>
        <v>6.3454420193656902E-3</v>
      </c>
      <c r="DO85" s="298">
        <f t="shared" si="313"/>
        <v>4.7830180235209716E-3</v>
      </c>
      <c r="DP85" s="299">
        <f t="shared" si="314"/>
        <v>73.345805471124621</v>
      </c>
      <c r="DQ85" s="295">
        <f t="shared" si="315"/>
        <v>3.7413272248752148E-2</v>
      </c>
      <c r="DR85" s="301">
        <f t="shared" si="316"/>
        <v>2.8201085903636819E-2</v>
      </c>
      <c r="DS85" s="296">
        <f t="shared" si="317"/>
        <v>432.45318135764944</v>
      </c>
      <c r="DT85" s="300">
        <f t="shared" si="318"/>
        <v>2.3269119184158153E-3</v>
      </c>
      <c r="DU85" s="299">
        <f t="shared" si="319"/>
        <v>35.682330293819653</v>
      </c>
      <c r="DV85" s="295">
        <f t="shared" si="178"/>
        <v>1.3433429691894809E-2</v>
      </c>
      <c r="DW85" s="296">
        <f t="shared" si="179"/>
        <v>205.99665653495441</v>
      </c>
      <c r="DX85" s="295">
        <f t="shared" si="320"/>
        <v>4.2073697735236401E-6</v>
      </c>
      <c r="DY85" s="301">
        <f t="shared" si="321"/>
        <v>3.1711827205615013E-6</v>
      </c>
      <c r="DZ85" s="301">
        <f t="shared" si="322"/>
        <v>3.171398524636203E-6</v>
      </c>
      <c r="EA85" s="296">
        <f t="shared" si="323"/>
        <v>4.8632218844984802E-2</v>
      </c>
      <c r="EB85" s="304">
        <f>IFERROR(_xlfn.XLOOKUP(A85,'Pupil on roll 24-25'!E:E,'Pupil on roll 24-25'!R:R),0)</f>
        <v>48</v>
      </c>
      <c r="EC85" s="289">
        <f>IFERROR(_xlfn.XLOOKUP(A85,CFR20242025_BenchMarkDataReport!B:B,CFR20242025_BenchMarkDataReport!AK:AK),0)</f>
        <v>18228.25</v>
      </c>
      <c r="ED85" s="289">
        <f>IFERROR(_xlfn.XLOOKUP(A85,CFR20242025_BenchMarkDataReport!B:B,CFR20242025_BenchMarkDataReport!AL:AL),0)</f>
        <v>0</v>
      </c>
    </row>
    <row r="86" spans="1:228">
      <c r="A86" s="322">
        <v>5407</v>
      </c>
      <c r="B86" s="323">
        <v>10142</v>
      </c>
      <c r="C86" s="322" t="s">
        <v>120</v>
      </c>
      <c r="D86" s="289">
        <f>IFERROR(_xlfn.XLOOKUP($A86,CFR20242025_BenchMarkDataReport!$B:$B,CFR20242025_BenchMarkDataReport!T:T),0)</f>
        <v>8431383.7200000007</v>
      </c>
      <c r="E86" s="289">
        <f>IFERROR(_xlfn.XLOOKUP($A86,CFR20242025_BenchMarkDataReport!$B:$B,CFR20242025_BenchMarkDataReport!U:U),0)</f>
        <v>1170324.27</v>
      </c>
      <c r="F86" s="289">
        <f>IFERROR(_xlfn.XLOOKUP($A86,CFR20242025_BenchMarkDataReport!$B:$B,CFR20242025_BenchMarkDataReport!V:V),0)</f>
        <v>256624.01</v>
      </c>
      <c r="G86" s="289">
        <f>IFERROR(_xlfn.XLOOKUP($A86,CFR20242025_BenchMarkDataReport!$B:$B,CFR20242025_BenchMarkDataReport!W:W),0)</f>
        <v>0</v>
      </c>
      <c r="H86" s="289">
        <f>IFERROR(_xlfn.XLOOKUP($A86,CFR20242025_BenchMarkDataReport!$B:$B,CFR20242025_BenchMarkDataReport!X:X),0)</f>
        <v>338924</v>
      </c>
      <c r="I86" s="289">
        <f>IFERROR(_xlfn.XLOOKUP($A86,CFR20242025_BenchMarkDataReport!$B:$B,CFR20242025_BenchMarkDataReport!Y:Y),0)</f>
        <v>0</v>
      </c>
      <c r="J86" s="289">
        <f>IFERROR(_xlfn.XLOOKUP($A86,CFR20242025_BenchMarkDataReport!$B:$B,CFR20242025_BenchMarkDataReport!Z:Z),0)</f>
        <v>0</v>
      </c>
      <c r="K86" s="289">
        <f>IFERROR(_xlfn.XLOOKUP($A86,CFR20242025_BenchMarkDataReport!$B:$B,CFR20242025_BenchMarkDataReport!AA:AA),0)</f>
        <v>0</v>
      </c>
      <c r="L86" s="289">
        <f>IFERROR(_xlfn.XLOOKUP($A86,CFR20242025_BenchMarkDataReport!$B:$B,CFR20242025_BenchMarkDataReport!AB:AB),0)</f>
        <v>24897.29</v>
      </c>
      <c r="M86" s="289">
        <f>IFERROR(_xlfn.XLOOKUP($A86,CFR20242025_BenchMarkDataReport!$B:$B,CFR20242025_BenchMarkDataReport!AC:AC),0)</f>
        <v>0</v>
      </c>
      <c r="N86" s="289">
        <f>IFERROR(_xlfn.XLOOKUP($A86,CFR20242025_BenchMarkDataReport!$B:$B,CFR20242025_BenchMarkDataReport!AD:AD),0)</f>
        <v>0</v>
      </c>
      <c r="O86" s="289">
        <f>IFERROR(_xlfn.XLOOKUP($A86,CFR20242025_BenchMarkDataReport!$B:$B,CFR20242025_BenchMarkDataReport!AE:AE),0)</f>
        <v>0</v>
      </c>
      <c r="P86" s="289">
        <f>IFERROR(_xlfn.XLOOKUP($A86,CFR20242025_BenchMarkDataReport!$B:$B,CFR20242025_BenchMarkDataReport!AF:AF),0)</f>
        <v>64762.79</v>
      </c>
      <c r="Q86" s="289">
        <f>IFERROR(_xlfn.XLOOKUP($A86,CFR20242025_BenchMarkDataReport!$B:$B,CFR20242025_BenchMarkDataReport!AG:AG),0)</f>
        <v>95542.080000000002</v>
      </c>
      <c r="R86" s="289">
        <f>IFERROR(_xlfn.XLOOKUP($A86,CFR20242025_BenchMarkDataReport!$B:$B,CFR20242025_BenchMarkDataReport!AH:AH),0)</f>
        <v>0</v>
      </c>
      <c r="S86" s="289">
        <f>IFERROR(_xlfn.XLOOKUP($A86,CFR20242025_BenchMarkDataReport!$B:$B,CFR20242025_BenchMarkDataReport!AI:AI),0)</f>
        <v>0</v>
      </c>
      <c r="T86" s="289">
        <f>IFERROR(_xlfn.XLOOKUP($A86,CFR20242025_BenchMarkDataReport!$B:$B,CFR20242025_BenchMarkDataReport!AJ:AJ),0)</f>
        <v>0</v>
      </c>
      <c r="U86" s="289">
        <f>INDEX(CFR20242025_BenchMarkDataReport!$B$3:$AM$87,MATCH(A86,CFR20242025_BenchMarkDataReport!$B$3:$B$87),MATCH($U$2,CFR20242025_BenchMarkDataReport!$B$3:$AM$3,0))</f>
        <v>42585.75</v>
      </c>
      <c r="V86" s="289">
        <f>IFERROR(_xlfn.XLOOKUP($A86,CFR20242025_BenchMarkDataReport!$B:$B,CFR20242025_BenchMarkDataReport!AN:AN),0)</f>
        <v>5835223.21</v>
      </c>
      <c r="W86" s="289">
        <f>IFERROR(_xlfn.XLOOKUP($A86,CFR20242025_BenchMarkDataReport!$B:$B,CFR20242025_BenchMarkDataReport!AO:AO),0)</f>
        <v>0</v>
      </c>
      <c r="X86" s="289">
        <f>IFERROR(_xlfn.XLOOKUP($A86,CFR20242025_BenchMarkDataReport!$B:$B,CFR20242025_BenchMarkDataReport!AP:AP),0)</f>
        <v>1308769.72</v>
      </c>
      <c r="Y86" s="289">
        <f>IFERROR(_xlfn.XLOOKUP($A86,CFR20242025_BenchMarkDataReport!$B:$B,CFR20242025_BenchMarkDataReport!AQ:AQ),0)</f>
        <v>156360.82</v>
      </c>
      <c r="Z86" s="289">
        <f>IFERROR(_xlfn.XLOOKUP($A86,CFR20242025_BenchMarkDataReport!$B:$B,CFR20242025_BenchMarkDataReport!AR:AR),0)</f>
        <v>467254.56</v>
      </c>
      <c r="AA86" s="289">
        <f>IFERROR(_xlfn.XLOOKUP($A86,CFR20242025_BenchMarkDataReport!$B:$B,CFR20242025_BenchMarkDataReport!AS:AS),0)</f>
        <v>0</v>
      </c>
      <c r="AB86" s="289">
        <f>IFERROR(_xlfn.XLOOKUP($A86,CFR20242025_BenchMarkDataReport!$B:$B,CFR20242025_BenchMarkDataReport!AT:AT),0)</f>
        <v>65364.49</v>
      </c>
      <c r="AC86" s="289">
        <f>IFERROR(_xlfn.XLOOKUP($A86,CFR20242025_BenchMarkDataReport!$B:$B,CFR20242025_BenchMarkDataReport!AU:AU),0)</f>
        <v>180223.09</v>
      </c>
      <c r="AD86" s="289">
        <f>IFERROR(_xlfn.XLOOKUP($A86,CFR20242025_BenchMarkDataReport!$B:$B,CFR20242025_BenchMarkDataReport!AV:AV),0)</f>
        <v>11055.57</v>
      </c>
      <c r="AE86" s="289">
        <f>IFERROR(_xlfn.XLOOKUP($A86,CFR20242025_BenchMarkDataReport!$B:$B,CFR20242025_BenchMarkDataReport!AW:AW),0)</f>
        <v>1557</v>
      </c>
      <c r="AF86" s="289">
        <f>IFERROR(_xlfn.XLOOKUP($A86,CFR20242025_BenchMarkDataReport!$B:$B,CFR20242025_BenchMarkDataReport!AX:AX),0)</f>
        <v>4800</v>
      </c>
      <c r="AG86" s="289">
        <f>IFERROR(_xlfn.XLOOKUP($A86,CFR20242025_BenchMarkDataReport!$B:$B,CFR20242025_BenchMarkDataReport!AY:AY),0)</f>
        <v>106107.11</v>
      </c>
      <c r="AH86" s="289">
        <f>IFERROR(_xlfn.XLOOKUP($A86,CFR20242025_BenchMarkDataReport!$B:$B,CFR20242025_BenchMarkDataReport!AZ:AZ),0)</f>
        <v>16245</v>
      </c>
      <c r="AI86" s="289">
        <f>IFERROR(_xlfn.XLOOKUP($A86,CFR20242025_BenchMarkDataReport!$B:$B,CFR20242025_BenchMarkDataReport!BA:BA),0)</f>
        <v>199589.08</v>
      </c>
      <c r="AJ86" s="289">
        <f>IFERROR(_xlfn.XLOOKUP($A86,CFR20242025_BenchMarkDataReport!$B:$B,CFR20242025_BenchMarkDataReport!BB:BB),0)</f>
        <v>14029.9</v>
      </c>
      <c r="AK86" s="289">
        <f>IFERROR(_xlfn.XLOOKUP($A86,CFR20242025_BenchMarkDataReport!$B:$B,CFR20242025_BenchMarkDataReport!BC:BC),0)</f>
        <v>331468.81</v>
      </c>
      <c r="AL86" s="289">
        <f>IFERROR(_xlfn.XLOOKUP($A86,CFR20242025_BenchMarkDataReport!$B:$B,CFR20242025_BenchMarkDataReport!BD:BD),0)</f>
        <v>43730</v>
      </c>
      <c r="AM86" s="289">
        <f>IFERROR(_xlfn.XLOOKUP($A86,CFR20242025_BenchMarkDataReport!$B:$B,CFR20242025_BenchMarkDataReport!BE:BE),0)</f>
        <v>89868.44</v>
      </c>
      <c r="AN86" s="289">
        <f>IFERROR(_xlfn.XLOOKUP($A86,CFR20242025_BenchMarkDataReport!$B:$B,CFR20242025_BenchMarkDataReport!BF:BF),0)</f>
        <v>230767.85</v>
      </c>
      <c r="AO86" s="289">
        <f>IFERROR(_xlfn.XLOOKUP($A86,CFR20242025_BenchMarkDataReport!$B:$B,CFR20242025_BenchMarkDataReport!BN:BN),0)</f>
        <v>112856.96999999999</v>
      </c>
      <c r="AP86" s="289">
        <f>IFERROR(_xlfn.XLOOKUP($A86,CFR20242025_BenchMarkDataReport!$B:$B,CFR20242025_BenchMarkDataReport!BO:BO),0)</f>
        <v>200861.43</v>
      </c>
      <c r="AQ86" s="289">
        <f>IFERROR(_xlfn.XLOOKUP($A86,CFR20242025_BenchMarkDataReport!$B:$B,CFR20242025_BenchMarkDataReport!BP:BP),0)</f>
        <v>193477.86</v>
      </c>
      <c r="AR86" s="289">
        <f>IFERROR(_xlfn.XLOOKUP($A86,CFR20242025_BenchMarkDataReport!$B:$B,CFR20242025_BenchMarkDataReport!BQ:BQ),0)</f>
        <v>47761.19</v>
      </c>
      <c r="AS86" s="289">
        <f>IFERROR(_xlfn.XLOOKUP($A86,CFR20242025_BenchMarkDataReport!$B:$B,CFR20242025_BenchMarkDataReport!BR:BR),0)</f>
        <v>2168.04</v>
      </c>
      <c r="AT86" s="289">
        <f>IFERROR(_xlfn.XLOOKUP($A86,CFR20242025_BenchMarkDataReport!$B:$B,CFR20242025_BenchMarkDataReport!BS:BS),0)</f>
        <v>155769.54</v>
      </c>
      <c r="AU86" s="289">
        <f>IFERROR(_xlfn.XLOOKUP($A86,CFR20242025_BenchMarkDataReport!$B:$B,CFR20242025_BenchMarkDataReport!BT:BT),0)</f>
        <v>275047.53000000003</v>
      </c>
      <c r="AV86" s="289">
        <f>IFERROR(_xlfn.XLOOKUP($A86,CFR20242025_BenchMarkDataReport!$B:$B,CFR20242025_BenchMarkDataReport!BU:BU),0)</f>
        <v>382276.04</v>
      </c>
      <c r="AW86" s="289">
        <f>IFERROR(_xlfn.XLOOKUP($A86,CFR20242025_BenchMarkDataReport!$B:$B,CFR20242025_BenchMarkDataReport!BV:BV),0)</f>
        <v>131195.03</v>
      </c>
      <c r="AX86" s="289">
        <f>IFERROR(_xlfn.XLOOKUP($A86,CFR20242025_BenchMarkDataReport!$B:$B,CFR20242025_BenchMarkDataReport!BW:BW),0)</f>
        <v>0</v>
      </c>
      <c r="AY86" s="289">
        <f>IFERROR(_xlfn.XLOOKUP($A86,CFR20242025_BenchMarkDataReport!$B:$B,CFR20242025_BenchMarkDataReport!BX:BX),0)</f>
        <v>0</v>
      </c>
      <c r="AZ86" s="289">
        <f>IFERROR(_xlfn.XLOOKUP($A86,CFR20242025_BenchMarkDataReport!$B:$B,CFR20242025_BenchMarkDataReport!BY:BY),0)</f>
        <v>0</v>
      </c>
      <c r="BA86" s="289">
        <f>IFERROR(_xlfn.XLOOKUP($A86,CFR20242025_BenchMarkDataReport!$B:$B,CFR20242025_BenchMarkDataReport!BZ:BZ),0)</f>
        <v>0</v>
      </c>
      <c r="BB86" s="289">
        <f>IFERROR(_xlfn.XLOOKUP($A86,CFR20242025_BenchMarkDataReport!$B:$B,CFR20242025_BenchMarkDataReport!CA:CA),0)</f>
        <v>0</v>
      </c>
      <c r="BC86" s="290">
        <f t="shared" si="258"/>
        <v>10425043.909999998</v>
      </c>
      <c r="BD86" s="291">
        <f t="shared" si="259"/>
        <v>10563828.279999996</v>
      </c>
      <c r="BE86" s="325">
        <f t="shared" si="260"/>
        <v>-138784.36999999732</v>
      </c>
      <c r="BF86" s="289">
        <f>IFERROR(_xlfn.XLOOKUP(A86,CFR20242025_BenchMarkDataReport!B:B,CFR20242025_BenchMarkDataReport!Q:Q),0)</f>
        <v>516758.37</v>
      </c>
      <c r="BG86" s="290">
        <f t="shared" si="177"/>
        <v>377974.00000000268</v>
      </c>
      <c r="BH86" s="292">
        <f>_xlfn.XLOOKUP(A86,'Pupil on roll 24-25'!E:E,'Pupil on roll 24-25'!I:I)</f>
        <v>1081</v>
      </c>
      <c r="BI86" s="291">
        <f t="shared" si="174"/>
        <v>9858332</v>
      </c>
      <c r="BJ86" t="s">
        <v>192</v>
      </c>
      <c r="BK86" s="293">
        <f t="shared" si="261"/>
        <v>0.80876241796088533</v>
      </c>
      <c r="BL86" s="294">
        <f t="shared" si="262"/>
        <v>7799.6149121184098</v>
      </c>
      <c r="BM86" s="295">
        <f t="shared" si="263"/>
        <v>0.11226084802169435</v>
      </c>
      <c r="BN86" s="296">
        <f t="shared" si="264"/>
        <v>1082.6311470860314</v>
      </c>
      <c r="BO86" s="293">
        <f t="shared" si="265"/>
        <v>2.4616108307595613E-2</v>
      </c>
      <c r="BP86" s="294">
        <f t="shared" si="266"/>
        <v>237.39501387604071</v>
      </c>
      <c r="BQ86" s="295">
        <f t="shared" si="267"/>
        <v>0</v>
      </c>
      <c r="BR86" s="296">
        <f t="shared" si="268"/>
        <v>0</v>
      </c>
      <c r="BS86" s="293">
        <f t="shared" si="269"/>
        <v>3.2510558509484498E-2</v>
      </c>
      <c r="BT86" s="294">
        <f t="shared" si="270"/>
        <v>313.52821461609619</v>
      </c>
      <c r="BU86" s="295">
        <f t="shared" si="271"/>
        <v>0</v>
      </c>
      <c r="BV86" s="296">
        <f t="shared" si="272"/>
        <v>0</v>
      </c>
      <c r="BW86" s="293">
        <f t="shared" si="273"/>
        <v>0</v>
      </c>
      <c r="BX86" s="294">
        <f t="shared" si="274"/>
        <v>0</v>
      </c>
      <c r="BY86" s="295">
        <f t="shared" si="275"/>
        <v>2.3882191974383738E-3</v>
      </c>
      <c r="BZ86" s="297">
        <f t="shared" si="276"/>
        <v>23.031720629047179</v>
      </c>
      <c r="CA86" s="298">
        <f t="shared" si="277"/>
        <v>6.2122318677121056E-3</v>
      </c>
      <c r="CB86" s="299">
        <f t="shared" si="278"/>
        <v>59.91007400555042</v>
      </c>
      <c r="CC86" s="295">
        <f t="shared" si="279"/>
        <v>9.1646693121698337E-3</v>
      </c>
      <c r="CD86" s="296">
        <f t="shared" si="280"/>
        <v>88.383052728954667</v>
      </c>
      <c r="CE86" s="300">
        <f t="shared" si="281"/>
        <v>0.61980776666884418</v>
      </c>
      <c r="CF86" s="298">
        <f t="shared" si="282"/>
        <v>0.58611462865291675</v>
      </c>
      <c r="CG86" s="298">
        <f t="shared" si="283"/>
        <v>0.57841443253751967</v>
      </c>
      <c r="CH86" s="299">
        <f t="shared" si="284"/>
        <v>5652.4243663274747</v>
      </c>
      <c r="CI86" s="295">
        <f t="shared" si="285"/>
        <v>0.13275772412615033</v>
      </c>
      <c r="CJ86" s="301">
        <f t="shared" si="286"/>
        <v>0.1255409311748405</v>
      </c>
      <c r="CK86" s="301">
        <f t="shared" si="287"/>
        <v>0.12389161252060797</v>
      </c>
      <c r="CL86" s="302">
        <f t="shared" si="288"/>
        <v>1210.7027937095281</v>
      </c>
      <c r="CM86" s="300">
        <f t="shared" si="288"/>
        <v>1.5860778476521183E-2</v>
      </c>
      <c r="CN86" s="298">
        <f t="shared" si="289"/>
        <v>1.4998576634292568E-2</v>
      </c>
      <c r="CO86" s="298">
        <f t="shared" si="290"/>
        <v>1.4801529886284755E-2</v>
      </c>
      <c r="CP86" s="299">
        <f t="shared" si="291"/>
        <v>144.64460684551341</v>
      </c>
      <c r="CQ86" s="295">
        <f t="shared" si="291"/>
        <v>4.7396918667376997E-2</v>
      </c>
      <c r="CR86" s="301">
        <f t="shared" si="292"/>
        <v>4.482039251190071E-2</v>
      </c>
      <c r="CS86" s="301">
        <f t="shared" si="293"/>
        <v>4.4231555797307996E-2</v>
      </c>
      <c r="CT86" s="296">
        <f t="shared" si="294"/>
        <v>432.24288621646622</v>
      </c>
      <c r="CU86" s="300">
        <f t="shared" si="295"/>
        <v>0.79455356139355016</v>
      </c>
      <c r="CV86" s="298">
        <f t="shared" si="296"/>
        <v>0.75136113263622706</v>
      </c>
      <c r="CW86" s="298">
        <f t="shared" si="297"/>
        <v>0.74148997810100747</v>
      </c>
      <c r="CX86" s="299">
        <f t="shared" si="298"/>
        <v>7246.043293246993</v>
      </c>
      <c r="CY86" s="295">
        <f t="shared" si="299"/>
        <v>1.0763190973888889E-2</v>
      </c>
      <c r="CZ86" s="301">
        <f t="shared" si="300"/>
        <v>1.0044380426070315E-2</v>
      </c>
      <c r="DA86" s="296">
        <f t="shared" si="301"/>
        <v>98.156438482886216</v>
      </c>
      <c r="DB86" s="300">
        <f t="shared" si="302"/>
        <v>1.3281075409529476E-3</v>
      </c>
      <c r="DC86" s="299">
        <f t="shared" si="303"/>
        <v>12.978630897317299</v>
      </c>
      <c r="DD86" s="295">
        <f t="shared" si="303"/>
        <v>3.3623214353097459E-2</v>
      </c>
      <c r="DE86" s="301">
        <f t="shared" si="304"/>
        <v>3.1377716601807555E-2</v>
      </c>
      <c r="DF86" s="296">
        <f t="shared" si="305"/>
        <v>306.63164662349675</v>
      </c>
      <c r="DG86" s="300">
        <f t="shared" si="306"/>
        <v>9.1159883842418781E-3</v>
      </c>
      <c r="DH86" s="298">
        <f t="shared" si="307"/>
        <v>8.5071848593131459E-3</v>
      </c>
      <c r="DI86" s="303">
        <f t="shared" si="308"/>
        <v>83.134542090656808</v>
      </c>
      <c r="DJ86" s="295">
        <f t="shared" si="308"/>
        <v>2.3408407223453217E-2</v>
      </c>
      <c r="DK86" s="301">
        <f t="shared" si="309"/>
        <v>2.2135911559915917E-2</v>
      </c>
      <c r="DL86" s="301">
        <f t="shared" si="310"/>
        <v>2.1845096671715313E-2</v>
      </c>
      <c r="DM86" s="296">
        <f t="shared" si="311"/>
        <v>213.47627197039779</v>
      </c>
      <c r="DN86" s="300">
        <f t="shared" si="312"/>
        <v>1.9625821082105976E-2</v>
      </c>
      <c r="DO86" s="298">
        <f t="shared" si="313"/>
        <v>1.8315127326170438E-2</v>
      </c>
      <c r="DP86" s="299">
        <f t="shared" si="314"/>
        <v>178.98044403330249</v>
      </c>
      <c r="DQ86" s="295">
        <f t="shared" si="315"/>
        <v>3.8776949285132617E-2</v>
      </c>
      <c r="DR86" s="301">
        <f t="shared" si="316"/>
        <v>3.6187263733143543E-2</v>
      </c>
      <c r="DS86" s="296">
        <f t="shared" si="317"/>
        <v>353.63185938945418</v>
      </c>
      <c r="DT86" s="300">
        <f t="shared" si="318"/>
        <v>1.4745557753424602E-2</v>
      </c>
      <c r="DU86" s="299">
        <f t="shared" si="319"/>
        <v>144.09763182238669</v>
      </c>
      <c r="DV86" s="295">
        <f t="shared" si="178"/>
        <v>1.8893631618176972E-2</v>
      </c>
      <c r="DW86" s="296">
        <f t="shared" si="179"/>
        <v>184.63374653098981</v>
      </c>
      <c r="DX86" s="295">
        <f t="shared" si="320"/>
        <v>3.2662726311104149E-5</v>
      </c>
      <c r="DY86" s="301">
        <f t="shared" si="321"/>
        <v>3.0887160071443768E-5</v>
      </c>
      <c r="DZ86" s="301">
        <f t="shared" si="322"/>
        <v>3.0481373936154151E-5</v>
      </c>
      <c r="EA86" s="296">
        <f t="shared" si="323"/>
        <v>0.2978723404255319</v>
      </c>
      <c r="EB86" s="304">
        <f>IFERROR(_xlfn.XLOOKUP(A86,'Pupil on roll 24-25'!E:E,'Pupil on roll 24-25'!R:R),0)</f>
        <v>322</v>
      </c>
      <c r="EC86" s="289">
        <f>IFERROR(_xlfn.XLOOKUP(A86,CFR20242025_BenchMarkDataReport!B:B,CFR20242025_BenchMarkDataReport!AK:AK),0)</f>
        <v>42585.75</v>
      </c>
      <c r="ED86" s="289">
        <f>IFERROR(_xlfn.XLOOKUP(A86,CFR20242025_BenchMarkDataReport!B:B,CFR20242025_BenchMarkDataReport!AL:AL),0)</f>
        <v>0</v>
      </c>
    </row>
    <row r="87" spans="1:228">
      <c r="A87" s="322">
        <v>5404</v>
      </c>
      <c r="B87" s="323">
        <v>10148</v>
      </c>
      <c r="C87" s="322" t="s">
        <v>122</v>
      </c>
      <c r="D87" s="289">
        <f>IFERROR(_xlfn.XLOOKUP($A87,CFR20242025_BenchMarkDataReport!$B:$B,CFR20242025_BenchMarkDataReport!T:T),0)</f>
        <v>4492411.83</v>
      </c>
      <c r="E87" s="289">
        <f>IFERROR(_xlfn.XLOOKUP($A87,CFR20242025_BenchMarkDataReport!$B:$B,CFR20242025_BenchMarkDataReport!U:U),0)</f>
        <v>1542366.69</v>
      </c>
      <c r="F87" s="289">
        <f>IFERROR(_xlfn.XLOOKUP($A87,CFR20242025_BenchMarkDataReport!$B:$B,CFR20242025_BenchMarkDataReport!V:V),0)</f>
        <v>21508.02</v>
      </c>
      <c r="G87" s="289">
        <f>IFERROR(_xlfn.XLOOKUP($A87,CFR20242025_BenchMarkDataReport!$B:$B,CFR20242025_BenchMarkDataReport!W:W),0)</f>
        <v>0</v>
      </c>
      <c r="H87" s="289">
        <f>IFERROR(_xlfn.XLOOKUP($A87,CFR20242025_BenchMarkDataReport!$B:$B,CFR20242025_BenchMarkDataReport!X:X),0)</f>
        <v>81870</v>
      </c>
      <c r="I87" s="289">
        <f>IFERROR(_xlfn.XLOOKUP($A87,CFR20242025_BenchMarkDataReport!$B:$B,CFR20242025_BenchMarkDataReport!Y:Y),0)</f>
        <v>0</v>
      </c>
      <c r="J87" s="289">
        <f>IFERROR(_xlfn.XLOOKUP($A87,CFR20242025_BenchMarkDataReport!$B:$B,CFR20242025_BenchMarkDataReport!Z:Z),0)</f>
        <v>0</v>
      </c>
      <c r="K87" s="289">
        <f>IFERROR(_xlfn.XLOOKUP($A87,CFR20242025_BenchMarkDataReport!$B:$B,CFR20242025_BenchMarkDataReport!AA:AA),0)</f>
        <v>0</v>
      </c>
      <c r="L87" s="289">
        <f>IFERROR(_xlfn.XLOOKUP($A87,CFR20242025_BenchMarkDataReport!$B:$B,CFR20242025_BenchMarkDataReport!AB:AB),0)</f>
        <v>21178.02</v>
      </c>
      <c r="M87" s="289">
        <f>IFERROR(_xlfn.XLOOKUP($A87,CFR20242025_BenchMarkDataReport!$B:$B,CFR20242025_BenchMarkDataReport!AC:AC),0)</f>
        <v>237176.47</v>
      </c>
      <c r="N87" s="289">
        <f>IFERROR(_xlfn.XLOOKUP($A87,CFR20242025_BenchMarkDataReport!$B:$B,CFR20242025_BenchMarkDataReport!AD:AD),0)</f>
        <v>0</v>
      </c>
      <c r="O87" s="289">
        <f>IFERROR(_xlfn.XLOOKUP($A87,CFR20242025_BenchMarkDataReport!$B:$B,CFR20242025_BenchMarkDataReport!AE:AE),0)</f>
        <v>0</v>
      </c>
      <c r="P87" s="289">
        <f>IFERROR(_xlfn.XLOOKUP($A87,CFR20242025_BenchMarkDataReport!$B:$B,CFR20242025_BenchMarkDataReport!AF:AF),0)</f>
        <v>30641.7</v>
      </c>
      <c r="Q87" s="289">
        <f>IFERROR(_xlfn.XLOOKUP($A87,CFR20242025_BenchMarkDataReport!$B:$B,CFR20242025_BenchMarkDataReport!AG:AG),0)</f>
        <v>453381.52</v>
      </c>
      <c r="R87" s="289">
        <f>IFERROR(_xlfn.XLOOKUP($A87,CFR20242025_BenchMarkDataReport!$B:$B,CFR20242025_BenchMarkDataReport!AH:AH),0)</f>
        <v>0</v>
      </c>
      <c r="S87" s="289">
        <f>IFERROR(_xlfn.XLOOKUP($A87,CFR20242025_BenchMarkDataReport!$B:$B,CFR20242025_BenchMarkDataReport!AI:AI),0)</f>
        <v>0</v>
      </c>
      <c r="T87" s="289">
        <f>IFERROR(_xlfn.XLOOKUP($A87,CFR20242025_BenchMarkDataReport!$B:$B,CFR20242025_BenchMarkDataReport!AJ:AJ),0)</f>
        <v>0</v>
      </c>
      <c r="U87" s="289">
        <f>INDEX(CFR20242025_BenchMarkDataReport!$B$3:$AM$87,MATCH(A87,CFR20242025_BenchMarkDataReport!$B$3:$B$87),MATCH($U$2,CFR20242025_BenchMarkDataReport!$B$3:$AM$3,0))</f>
        <v>14294.25</v>
      </c>
      <c r="V87" s="289">
        <f>IFERROR(_xlfn.XLOOKUP($A87,CFR20242025_BenchMarkDataReport!$B:$B,CFR20242025_BenchMarkDataReport!AN:AN),0)</f>
        <v>4456059.24</v>
      </c>
      <c r="W87" s="289">
        <f>IFERROR(_xlfn.XLOOKUP($A87,CFR20242025_BenchMarkDataReport!$B:$B,CFR20242025_BenchMarkDataReport!AO:AO),0)</f>
        <v>0</v>
      </c>
      <c r="X87" s="289">
        <f>IFERROR(_xlfn.XLOOKUP($A87,CFR20242025_BenchMarkDataReport!$B:$B,CFR20242025_BenchMarkDataReport!AP:AP),0)</f>
        <v>440145.34</v>
      </c>
      <c r="Y87" s="289">
        <f>IFERROR(_xlfn.XLOOKUP($A87,CFR20242025_BenchMarkDataReport!$B:$B,CFR20242025_BenchMarkDataReport!AQ:AQ),0)</f>
        <v>102831.9</v>
      </c>
      <c r="Z87" s="289">
        <f>IFERROR(_xlfn.XLOOKUP($A87,CFR20242025_BenchMarkDataReport!$B:$B,CFR20242025_BenchMarkDataReport!AR:AR),0)</f>
        <v>448742.63</v>
      </c>
      <c r="AA87" s="289">
        <f>IFERROR(_xlfn.XLOOKUP($A87,CFR20242025_BenchMarkDataReport!$B:$B,CFR20242025_BenchMarkDataReport!AS:AS),0)</f>
        <v>88256.05</v>
      </c>
      <c r="AB87" s="289">
        <f>IFERROR(_xlfn.XLOOKUP($A87,CFR20242025_BenchMarkDataReport!$B:$B,CFR20242025_BenchMarkDataReport!AT:AT),0)</f>
        <v>2322.4499999999998</v>
      </c>
      <c r="AC87" s="289">
        <f>IFERROR(_xlfn.XLOOKUP($A87,CFR20242025_BenchMarkDataReport!$B:$B,CFR20242025_BenchMarkDataReport!AU:AU),0)</f>
        <v>35534.120000000003</v>
      </c>
      <c r="AD87" s="289">
        <f>IFERROR(_xlfn.XLOOKUP($A87,CFR20242025_BenchMarkDataReport!$B:$B,CFR20242025_BenchMarkDataReport!AV:AV),0)</f>
        <v>27068.03</v>
      </c>
      <c r="AE87" s="289">
        <f>IFERROR(_xlfn.XLOOKUP($A87,CFR20242025_BenchMarkDataReport!$B:$B,CFR20242025_BenchMarkDataReport!AW:AW),0)</f>
        <v>0</v>
      </c>
      <c r="AF87" s="289">
        <f>IFERROR(_xlfn.XLOOKUP($A87,CFR20242025_BenchMarkDataReport!$B:$B,CFR20242025_BenchMarkDataReport!AX:AX),0)</f>
        <v>0</v>
      </c>
      <c r="AG87" s="289">
        <f>IFERROR(_xlfn.XLOOKUP($A87,CFR20242025_BenchMarkDataReport!$B:$B,CFR20242025_BenchMarkDataReport!AY:AY),0)</f>
        <v>182183.6</v>
      </c>
      <c r="AH87" s="289">
        <f>IFERROR(_xlfn.XLOOKUP($A87,CFR20242025_BenchMarkDataReport!$B:$B,CFR20242025_BenchMarkDataReport!AZ:AZ),0)</f>
        <v>3950</v>
      </c>
      <c r="AI87" s="289">
        <f>IFERROR(_xlfn.XLOOKUP($A87,CFR20242025_BenchMarkDataReport!$B:$B,CFR20242025_BenchMarkDataReport!BA:BA),0)</f>
        <v>114153.03</v>
      </c>
      <c r="AJ87" s="289">
        <f>IFERROR(_xlfn.XLOOKUP($A87,CFR20242025_BenchMarkDataReport!$B:$B,CFR20242025_BenchMarkDataReport!BB:BB),0)</f>
        <v>25125.87</v>
      </c>
      <c r="AK87" s="289">
        <f>IFERROR(_xlfn.XLOOKUP($A87,CFR20242025_BenchMarkDataReport!$B:$B,CFR20242025_BenchMarkDataReport!BC:BC),0)</f>
        <v>163740</v>
      </c>
      <c r="AL87" s="289">
        <f>IFERROR(_xlfn.XLOOKUP($A87,CFR20242025_BenchMarkDataReport!$B:$B,CFR20242025_BenchMarkDataReport!BD:BD),0)</f>
        <v>3238.73</v>
      </c>
      <c r="AM87" s="289">
        <f>IFERROR(_xlfn.XLOOKUP($A87,CFR20242025_BenchMarkDataReport!$B:$B,CFR20242025_BenchMarkDataReport!BE:BE),0)</f>
        <v>46787.53</v>
      </c>
      <c r="AN87" s="289">
        <f>IFERROR(_xlfn.XLOOKUP($A87,CFR20242025_BenchMarkDataReport!$B:$B,CFR20242025_BenchMarkDataReport!BF:BF),0)</f>
        <v>137266.84</v>
      </c>
      <c r="AO87" s="289">
        <f>IFERROR(_xlfn.XLOOKUP($A87,CFR20242025_BenchMarkDataReport!$B:$B,CFR20242025_BenchMarkDataReport!BN:BN),0)</f>
        <v>84594.66</v>
      </c>
      <c r="AP87" s="289">
        <f>IFERROR(_xlfn.XLOOKUP($A87,CFR20242025_BenchMarkDataReport!$B:$B,CFR20242025_BenchMarkDataReport!BO:BO),0)</f>
        <v>110341.55</v>
      </c>
      <c r="AQ87" s="289">
        <f>IFERROR(_xlfn.XLOOKUP($A87,CFR20242025_BenchMarkDataReport!$B:$B,CFR20242025_BenchMarkDataReport!BP:BP),0)</f>
        <v>75828.75</v>
      </c>
      <c r="AR87" s="289">
        <f>IFERROR(_xlfn.XLOOKUP($A87,CFR20242025_BenchMarkDataReport!$B:$B,CFR20242025_BenchMarkDataReport!BQ:BQ),0)</f>
        <v>44196.73</v>
      </c>
      <c r="AS87" s="289">
        <f>IFERROR(_xlfn.XLOOKUP($A87,CFR20242025_BenchMarkDataReport!$B:$B,CFR20242025_BenchMarkDataReport!BR:BR),0)</f>
        <v>6810.8</v>
      </c>
      <c r="AT87" s="289">
        <f>IFERROR(_xlfn.XLOOKUP($A87,CFR20242025_BenchMarkDataReport!$B:$B,CFR20242025_BenchMarkDataReport!BS:BS),0)</f>
        <v>170015.7</v>
      </c>
      <c r="AU87" s="289">
        <f>IFERROR(_xlfn.XLOOKUP($A87,CFR20242025_BenchMarkDataReport!$B:$B,CFR20242025_BenchMarkDataReport!BT:BT),0)</f>
        <v>7194</v>
      </c>
      <c r="AV87" s="289">
        <f>IFERROR(_xlfn.XLOOKUP($A87,CFR20242025_BenchMarkDataReport!$B:$B,CFR20242025_BenchMarkDataReport!BU:BU),0)</f>
        <v>77284.62</v>
      </c>
      <c r="AW87" s="289">
        <f>IFERROR(_xlfn.XLOOKUP($A87,CFR20242025_BenchMarkDataReport!$B:$B,CFR20242025_BenchMarkDataReport!BV:BV),0)</f>
        <v>163161.44</v>
      </c>
      <c r="AX87" s="289">
        <f>IFERROR(_xlfn.XLOOKUP($A87,CFR20242025_BenchMarkDataReport!$B:$B,CFR20242025_BenchMarkDataReport!BW:BW),0)</f>
        <v>0</v>
      </c>
      <c r="AY87" s="289">
        <f>IFERROR(_xlfn.XLOOKUP($A87,CFR20242025_BenchMarkDataReport!$B:$B,CFR20242025_BenchMarkDataReport!BX:BX),0)</f>
        <v>0</v>
      </c>
      <c r="AZ87" s="289">
        <f>IFERROR(_xlfn.XLOOKUP($A87,CFR20242025_BenchMarkDataReport!$B:$B,CFR20242025_BenchMarkDataReport!BY:BY),0)</f>
        <v>25750</v>
      </c>
      <c r="BA87" s="289">
        <f>IFERROR(_xlfn.XLOOKUP($A87,CFR20242025_BenchMarkDataReport!$B:$B,CFR20242025_BenchMarkDataReport!BZ:BZ),0)</f>
        <v>0</v>
      </c>
      <c r="BB87" s="289">
        <f>IFERROR(_xlfn.XLOOKUP($A87,CFR20242025_BenchMarkDataReport!$B:$B,CFR20242025_BenchMarkDataReport!CA:CA),0)</f>
        <v>0</v>
      </c>
      <c r="BC87" s="290">
        <f t="shared" si="258"/>
        <v>6894828.4999999981</v>
      </c>
      <c r="BD87" s="291">
        <f t="shared" si="259"/>
        <v>7042583.6100000022</v>
      </c>
      <c r="BE87" s="325">
        <f t="shared" si="260"/>
        <v>-147755.11000000406</v>
      </c>
      <c r="BF87" s="289">
        <f>IFERROR(_xlfn.XLOOKUP(A87,CFR20242025_BenchMarkDataReport!B:B,CFR20242025_BenchMarkDataReport!Q:Q),0)</f>
        <v>147955.10999999999</v>
      </c>
      <c r="BG87" s="290">
        <f t="shared" si="177"/>
        <v>199.99999999592546</v>
      </c>
      <c r="BH87" s="292">
        <f>_xlfn.XLOOKUP(A87,'Pupil on roll 24-25'!E:E,'Pupil on roll 24-25'!I:I)</f>
        <v>639</v>
      </c>
      <c r="BI87" s="291">
        <f t="shared" si="174"/>
        <v>6056286.5399999991</v>
      </c>
      <c r="BJ87" t="s">
        <v>192</v>
      </c>
      <c r="BK87" s="293">
        <f t="shared" si="261"/>
        <v>0.65156251964787826</v>
      </c>
      <c r="BL87" s="294">
        <f t="shared" si="262"/>
        <v>7030.3784507042255</v>
      </c>
      <c r="BM87" s="295">
        <f t="shared" si="263"/>
        <v>0.22369906517616797</v>
      </c>
      <c r="BN87" s="296">
        <f t="shared" si="264"/>
        <v>2413.7193896713616</v>
      </c>
      <c r="BO87" s="293">
        <f t="shared" si="265"/>
        <v>3.119442347260705E-3</v>
      </c>
      <c r="BP87" s="294">
        <f t="shared" si="266"/>
        <v>33.658873239436623</v>
      </c>
      <c r="BQ87" s="295">
        <f t="shared" si="267"/>
        <v>0</v>
      </c>
      <c r="BR87" s="296">
        <f t="shared" si="268"/>
        <v>0</v>
      </c>
      <c r="BS87" s="293">
        <f t="shared" si="269"/>
        <v>1.1874116955918486E-2</v>
      </c>
      <c r="BT87" s="294">
        <f t="shared" si="270"/>
        <v>128.12206572769952</v>
      </c>
      <c r="BU87" s="295">
        <f t="shared" si="271"/>
        <v>0</v>
      </c>
      <c r="BV87" s="296">
        <f t="shared" si="272"/>
        <v>0</v>
      </c>
      <c r="BW87" s="293">
        <f t="shared" si="273"/>
        <v>0</v>
      </c>
      <c r="BX87" s="294">
        <f t="shared" si="274"/>
        <v>0</v>
      </c>
      <c r="BY87" s="295">
        <f t="shared" si="275"/>
        <v>3.0715803881126275E-3</v>
      </c>
      <c r="BZ87" s="297">
        <f t="shared" si="276"/>
        <v>33.142441314553992</v>
      </c>
      <c r="CA87" s="298">
        <f t="shared" si="277"/>
        <v>4.4441569503868017E-3</v>
      </c>
      <c r="CB87" s="299">
        <f t="shared" si="278"/>
        <v>47.952582159624413</v>
      </c>
      <c r="CC87" s="295">
        <f t="shared" si="279"/>
        <v>6.5756750874949269E-2</v>
      </c>
      <c r="CD87" s="296">
        <f t="shared" si="280"/>
        <v>709.51724569640066</v>
      </c>
      <c r="CE87" s="300">
        <f t="shared" si="281"/>
        <v>0.73696203284331407</v>
      </c>
      <c r="CF87" s="298">
        <f t="shared" si="282"/>
        <v>0.64733346739516462</v>
      </c>
      <c r="CG87" s="298">
        <f t="shared" si="283"/>
        <v>0.63375225445140282</v>
      </c>
      <c r="CH87" s="299">
        <f t="shared" si="284"/>
        <v>6984.7468544600943</v>
      </c>
      <c r="CI87" s="295">
        <f t="shared" si="285"/>
        <v>7.2675778646365055E-2</v>
      </c>
      <c r="CJ87" s="301">
        <f t="shared" si="286"/>
        <v>6.3837025097868663E-2</v>
      </c>
      <c r="CK87" s="301">
        <f t="shared" si="287"/>
        <v>6.2497708848642253E-2</v>
      </c>
      <c r="CL87" s="302">
        <f t="shared" si="288"/>
        <v>688.80334898278568</v>
      </c>
      <c r="CM87" s="300">
        <f t="shared" si="288"/>
        <v>1.6979365048338683E-2</v>
      </c>
      <c r="CN87" s="298">
        <f t="shared" si="289"/>
        <v>1.4914352111876318E-2</v>
      </c>
      <c r="CO87" s="298">
        <f t="shared" si="290"/>
        <v>1.4601445391998685E-2</v>
      </c>
      <c r="CP87" s="299">
        <f t="shared" si="291"/>
        <v>160.92629107981219</v>
      </c>
      <c r="CQ87" s="295">
        <f t="shared" si="291"/>
        <v>7.4095343249726761E-2</v>
      </c>
      <c r="CR87" s="301">
        <f t="shared" si="292"/>
        <v>6.5083943712305553E-2</v>
      </c>
      <c r="CS87" s="301">
        <f t="shared" si="293"/>
        <v>6.3718466808518281E-2</v>
      </c>
      <c r="CT87" s="296">
        <f t="shared" si="294"/>
        <v>702.25763693270733</v>
      </c>
      <c r="CU87" s="300">
        <f t="shared" si="295"/>
        <v>0.91448077521114135</v>
      </c>
      <c r="CV87" s="298">
        <f t="shared" si="296"/>
        <v>0.80326256265837526</v>
      </c>
      <c r="CW87" s="298">
        <f t="shared" si="297"/>
        <v>0.7864099195266776</v>
      </c>
      <c r="CX87" s="299">
        <f t="shared" si="298"/>
        <v>8667.2263067292643</v>
      </c>
      <c r="CY87" s="295">
        <f t="shared" si="299"/>
        <v>3.0081733880444838E-2</v>
      </c>
      <c r="CZ87" s="301">
        <f t="shared" si="300"/>
        <v>2.5868858658818245E-2</v>
      </c>
      <c r="DA87" s="296">
        <f t="shared" si="301"/>
        <v>285.10735524256654</v>
      </c>
      <c r="DB87" s="300">
        <f t="shared" si="302"/>
        <v>3.5677063122577526E-3</v>
      </c>
      <c r="DC87" s="299">
        <f t="shared" si="303"/>
        <v>39.320610328638494</v>
      </c>
      <c r="DD87" s="295">
        <f t="shared" si="303"/>
        <v>2.7036369385521185E-2</v>
      </c>
      <c r="DE87" s="301">
        <f t="shared" si="304"/>
        <v>2.324999021204378E-2</v>
      </c>
      <c r="DF87" s="296">
        <f t="shared" si="305"/>
        <v>256.24413145539904</v>
      </c>
      <c r="DG87" s="300">
        <f t="shared" si="306"/>
        <v>7.7254485386353605E-3</v>
      </c>
      <c r="DH87" s="298">
        <f t="shared" si="307"/>
        <v>6.6435178609118399E-3</v>
      </c>
      <c r="DI87" s="303">
        <f t="shared" si="308"/>
        <v>73.219921752738657</v>
      </c>
      <c r="DJ87" s="295">
        <f t="shared" si="308"/>
        <v>2.2665182549305208E-2</v>
      </c>
      <c r="DK87" s="301">
        <f t="shared" si="309"/>
        <v>1.9908666328683888E-2</v>
      </c>
      <c r="DL87" s="301">
        <f t="shared" si="310"/>
        <v>1.9490977686809453E-2</v>
      </c>
      <c r="DM87" s="296">
        <f t="shared" si="311"/>
        <v>214.81508607198748</v>
      </c>
      <c r="DN87" s="300">
        <f t="shared" si="312"/>
        <v>1.2520667491403075E-2</v>
      </c>
      <c r="DO87" s="298">
        <f t="shared" si="313"/>
        <v>1.076717781416584E-2</v>
      </c>
      <c r="DP87" s="299">
        <f t="shared" si="314"/>
        <v>118.66784037558685</v>
      </c>
      <c r="DQ87" s="295">
        <f t="shared" si="315"/>
        <v>1.2761057372295334E-2</v>
      </c>
      <c r="DR87" s="301">
        <f t="shared" si="316"/>
        <v>1.097390166447736E-2</v>
      </c>
      <c r="DS87" s="296">
        <f t="shared" si="317"/>
        <v>120.94619718309859</v>
      </c>
      <c r="DT87" s="300">
        <f t="shared" si="318"/>
        <v>2.4141097843494393E-2</v>
      </c>
      <c r="DU87" s="299">
        <f t="shared" si="319"/>
        <v>266.06525821596244</v>
      </c>
      <c r="DV87" s="295">
        <f t="shared" si="178"/>
        <v>1.6208970503085011E-2</v>
      </c>
      <c r="DW87" s="296">
        <f t="shared" si="179"/>
        <v>178.64323943661972</v>
      </c>
      <c r="DX87" s="295">
        <f t="shared" si="320"/>
        <v>1.2714061577410109E-5</v>
      </c>
      <c r="DY87" s="301">
        <f t="shared" si="321"/>
        <v>1.1167790467884736E-5</v>
      </c>
      <c r="DZ87" s="301">
        <f t="shared" si="322"/>
        <v>1.0933487518794254E-5</v>
      </c>
      <c r="EA87" s="296">
        <f t="shared" si="323"/>
        <v>0.12050078247261346</v>
      </c>
      <c r="EB87" s="304">
        <f>IFERROR(_xlfn.XLOOKUP(A87,'Pupil on roll 24-25'!E:E,'Pupil on roll 24-25'!R:R),0)</f>
        <v>77</v>
      </c>
      <c r="EC87" s="289">
        <f>IFERROR(_xlfn.XLOOKUP(A87,CFR20242025_BenchMarkDataReport!B:B,CFR20242025_BenchMarkDataReport!AK:AK),0)</f>
        <v>14294.25</v>
      </c>
      <c r="ED87" s="289">
        <f>IFERROR(_xlfn.XLOOKUP(A87,CFR20242025_BenchMarkDataReport!B:B,CFR20242025_BenchMarkDataReport!AL:AL),0)</f>
        <v>0</v>
      </c>
    </row>
    <row r="88" spans="1:228" s="16" customFormat="1" ht="16.2" thickBot="1">
      <c r="A88" s="306">
        <v>6999</v>
      </c>
      <c r="B88" s="307"/>
      <c r="C88" s="308" t="s">
        <v>193</v>
      </c>
      <c r="D88" s="309">
        <f>AVERAGE(D82:D87)</f>
        <v>5957137.3200000003</v>
      </c>
      <c r="E88" s="309">
        <f t="shared" ref="E88:BB88" si="324">AVERAGE(E82:E87)</f>
        <v>1175077.7916666667</v>
      </c>
      <c r="F88" s="309">
        <f t="shared" si="324"/>
        <v>452188.23833333334</v>
      </c>
      <c r="G88" s="309">
        <f t="shared" si="324"/>
        <v>0</v>
      </c>
      <c r="H88" s="309">
        <f t="shared" si="324"/>
        <v>161426</v>
      </c>
      <c r="I88" s="309">
        <f t="shared" si="324"/>
        <v>46468.108333333337</v>
      </c>
      <c r="J88" s="309">
        <f t="shared" si="324"/>
        <v>5499.211666666667</v>
      </c>
      <c r="K88" s="309">
        <f t="shared" si="324"/>
        <v>8886.9366666666665</v>
      </c>
      <c r="L88" s="309">
        <f t="shared" si="324"/>
        <v>19567.018333333333</v>
      </c>
      <c r="M88" s="309">
        <f t="shared" si="324"/>
        <v>141286.26666666663</v>
      </c>
      <c r="N88" s="309">
        <f t="shared" si="324"/>
        <v>0</v>
      </c>
      <c r="O88" s="309">
        <f t="shared" si="324"/>
        <v>879.30499999999995</v>
      </c>
      <c r="P88" s="309">
        <f t="shared" si="324"/>
        <v>270640.72666666663</v>
      </c>
      <c r="Q88" s="309">
        <f t="shared" si="324"/>
        <v>531658.15500000003</v>
      </c>
      <c r="R88" s="309">
        <f t="shared" si="324"/>
        <v>0</v>
      </c>
      <c r="S88" s="309">
        <f t="shared" si="324"/>
        <v>0</v>
      </c>
      <c r="T88" s="309">
        <f t="shared" si="324"/>
        <v>0</v>
      </c>
      <c r="U88" s="309">
        <f t="shared" si="324"/>
        <v>25481.666666666668</v>
      </c>
      <c r="V88" s="309">
        <f t="shared" si="324"/>
        <v>5165611.6183333332</v>
      </c>
      <c r="W88" s="309">
        <f t="shared" si="324"/>
        <v>2999.8166666666671</v>
      </c>
      <c r="X88" s="309">
        <f t="shared" si="324"/>
        <v>998524.23166666657</v>
      </c>
      <c r="Y88" s="309">
        <f t="shared" si="324"/>
        <v>122397.31166666666</v>
      </c>
      <c r="Z88" s="309">
        <f t="shared" si="324"/>
        <v>538632.50666666671</v>
      </c>
      <c r="AA88" s="309">
        <f t="shared" si="324"/>
        <v>44080.191666666673</v>
      </c>
      <c r="AB88" s="309">
        <f t="shared" si="324"/>
        <v>48966.301666666666</v>
      </c>
      <c r="AC88" s="309">
        <f t="shared" si="324"/>
        <v>75552.063333333339</v>
      </c>
      <c r="AD88" s="309">
        <f t="shared" si="324"/>
        <v>15669.985000000001</v>
      </c>
      <c r="AE88" s="309">
        <f t="shared" si="324"/>
        <v>722.46</v>
      </c>
      <c r="AF88" s="309">
        <f t="shared" si="324"/>
        <v>800</v>
      </c>
      <c r="AG88" s="309">
        <f t="shared" si="324"/>
        <v>120168.05333333333</v>
      </c>
      <c r="AH88" s="309">
        <f t="shared" si="324"/>
        <v>15426.021666666667</v>
      </c>
      <c r="AI88" s="309">
        <f t="shared" si="324"/>
        <v>144890.67666666667</v>
      </c>
      <c r="AJ88" s="309">
        <f t="shared" si="324"/>
        <v>11009.01</v>
      </c>
      <c r="AK88" s="309">
        <f t="shared" si="324"/>
        <v>177790.71833333335</v>
      </c>
      <c r="AL88" s="309">
        <f t="shared" si="324"/>
        <v>28372.940000000002</v>
      </c>
      <c r="AM88" s="309">
        <f t="shared" si="324"/>
        <v>86708.811666666661</v>
      </c>
      <c r="AN88" s="309">
        <f t="shared" si="324"/>
        <v>194180.20499999999</v>
      </c>
      <c r="AO88" s="309">
        <f t="shared" si="324"/>
        <v>109885.79166666667</v>
      </c>
      <c r="AP88" s="309">
        <f t="shared" si="324"/>
        <v>141923.62166666667</v>
      </c>
      <c r="AQ88" s="309">
        <f t="shared" si="324"/>
        <v>68913.323333333319</v>
      </c>
      <c r="AR88" s="309">
        <f t="shared" si="324"/>
        <v>37255.598333333335</v>
      </c>
      <c r="AS88" s="309">
        <f t="shared" si="324"/>
        <v>1810.58</v>
      </c>
      <c r="AT88" s="309">
        <f t="shared" si="324"/>
        <v>137661.47333333336</v>
      </c>
      <c r="AU88" s="309">
        <f t="shared" si="324"/>
        <v>101993.395</v>
      </c>
      <c r="AV88" s="309">
        <f t="shared" si="324"/>
        <v>206889.35666666669</v>
      </c>
      <c r="AW88" s="309">
        <f t="shared" si="324"/>
        <v>229431.00833333333</v>
      </c>
      <c r="AX88" s="309">
        <f>AVERAGE(AX82:AX87)</f>
        <v>9265.6149999999998</v>
      </c>
      <c r="AY88" s="309">
        <f t="shared" si="324"/>
        <v>0</v>
      </c>
      <c r="AZ88" s="309">
        <f t="shared" si="324"/>
        <v>8576.6666666666661</v>
      </c>
      <c r="BA88" s="309">
        <f t="shared" si="324"/>
        <v>0</v>
      </c>
      <c r="BB88" s="309">
        <f t="shared" si="324"/>
        <v>0</v>
      </c>
      <c r="BC88" s="309">
        <f t="shared" ref="BC88:BI88" si="325">AVERAGE(BC82:BC87)</f>
        <v>8796196.7449999992</v>
      </c>
      <c r="BD88" s="309">
        <f t="shared" si="325"/>
        <v>8846109.3533333316</v>
      </c>
      <c r="BE88" s="309">
        <f t="shared" si="325"/>
        <v>-49912.60833333301</v>
      </c>
      <c r="BF88" s="309">
        <f t="shared" si="325"/>
        <v>363453.74833333329</v>
      </c>
      <c r="BG88" s="309">
        <f t="shared" si="325"/>
        <v>313541.14000000031</v>
      </c>
      <c r="BH88" s="309">
        <f t="shared" si="325"/>
        <v>772.66666666666663</v>
      </c>
      <c r="BI88" s="309">
        <f t="shared" si="325"/>
        <v>7584403.3500000006</v>
      </c>
      <c r="BJ88" s="16" t="s">
        <v>192</v>
      </c>
      <c r="BK88" s="310">
        <f t="shared" ref="BK88:CP88" si="326">AVERAGE(BK82:BK87)</f>
        <v>0.69220193769434102</v>
      </c>
      <c r="BL88" s="311">
        <f t="shared" si="326"/>
        <v>7647.4049369676477</v>
      </c>
      <c r="BM88" s="312">
        <f t="shared" si="326"/>
        <v>0.13264910598831539</v>
      </c>
      <c r="BN88" s="313">
        <f t="shared" si="326"/>
        <v>1513.5173626605163</v>
      </c>
      <c r="BO88" s="310">
        <f t="shared" si="326"/>
        <v>4.2433242004143591E-2</v>
      </c>
      <c r="BP88" s="311">
        <f t="shared" si="326"/>
        <v>528.05996922896691</v>
      </c>
      <c r="BQ88" s="312">
        <f t="shared" si="326"/>
        <v>0</v>
      </c>
      <c r="BR88" s="313">
        <f t="shared" si="326"/>
        <v>0</v>
      </c>
      <c r="BS88" s="310">
        <f t="shared" si="326"/>
        <v>1.8562958581625575E-2</v>
      </c>
      <c r="BT88" s="311">
        <f t="shared" si="326"/>
        <v>192.32552693523567</v>
      </c>
      <c r="BU88" s="312">
        <f t="shared" si="326"/>
        <v>5.6342501429177362E-3</v>
      </c>
      <c r="BV88" s="313">
        <f t="shared" si="326"/>
        <v>71.187942328953639</v>
      </c>
      <c r="BW88" s="310">
        <f t="shared" si="326"/>
        <v>5.1856123218079234E-4</v>
      </c>
      <c r="BX88" s="311">
        <f t="shared" si="326"/>
        <v>6.2982795785627106</v>
      </c>
      <c r="BY88" s="312">
        <f t="shared" si="326"/>
        <v>2.915783712175787E-3</v>
      </c>
      <c r="BZ88" s="314">
        <f t="shared" si="326"/>
        <v>32.299716956531419</v>
      </c>
      <c r="CA88" s="315">
        <f t="shared" si="326"/>
        <v>1.9955885042300801E-2</v>
      </c>
      <c r="CB88" s="316">
        <f t="shared" si="326"/>
        <v>282.53066397145022</v>
      </c>
      <c r="CC88" s="312">
        <f t="shared" si="326"/>
        <v>6.5121837487690515E-2</v>
      </c>
      <c r="CD88" s="317">
        <f t="shared" si="326"/>
        <v>816.61604614556757</v>
      </c>
      <c r="CE88" s="318">
        <f t="shared" si="326"/>
        <v>0.71850295571996969</v>
      </c>
      <c r="CF88" s="315">
        <f t="shared" si="326"/>
        <v>0.61838577064708244</v>
      </c>
      <c r="CG88" s="315">
        <f t="shared" si="326"/>
        <v>0.61305910830891575</v>
      </c>
      <c r="CH88" s="316">
        <f t="shared" si="326"/>
        <v>6958.256273204127</v>
      </c>
      <c r="CI88" s="312">
        <f t="shared" si="326"/>
        <v>0.12319108094786541</v>
      </c>
      <c r="CJ88" s="319">
        <f t="shared" si="326"/>
        <v>0.10615946171935596</v>
      </c>
      <c r="CK88" s="319">
        <f t="shared" si="326"/>
        <v>0.10551695359623771</v>
      </c>
      <c r="CL88" s="320">
        <f t="shared" si="326"/>
        <v>1213.0075359556454</v>
      </c>
      <c r="CM88" s="318">
        <f t="shared" si="326"/>
        <v>1.634957027839562E-2</v>
      </c>
      <c r="CN88" s="315">
        <f t="shared" si="326"/>
        <v>1.4108236578216993E-2</v>
      </c>
      <c r="CO88" s="315">
        <f t="shared" si="326"/>
        <v>1.3987834310232971E-2</v>
      </c>
      <c r="CP88" s="316">
        <f t="shared" si="326"/>
        <v>158.52177940936588</v>
      </c>
      <c r="CQ88" s="312">
        <f t="shared" ref="CQ88:EA88" si="327">AVERAGE(CQ82:CQ87)</f>
        <v>7.0244440971584707E-2</v>
      </c>
      <c r="CR88" s="319">
        <f t="shared" si="327"/>
        <v>6.0654037042570629E-2</v>
      </c>
      <c r="CS88" s="319">
        <f t="shared" si="327"/>
        <v>6.0244620776386558E-2</v>
      </c>
      <c r="CT88" s="317">
        <f t="shared" si="327"/>
        <v>686.868964253846</v>
      </c>
      <c r="CU88" s="318">
        <f t="shared" si="327"/>
        <v>0.92779409820797853</v>
      </c>
      <c r="CV88" s="315">
        <f t="shared" si="327"/>
        <v>0.79855009980695657</v>
      </c>
      <c r="CW88" s="315">
        <f t="shared" si="327"/>
        <v>0.79205857552703007</v>
      </c>
      <c r="CX88" s="316">
        <f t="shared" si="327"/>
        <v>9015.5434091810112</v>
      </c>
      <c r="CY88" s="312">
        <f t="shared" si="327"/>
        <v>1.6579163461535412E-2</v>
      </c>
      <c r="CZ88" s="319">
        <f t="shared" si="327"/>
        <v>1.3959705581997143E-2</v>
      </c>
      <c r="DA88" s="317">
        <f t="shared" si="327"/>
        <v>161.99400271931879</v>
      </c>
      <c r="DB88" s="318">
        <f t="shared" si="327"/>
        <v>1.1929332393603017E-3</v>
      </c>
      <c r="DC88" s="316">
        <f t="shared" si="327"/>
        <v>13.551081802034998</v>
      </c>
      <c r="DD88" s="312">
        <f t="shared" si="327"/>
        <v>2.2150482228672445E-2</v>
      </c>
      <c r="DE88" s="319">
        <f t="shared" si="327"/>
        <v>1.9459954179586063E-2</v>
      </c>
      <c r="DF88" s="317">
        <f t="shared" si="327"/>
        <v>213.20069284440999</v>
      </c>
      <c r="DG88" s="318">
        <f t="shared" si="327"/>
        <v>1.3673102481031721E-2</v>
      </c>
      <c r="DH88" s="315">
        <f t="shared" si="327"/>
        <v>1.1200346467407175E-2</v>
      </c>
      <c r="DI88" s="316">
        <f t="shared" si="327"/>
        <v>131.8113536464233</v>
      </c>
      <c r="DJ88" s="312">
        <f t="shared" si="327"/>
        <v>2.421697541904004E-2</v>
      </c>
      <c r="DK88" s="319">
        <f t="shared" si="327"/>
        <v>2.0935904823661398E-2</v>
      </c>
      <c r="DL88" s="319">
        <f t="shared" si="327"/>
        <v>2.0797903849660706E-2</v>
      </c>
      <c r="DM88" s="317">
        <f t="shared" si="327"/>
        <v>237.99736955981913</v>
      </c>
      <c r="DN88" s="318">
        <f>AVERAGE(DN82:DN87)</f>
        <v>8.94371543238205E-3</v>
      </c>
      <c r="DO88" s="315">
        <f>AVERAGE(DO82:DO87)</f>
        <v>7.754360538906436E-3</v>
      </c>
      <c r="DP88" s="316">
        <f>AVERAGE(DP82:DP87)</f>
        <v>85.059554036003206</v>
      </c>
      <c r="DQ88" s="312">
        <f t="shared" si="327"/>
        <v>2.3394693305028053E-2</v>
      </c>
      <c r="DR88" s="319">
        <f t="shared" si="327"/>
        <v>2.0225001202847408E-2</v>
      </c>
      <c r="DS88" s="317">
        <f t="shared" si="327"/>
        <v>231.8919586235385</v>
      </c>
      <c r="DT88" s="318">
        <f t="shared" si="327"/>
        <v>1.6126485801003319E-2</v>
      </c>
      <c r="DU88" s="316">
        <f t="shared" si="327"/>
        <v>170.33987696061271</v>
      </c>
      <c r="DV88" s="312">
        <f t="shared" ref="DV88:DW88" si="328">AVERAGE(DV82:DV87)</f>
        <v>1.6794847390638429E-2</v>
      </c>
      <c r="DW88" s="317">
        <f t="shared" si="328"/>
        <v>188.33328576933968</v>
      </c>
      <c r="DX88" s="312">
        <f t="shared" si="327"/>
        <v>1.8718289263542423E-5</v>
      </c>
      <c r="DY88" s="319">
        <f t="shared" si="327"/>
        <v>1.7031001553253199E-5</v>
      </c>
      <c r="DZ88" s="319">
        <f t="shared" si="327"/>
        <v>1.6939145871775384E-5</v>
      </c>
      <c r="EA88" s="313">
        <f t="shared" si="327"/>
        <v>0.17580081309983053</v>
      </c>
      <c r="EB88" s="331">
        <f>AVERAGE(EB82:EB87)</f>
        <v>147.5</v>
      </c>
      <c r="EC88" s="309">
        <f>AVERAGE(EC82:EC87)</f>
        <v>25481.666666666668</v>
      </c>
      <c r="ED88" s="309">
        <f>AVERAGE(ED82:ED87)</f>
        <v>0</v>
      </c>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row>
    <row r="89" spans="1:228" ht="15.6" thickTop="1">
      <c r="A89" s="322">
        <v>7010</v>
      </c>
      <c r="B89" s="323">
        <v>10159</v>
      </c>
      <c r="C89" s="322" t="s">
        <v>124</v>
      </c>
      <c r="D89" s="289">
        <f>IFERROR(_xlfn.XLOOKUP($A89,CFR20242025_BenchMarkDataReport!$B:$B,CFR20242025_BenchMarkDataReport!T:T),0)</f>
        <v>1165601.22</v>
      </c>
      <c r="E89" s="289">
        <f>IFERROR(_xlfn.XLOOKUP($A89,CFR20242025_BenchMarkDataReport!$B:$B,CFR20242025_BenchMarkDataReport!U:U),0)</f>
        <v>410000</v>
      </c>
      <c r="F89" s="289">
        <f>IFERROR(_xlfn.XLOOKUP($A89,CFR20242025_BenchMarkDataReport!$B:$B,CFR20242025_BenchMarkDataReport!V:V),0)</f>
        <v>2800622.77</v>
      </c>
      <c r="G89" s="289">
        <f>IFERROR(_xlfn.XLOOKUP($A89,CFR20242025_BenchMarkDataReport!$B:$B,CFR20242025_BenchMarkDataReport!W:W),0)</f>
        <v>0</v>
      </c>
      <c r="H89" s="289">
        <f>IFERROR(_xlfn.XLOOKUP($A89,CFR20242025_BenchMarkDataReport!$B:$B,CFR20242025_BenchMarkDataReport!X:X),0)</f>
        <v>36748</v>
      </c>
      <c r="I89" s="289">
        <f>IFERROR(_xlfn.XLOOKUP($A89,CFR20242025_BenchMarkDataReport!$B:$B,CFR20242025_BenchMarkDataReport!Y:Y),0)</f>
        <v>80679.81</v>
      </c>
      <c r="J89" s="289">
        <f>IFERROR(_xlfn.XLOOKUP($A89,CFR20242025_BenchMarkDataReport!$B:$B,CFR20242025_BenchMarkDataReport!Z:Z),0)</f>
        <v>26651.07</v>
      </c>
      <c r="K89" s="289">
        <f>IFERROR(_xlfn.XLOOKUP($A89,CFR20242025_BenchMarkDataReport!$B:$B,CFR20242025_BenchMarkDataReport!AA:AA),0)</f>
        <v>948.66</v>
      </c>
      <c r="L89" s="289">
        <f>IFERROR(_xlfn.XLOOKUP($A89,CFR20242025_BenchMarkDataReport!$B:$B,CFR20242025_BenchMarkDataReport!AB:AB),0)</f>
        <v>90</v>
      </c>
      <c r="M89" s="289">
        <f>IFERROR(_xlfn.XLOOKUP($A89,CFR20242025_BenchMarkDataReport!$B:$B,CFR20242025_BenchMarkDataReport!AC:AC),0)</f>
        <v>14644.7</v>
      </c>
      <c r="N89" s="289">
        <f>IFERROR(_xlfn.XLOOKUP($A89,CFR20242025_BenchMarkDataReport!$B:$B,CFR20242025_BenchMarkDataReport!AD:AD),0)</f>
        <v>0</v>
      </c>
      <c r="O89" s="289">
        <f>IFERROR(_xlfn.XLOOKUP($A89,CFR20242025_BenchMarkDataReport!$B:$B,CFR20242025_BenchMarkDataReport!AE:AE),0)</f>
        <v>40</v>
      </c>
      <c r="P89" s="289">
        <f>IFERROR(_xlfn.XLOOKUP($A89,CFR20242025_BenchMarkDataReport!$B:$B,CFR20242025_BenchMarkDataReport!AF:AF),0)</f>
        <v>784.4</v>
      </c>
      <c r="Q89" s="289">
        <f>IFERROR(_xlfn.XLOOKUP($A89,CFR20242025_BenchMarkDataReport!$B:$B,CFR20242025_BenchMarkDataReport!AG:AG),0)</f>
        <v>5836.81</v>
      </c>
      <c r="R89" s="289">
        <f>IFERROR(_xlfn.XLOOKUP($A89,CFR20242025_BenchMarkDataReport!$B:$B,CFR20242025_BenchMarkDataReport!AH:AH),0)</f>
        <v>0</v>
      </c>
      <c r="S89" s="289">
        <f>IFERROR(_xlfn.XLOOKUP($A89,CFR20242025_BenchMarkDataReport!$B:$B,CFR20242025_BenchMarkDataReport!AI:AI),0)</f>
        <v>0</v>
      </c>
      <c r="T89" s="289">
        <f>IFERROR(_xlfn.XLOOKUP($A89,CFR20242025_BenchMarkDataReport!$B:$B,CFR20242025_BenchMarkDataReport!AJ:AJ),0)</f>
        <v>0</v>
      </c>
      <c r="U89" s="289">
        <f>INDEX(CFR20242025_BenchMarkDataReport!$B$3:$AM$87,MATCH(A89,CFR20242025_BenchMarkDataReport!$B$3:$B$87),MATCH($U$2,CFR20242025_BenchMarkDataReport!$B$3:$AM$3,0))</f>
        <v>24198.38</v>
      </c>
      <c r="V89" s="289">
        <f>IFERROR(_xlfn.XLOOKUP($A89,CFR20242025_BenchMarkDataReport!$B:$B,CFR20242025_BenchMarkDataReport!AN:AN),0)</f>
        <v>1622628.96</v>
      </c>
      <c r="W89" s="289">
        <f>IFERROR(_xlfn.XLOOKUP($A89,CFR20242025_BenchMarkDataReport!$B:$B,CFR20242025_BenchMarkDataReport!AO:AO),0)</f>
        <v>0</v>
      </c>
      <c r="X89" s="289">
        <f>IFERROR(_xlfn.XLOOKUP($A89,CFR20242025_BenchMarkDataReport!$B:$B,CFR20242025_BenchMarkDataReport!AP:AP),0)</f>
        <v>1900070.68</v>
      </c>
      <c r="Y89" s="289">
        <f>IFERROR(_xlfn.XLOOKUP($A89,CFR20242025_BenchMarkDataReport!$B:$B,CFR20242025_BenchMarkDataReport!AQ:AQ),0)</f>
        <v>97758.32</v>
      </c>
      <c r="Z89" s="289">
        <f>IFERROR(_xlfn.XLOOKUP($A89,CFR20242025_BenchMarkDataReport!$B:$B,CFR20242025_BenchMarkDataReport!AR:AR),0)</f>
        <v>175504.7</v>
      </c>
      <c r="AA89" s="289">
        <f>IFERROR(_xlfn.XLOOKUP($A89,CFR20242025_BenchMarkDataReport!$B:$B,CFR20242025_BenchMarkDataReport!AS:AS),0)</f>
        <v>0</v>
      </c>
      <c r="AB89" s="289">
        <f>IFERROR(_xlfn.XLOOKUP($A89,CFR20242025_BenchMarkDataReport!$B:$B,CFR20242025_BenchMarkDataReport!AT:AT),0)</f>
        <v>78787.98</v>
      </c>
      <c r="AC89" s="289">
        <f>IFERROR(_xlfn.XLOOKUP($A89,CFR20242025_BenchMarkDataReport!$B:$B,CFR20242025_BenchMarkDataReport!AU:AU),0)</f>
        <v>21171.279999999999</v>
      </c>
      <c r="AD89" s="289">
        <f>IFERROR(_xlfn.XLOOKUP($A89,CFR20242025_BenchMarkDataReport!$B:$B,CFR20242025_BenchMarkDataReport!AV:AV),0)</f>
        <v>15296.99</v>
      </c>
      <c r="AE89" s="289">
        <f>IFERROR(_xlfn.XLOOKUP($A89,CFR20242025_BenchMarkDataReport!$B:$B,CFR20242025_BenchMarkDataReport!AW:AW),0)</f>
        <v>0</v>
      </c>
      <c r="AF89" s="289">
        <f>IFERROR(_xlfn.XLOOKUP($A89,CFR20242025_BenchMarkDataReport!$B:$B,CFR20242025_BenchMarkDataReport!AX:AX),0)</f>
        <v>0</v>
      </c>
      <c r="AG89" s="289">
        <f>IFERROR(_xlfn.XLOOKUP($A89,CFR20242025_BenchMarkDataReport!$B:$B,CFR20242025_BenchMarkDataReport!AY:AY),0)</f>
        <v>72708.59</v>
      </c>
      <c r="AH89" s="289">
        <f>IFERROR(_xlfn.XLOOKUP($A89,CFR20242025_BenchMarkDataReport!$B:$B,CFR20242025_BenchMarkDataReport!AZ:AZ),0)</f>
        <v>15600</v>
      </c>
      <c r="AI89" s="289">
        <f>IFERROR(_xlfn.XLOOKUP($A89,CFR20242025_BenchMarkDataReport!$B:$B,CFR20242025_BenchMarkDataReport!BA:BA),0)</f>
        <v>5660.03</v>
      </c>
      <c r="AJ89" s="289">
        <f>IFERROR(_xlfn.XLOOKUP($A89,CFR20242025_BenchMarkDataReport!$B:$B,CFR20242025_BenchMarkDataReport!BB:BB),0)</f>
        <v>6386.84</v>
      </c>
      <c r="AK89" s="289">
        <f>IFERROR(_xlfn.XLOOKUP($A89,CFR20242025_BenchMarkDataReport!$B:$B,CFR20242025_BenchMarkDataReport!BC:BC),0)</f>
        <v>46101.2</v>
      </c>
      <c r="AL89" s="289">
        <f>IFERROR(_xlfn.XLOOKUP($A89,CFR20242025_BenchMarkDataReport!$B:$B,CFR20242025_BenchMarkDataReport!BD:BD),0)</f>
        <v>0</v>
      </c>
      <c r="AM89" s="289">
        <f>IFERROR(_xlfn.XLOOKUP($A89,CFR20242025_BenchMarkDataReport!$B:$B,CFR20242025_BenchMarkDataReport!BE:BE),0)</f>
        <v>21573.11</v>
      </c>
      <c r="AN89" s="289">
        <f>IFERROR(_xlfn.XLOOKUP($A89,CFR20242025_BenchMarkDataReport!$B:$B,CFR20242025_BenchMarkDataReport!BF:BF),0)</f>
        <v>52016.32</v>
      </c>
      <c r="AO89" s="289">
        <f>IFERROR(_xlfn.XLOOKUP($A89,CFR20242025_BenchMarkDataReport!$B:$B,CFR20242025_BenchMarkDataReport!BN:BN),0)</f>
        <v>23438.01</v>
      </c>
      <c r="AP89" s="289">
        <f>IFERROR(_xlfn.XLOOKUP($A89,CFR20242025_BenchMarkDataReport!$B:$B,CFR20242025_BenchMarkDataReport!BO:BO),0)</f>
        <v>1128</v>
      </c>
      <c r="AQ89" s="289">
        <f>IFERROR(_xlfn.XLOOKUP($A89,CFR20242025_BenchMarkDataReport!$B:$B,CFR20242025_BenchMarkDataReport!BP:BP),0)</f>
        <v>6801.54</v>
      </c>
      <c r="AR89" s="289">
        <f>IFERROR(_xlfn.XLOOKUP($A89,CFR20242025_BenchMarkDataReport!$B:$B,CFR20242025_BenchMarkDataReport!BQ:BQ),0)</f>
        <v>9804.94</v>
      </c>
      <c r="AS89" s="289">
        <f>IFERROR(_xlfn.XLOOKUP($A89,CFR20242025_BenchMarkDataReport!$B:$B,CFR20242025_BenchMarkDataReport!BR:BR),0)</f>
        <v>79256.17</v>
      </c>
      <c r="AT89" s="289">
        <f>IFERROR(_xlfn.XLOOKUP($A89,CFR20242025_BenchMarkDataReport!$B:$B,CFR20242025_BenchMarkDataReport!BS:BS),0)</f>
        <v>38066.74</v>
      </c>
      <c r="AU89" s="289">
        <f>IFERROR(_xlfn.XLOOKUP($A89,CFR20242025_BenchMarkDataReport!$B:$B,CFR20242025_BenchMarkDataReport!BT:BT),0)</f>
        <v>48092</v>
      </c>
      <c r="AV89" s="289">
        <f>IFERROR(_xlfn.XLOOKUP($A89,CFR20242025_BenchMarkDataReport!$B:$B,CFR20242025_BenchMarkDataReport!BU:BU),0)</f>
        <v>247694.95</v>
      </c>
      <c r="AW89" s="289">
        <f>IFERROR(_xlfn.XLOOKUP($A89,CFR20242025_BenchMarkDataReport!$B:$B,CFR20242025_BenchMarkDataReport!BV:BV),0)</f>
        <v>44562.79</v>
      </c>
      <c r="AX89" s="289">
        <f>IFERROR(_xlfn.XLOOKUP($A89,CFR20242025_BenchMarkDataReport!$B:$B,CFR20242025_BenchMarkDataReport!BW:BW),0)</f>
        <v>0</v>
      </c>
      <c r="AY89" s="289">
        <f>IFERROR(_xlfn.XLOOKUP($A89,CFR20242025_BenchMarkDataReport!$B:$B,CFR20242025_BenchMarkDataReport!BX:BX),0)</f>
        <v>0</v>
      </c>
      <c r="AZ89" s="289">
        <f>IFERROR(_xlfn.XLOOKUP($A89,CFR20242025_BenchMarkDataReport!$B:$B,CFR20242025_BenchMarkDataReport!BY:BY),0)</f>
        <v>0</v>
      </c>
      <c r="BA89" s="289">
        <f>IFERROR(_xlfn.XLOOKUP($A89,CFR20242025_BenchMarkDataReport!$B:$B,CFR20242025_BenchMarkDataReport!BZ:BZ),0)</f>
        <v>0</v>
      </c>
      <c r="BB89" s="289">
        <f>IFERROR(_xlfn.XLOOKUP($A89,CFR20242025_BenchMarkDataReport!$B:$B,CFR20242025_BenchMarkDataReport!CA:CA),0)</f>
        <v>0</v>
      </c>
      <c r="BC89" s="290">
        <f>SUM(D89:R89)+U89</f>
        <v>4566845.82</v>
      </c>
      <c r="BD89" s="291">
        <f>SUM(V89:AZ89)</f>
        <v>4630110.1399999997</v>
      </c>
      <c r="BE89" s="325">
        <f>BC89-BD89</f>
        <v>-63264.319999999367</v>
      </c>
      <c r="BF89" s="289">
        <f>IFERROR(_xlfn.XLOOKUP(A89,CFR20242025_BenchMarkDataReport!B:B,CFR20242025_BenchMarkDataReport!Q:Q),0)</f>
        <v>440173.32</v>
      </c>
      <c r="BG89" s="290">
        <f>SUM(BE89:BF89)</f>
        <v>376909.00000000064</v>
      </c>
      <c r="BH89" s="292">
        <f>_xlfn.XLOOKUP(A89,'Pupil on roll 24-25'!E:E,'Pupil on roll 24-25'!I:I)</f>
        <v>72</v>
      </c>
      <c r="BI89" s="291">
        <f>D89+E89+F89</f>
        <v>4376223.99</v>
      </c>
      <c r="BJ89" t="s">
        <v>194</v>
      </c>
      <c r="BK89" s="293">
        <f>IFERROR(D89/BC89,0)</f>
        <v>0.2552311301807863</v>
      </c>
      <c r="BL89" s="294">
        <f>D89/BH89</f>
        <v>16188.905833333332</v>
      </c>
      <c r="BM89" s="295">
        <f>E89/BC89</f>
        <v>8.9777499867512489E-2</v>
      </c>
      <c r="BN89" s="296">
        <f>E89/BH89</f>
        <v>5694.4444444444443</v>
      </c>
      <c r="BO89" s="293">
        <f>F89/BC89</f>
        <v>0.61325100088445728</v>
      </c>
      <c r="BP89" s="294">
        <f>F89/BH89</f>
        <v>38897.538472222222</v>
      </c>
      <c r="BQ89" s="295">
        <f>G89/BC89</f>
        <v>0</v>
      </c>
      <c r="BR89" s="296">
        <f>G89/BH89</f>
        <v>0</v>
      </c>
      <c r="BS89" s="293">
        <f>H89/BC89</f>
        <v>8.0466916222715831E-3</v>
      </c>
      <c r="BT89" s="294">
        <f>H89/BH89</f>
        <v>510.38888888888891</v>
      </c>
      <c r="BU89" s="295">
        <f>I89/BC89</f>
        <v>1.7666418613624228E-2</v>
      </c>
      <c r="BV89" s="296">
        <f>I89/BH89</f>
        <v>1120.5529166666665</v>
      </c>
      <c r="BW89" s="293">
        <f>J89/BC89</f>
        <v>5.8357717887660152E-3</v>
      </c>
      <c r="BX89" s="294">
        <f>J89/BH89</f>
        <v>370.15375</v>
      </c>
      <c r="BY89" s="295">
        <f>IFERROR((K89+L89)/BC89,0)</f>
        <v>2.2743487320095245E-4</v>
      </c>
      <c r="BZ89" s="297">
        <f>IFERROR((K89+L89)/BH89,0)</f>
        <v>14.425833333333332</v>
      </c>
      <c r="CA89" s="298">
        <f>P89/BC89</f>
        <v>1.7175968511238244E-4</v>
      </c>
      <c r="CB89" s="299">
        <f>P89/BH89</f>
        <v>10.894444444444444</v>
      </c>
      <c r="CC89" s="295">
        <f>Q89/BC89</f>
        <v>1.2780834365895015E-3</v>
      </c>
      <c r="CD89" s="296">
        <f>Q89/BH89</f>
        <v>81.066805555555561</v>
      </c>
      <c r="CE89" s="300">
        <f>(V89+W89+AU89)/BI89</f>
        <v>0.38177226847111173</v>
      </c>
      <c r="CF89" s="298">
        <f>(V89+W89+AU89)/BC89</f>
        <v>0.36583695308548864</v>
      </c>
      <c r="CG89" s="298">
        <f>(V89+W89+AU89)/BD89</f>
        <v>0.36083827586874639</v>
      </c>
      <c r="CH89" s="299">
        <f>(V89+W89+AU89)/BH89</f>
        <v>23204.457777777778</v>
      </c>
      <c r="CI89" s="295">
        <f>X89/BI89</f>
        <v>0.43418039943609005</v>
      </c>
      <c r="CJ89" s="301">
        <f>X89/BC89</f>
        <v>0.41605754932186428</v>
      </c>
      <c r="CK89" s="301">
        <f>X89/BD89</f>
        <v>0.41037267420165519</v>
      </c>
      <c r="CL89" s="302">
        <f t="shared" ref="CL89:CM91" si="329">X89/BH89</f>
        <v>26389.870555555553</v>
      </c>
      <c r="CM89" s="300">
        <f t="shared" si="329"/>
        <v>2.2338509231562435E-2</v>
      </c>
      <c r="CN89" s="298">
        <f>Y89/BC89</f>
        <v>2.1406091611824985E-2</v>
      </c>
      <c r="CO89" s="298">
        <f>Y89/BD89</f>
        <v>2.1113605733793627E-2</v>
      </c>
      <c r="CP89" s="299">
        <f t="shared" ref="CP89:CQ91" si="330">Y89/BH89</f>
        <v>1357.7544444444445</v>
      </c>
      <c r="CQ89" s="295">
        <f t="shared" si="330"/>
        <v>4.0104140099099454E-2</v>
      </c>
      <c r="CR89" s="301">
        <f>Z89/BC89</f>
        <v>3.8430178490238588E-2</v>
      </c>
      <c r="CS89" s="301">
        <f>Z89/BD89</f>
        <v>3.7905081022543453E-2</v>
      </c>
      <c r="CT89" s="296">
        <f>Z89/BH89</f>
        <v>2437.5652777777777</v>
      </c>
      <c r="CU89" s="300">
        <f>(V89+W89+X89+Y89+Z89+AA89+AB89)/BI89</f>
        <v>0.88540957886390081</v>
      </c>
      <c r="CV89" s="298">
        <f>(V89+W89+X89+Y89+Z89+AA89+AB89)/BC89</f>
        <v>0.8484522562664486</v>
      </c>
      <c r="CW89" s="298">
        <f>(V89+W89+X89+Y89+Z89+AA89+AB89)/BD89</f>
        <v>0.83685928041443958</v>
      </c>
      <c r="CX89" s="299">
        <f>(V89+W89+X89+Y89+Z89+AA89+AB89)/BH89</f>
        <v>53815.981111111105</v>
      </c>
      <c r="CY89" s="295">
        <f>AG89/BI89</f>
        <v>1.6614458073020158E-2</v>
      </c>
      <c r="CZ89" s="301">
        <f>AG89/BD89</f>
        <v>1.5703425577690468E-2</v>
      </c>
      <c r="DA89" s="296">
        <f>AG89/BH89</f>
        <v>1009.8415277777777</v>
      </c>
      <c r="DB89" s="300">
        <f>AJ89/BD89</f>
        <v>1.3794142702618303E-3</v>
      </c>
      <c r="DC89" s="299">
        <f t="shared" ref="DC89:DD91" si="331">AJ89/BH89</f>
        <v>88.706111111111113</v>
      </c>
      <c r="DD89" s="295">
        <f t="shared" si="331"/>
        <v>1.0534469923236263E-2</v>
      </c>
      <c r="DE89" s="301">
        <f>AK89/BD89</f>
        <v>9.9568257786627947E-3</v>
      </c>
      <c r="DF89" s="296">
        <f>AK89/BH89</f>
        <v>640.29444444444437</v>
      </c>
      <c r="DG89" s="300">
        <f>AM89/BI89</f>
        <v>4.9296174165893185E-3</v>
      </c>
      <c r="DH89" s="298">
        <f>AM89/BD89</f>
        <v>4.6593081692868762E-3</v>
      </c>
      <c r="DI89" s="303">
        <f t="shared" ref="DI89:DJ91" si="332">AM89/BH89</f>
        <v>299.62652777777777</v>
      </c>
      <c r="DJ89" s="295">
        <f t="shared" si="332"/>
        <v>1.1886119202047516E-2</v>
      </c>
      <c r="DK89" s="301">
        <f>AN89/BC89</f>
        <v>1.1389988199776798E-2</v>
      </c>
      <c r="DL89" s="301">
        <f>AN89/BD89</f>
        <v>1.1234359103172437E-2</v>
      </c>
      <c r="DM89" s="296">
        <f>AN89/BH89</f>
        <v>722.44888888888886</v>
      </c>
      <c r="DN89" s="300">
        <f>AQ89/BI89</f>
        <v>1.5542028962735976E-3</v>
      </c>
      <c r="DO89" s="298">
        <f>IFERROR(AQ89/BD89,0)</f>
        <v>1.4689801741951652E-3</v>
      </c>
      <c r="DP89" s="299">
        <f>AQ89/BH89</f>
        <v>94.465833333333336</v>
      </c>
      <c r="DQ89" s="295">
        <f>IFERROR(AV89/BI89,0)</f>
        <v>5.6600153594971725E-2</v>
      </c>
      <c r="DR89" s="301">
        <f>IFERROR(AV89/BD89,0)</f>
        <v>5.3496556779532682E-2</v>
      </c>
      <c r="DS89" s="296">
        <f>AV89/BH89</f>
        <v>3440.2076388888891</v>
      </c>
      <c r="DT89" s="300">
        <f>AT89/BD89</f>
        <v>8.2215625220526615E-3</v>
      </c>
      <c r="DU89" s="299">
        <f>AT89/BH89</f>
        <v>528.70472222222224</v>
      </c>
      <c r="DV89" s="295">
        <f t="shared" si="178"/>
        <v>1.2224396027002502E-3</v>
      </c>
      <c r="DW89" s="296">
        <f t="shared" si="179"/>
        <v>78.611527777777781</v>
      </c>
      <c r="DX89" s="295">
        <f>EB89/BI89</f>
        <v>7.9977624728481952E-6</v>
      </c>
      <c r="DY89" s="301">
        <f>EB89/BC89</f>
        <v>7.6639329155193596E-6</v>
      </c>
      <c r="DZ89" s="301">
        <f>EB89/BD89</f>
        <v>7.5592154272165979E-6</v>
      </c>
      <c r="EA89" s="296">
        <f>EB89/BH89</f>
        <v>0.4861111111111111</v>
      </c>
      <c r="EB89" s="304">
        <f>IFERROR(_xlfn.XLOOKUP(A89,'Pupil on roll 24-25'!E:E,'Pupil on roll 24-25'!R:R),0)</f>
        <v>35</v>
      </c>
      <c r="EC89" s="289">
        <f>IFERROR(_xlfn.XLOOKUP(A89,CFR20242025_BenchMarkDataReport!B:B,CFR20242025_BenchMarkDataReport!AK:AK),0)</f>
        <v>24198.38</v>
      </c>
      <c r="ED89" s="289">
        <f>IFERROR(_xlfn.XLOOKUP(A89,CFR20242025_BenchMarkDataReport!B:B,CFR20242025_BenchMarkDataReport!AL:AL),0)</f>
        <v>0</v>
      </c>
    </row>
    <row r="90" spans="1:228">
      <c r="A90" s="322">
        <v>7005</v>
      </c>
      <c r="B90" s="323">
        <v>10157</v>
      </c>
      <c r="C90" s="322" t="s">
        <v>125</v>
      </c>
      <c r="D90" s="289">
        <f>IFERROR(_xlfn.XLOOKUP($A90,CFR20242025_BenchMarkDataReport!$B:$B,CFR20242025_BenchMarkDataReport!T:T),0)</f>
        <v>2150584.7400000002</v>
      </c>
      <c r="E90" s="289">
        <f>IFERROR(_xlfn.XLOOKUP($A90,CFR20242025_BenchMarkDataReport!$B:$B,CFR20242025_BenchMarkDataReport!U:U),0)</f>
        <v>0</v>
      </c>
      <c r="F90" s="289">
        <f>IFERROR(_xlfn.XLOOKUP($A90,CFR20242025_BenchMarkDataReport!$B:$B,CFR20242025_BenchMarkDataReport!V:V),0)</f>
        <v>2372115.2799999998</v>
      </c>
      <c r="G90" s="289">
        <f>IFERROR(_xlfn.XLOOKUP($A90,CFR20242025_BenchMarkDataReport!$B:$B,CFR20242025_BenchMarkDataReport!W:W),0)</f>
        <v>0</v>
      </c>
      <c r="H90" s="289">
        <f>IFERROR(_xlfn.XLOOKUP($A90,CFR20242025_BenchMarkDataReport!$B:$B,CFR20242025_BenchMarkDataReport!X:X),0)</f>
        <v>89800</v>
      </c>
      <c r="I90" s="289">
        <f>IFERROR(_xlfn.XLOOKUP($A90,CFR20242025_BenchMarkDataReport!$B:$B,CFR20242025_BenchMarkDataReport!Y:Y),0)</f>
        <v>200</v>
      </c>
      <c r="J90" s="289">
        <f>IFERROR(_xlfn.XLOOKUP($A90,CFR20242025_BenchMarkDataReport!$B:$B,CFR20242025_BenchMarkDataReport!Z:Z),0)</f>
        <v>23425.38</v>
      </c>
      <c r="K90" s="289">
        <f>IFERROR(_xlfn.XLOOKUP($A90,CFR20242025_BenchMarkDataReport!$B:$B,CFR20242025_BenchMarkDataReport!AA:AA),0)</f>
        <v>37950.589999999997</v>
      </c>
      <c r="L90" s="289">
        <f>IFERROR(_xlfn.XLOOKUP($A90,CFR20242025_BenchMarkDataReport!$B:$B,CFR20242025_BenchMarkDataReport!AB:AB),0)</f>
        <v>0</v>
      </c>
      <c r="M90" s="289">
        <f>IFERROR(_xlfn.XLOOKUP($A90,CFR20242025_BenchMarkDataReport!$B:$B,CFR20242025_BenchMarkDataReport!AC:AC),0)</f>
        <v>161.34</v>
      </c>
      <c r="N90" s="289">
        <f>IFERROR(_xlfn.XLOOKUP($A90,CFR20242025_BenchMarkDataReport!$B:$B,CFR20242025_BenchMarkDataReport!AD:AD),0)</f>
        <v>0</v>
      </c>
      <c r="O90" s="289">
        <f>IFERROR(_xlfn.XLOOKUP($A90,CFR20242025_BenchMarkDataReport!$B:$B,CFR20242025_BenchMarkDataReport!AE:AE),0)</f>
        <v>0</v>
      </c>
      <c r="P90" s="289">
        <f>IFERROR(_xlfn.XLOOKUP($A90,CFR20242025_BenchMarkDataReport!$B:$B,CFR20242025_BenchMarkDataReport!AF:AF),0)</f>
        <v>329</v>
      </c>
      <c r="Q90" s="289">
        <f>IFERROR(_xlfn.XLOOKUP($A90,CFR20242025_BenchMarkDataReport!$B:$B,CFR20242025_BenchMarkDataReport!AG:AG),0)</f>
        <v>3117.65</v>
      </c>
      <c r="R90" s="289">
        <f>IFERROR(_xlfn.XLOOKUP($A90,CFR20242025_BenchMarkDataReport!$B:$B,CFR20242025_BenchMarkDataReport!AH:AH),0)</f>
        <v>0</v>
      </c>
      <c r="S90" s="289">
        <f>IFERROR(_xlfn.XLOOKUP($A90,CFR20242025_BenchMarkDataReport!$B:$B,CFR20242025_BenchMarkDataReport!AI:AI),0)</f>
        <v>0</v>
      </c>
      <c r="T90" s="289">
        <f>IFERROR(_xlfn.XLOOKUP($A90,CFR20242025_BenchMarkDataReport!$B:$B,CFR20242025_BenchMarkDataReport!AJ:AJ),0)</f>
        <v>0</v>
      </c>
      <c r="U90" s="289">
        <f>INDEX(CFR20242025_BenchMarkDataReport!$B$3:$AM$87,MATCH(A90,CFR20242025_BenchMarkDataReport!$B$3:$B$87),MATCH($U$2,CFR20242025_BenchMarkDataReport!$B$3:$AM$3,0))</f>
        <v>48884.94</v>
      </c>
      <c r="V90" s="289">
        <f>IFERROR(_xlfn.XLOOKUP($A90,CFR20242025_BenchMarkDataReport!$B:$B,CFR20242025_BenchMarkDataReport!AN:AN),0)</f>
        <v>1497740.22</v>
      </c>
      <c r="W90" s="289">
        <f>IFERROR(_xlfn.XLOOKUP($A90,CFR20242025_BenchMarkDataReport!$B:$B,CFR20242025_BenchMarkDataReport!AO:AO),0)</f>
        <v>0</v>
      </c>
      <c r="X90" s="289">
        <f>IFERROR(_xlfn.XLOOKUP($A90,CFR20242025_BenchMarkDataReport!$B:$B,CFR20242025_BenchMarkDataReport!AP:AP),0)</f>
        <v>1439402.33</v>
      </c>
      <c r="Y90" s="289">
        <f>IFERROR(_xlfn.XLOOKUP($A90,CFR20242025_BenchMarkDataReport!$B:$B,CFR20242025_BenchMarkDataReport!AQ:AQ),0)</f>
        <v>59519.41</v>
      </c>
      <c r="Z90" s="289">
        <f>IFERROR(_xlfn.XLOOKUP($A90,CFR20242025_BenchMarkDataReport!$B:$B,CFR20242025_BenchMarkDataReport!AR:AR),0)</f>
        <v>225716.24</v>
      </c>
      <c r="AA90" s="289">
        <f>IFERROR(_xlfn.XLOOKUP($A90,CFR20242025_BenchMarkDataReport!$B:$B,CFR20242025_BenchMarkDataReport!AS:AS),0)</f>
        <v>0</v>
      </c>
      <c r="AB90" s="289">
        <f>IFERROR(_xlfn.XLOOKUP($A90,CFR20242025_BenchMarkDataReport!$B:$B,CFR20242025_BenchMarkDataReport!AT:AT),0)</f>
        <v>18468.25</v>
      </c>
      <c r="AC90" s="289">
        <f>IFERROR(_xlfn.XLOOKUP($A90,CFR20242025_BenchMarkDataReport!$B:$B,CFR20242025_BenchMarkDataReport!AU:AU),0)</f>
        <v>28780.63</v>
      </c>
      <c r="AD90" s="289">
        <f>IFERROR(_xlfn.XLOOKUP($A90,CFR20242025_BenchMarkDataReport!$B:$B,CFR20242025_BenchMarkDataReport!AV:AV),0)</f>
        <v>20143.91</v>
      </c>
      <c r="AE90" s="289">
        <f>IFERROR(_xlfn.XLOOKUP($A90,CFR20242025_BenchMarkDataReport!$B:$B,CFR20242025_BenchMarkDataReport!AW:AW),0)</f>
        <v>0</v>
      </c>
      <c r="AF90" s="289">
        <f>IFERROR(_xlfn.XLOOKUP($A90,CFR20242025_BenchMarkDataReport!$B:$B,CFR20242025_BenchMarkDataReport!AX:AX),0)</f>
        <v>0</v>
      </c>
      <c r="AG90" s="289">
        <f>IFERROR(_xlfn.XLOOKUP($A90,CFR20242025_BenchMarkDataReport!$B:$B,CFR20242025_BenchMarkDataReport!AY:AY),0)</f>
        <v>37645.58</v>
      </c>
      <c r="AH90" s="289">
        <f>IFERROR(_xlfn.XLOOKUP($A90,CFR20242025_BenchMarkDataReport!$B:$B,CFR20242025_BenchMarkDataReport!AZ:AZ),0)</f>
        <v>4874.71</v>
      </c>
      <c r="AI90" s="289">
        <f>IFERROR(_xlfn.XLOOKUP($A90,CFR20242025_BenchMarkDataReport!$B:$B,CFR20242025_BenchMarkDataReport!BA:BA),0)</f>
        <v>72714.48</v>
      </c>
      <c r="AJ90" s="289">
        <f>IFERROR(_xlfn.XLOOKUP($A90,CFR20242025_BenchMarkDataReport!$B:$B,CFR20242025_BenchMarkDataReport!BB:BB),0)</f>
        <v>12047.73</v>
      </c>
      <c r="AK90" s="289">
        <f>IFERROR(_xlfn.XLOOKUP($A90,CFR20242025_BenchMarkDataReport!$B:$B,CFR20242025_BenchMarkDataReport!BC:BC),0)</f>
        <v>114658.34</v>
      </c>
      <c r="AL90" s="289">
        <f>IFERROR(_xlfn.XLOOKUP($A90,CFR20242025_BenchMarkDataReport!$B:$B,CFR20242025_BenchMarkDataReport!BD:BD),0)</f>
        <v>0</v>
      </c>
      <c r="AM90" s="289">
        <f>IFERROR(_xlfn.XLOOKUP($A90,CFR20242025_BenchMarkDataReport!$B:$B,CFR20242025_BenchMarkDataReport!BE:BE),0)</f>
        <v>18510.27</v>
      </c>
      <c r="AN90" s="289">
        <f>IFERROR(_xlfn.XLOOKUP($A90,CFR20242025_BenchMarkDataReport!$B:$B,CFR20242025_BenchMarkDataReport!BF:BF),0)</f>
        <v>61244.41</v>
      </c>
      <c r="AO90" s="289">
        <f>IFERROR(_xlfn.XLOOKUP($A90,CFR20242025_BenchMarkDataReport!$B:$B,CFR20242025_BenchMarkDataReport!BN:BN),0)</f>
        <v>54555.44</v>
      </c>
      <c r="AP90" s="289">
        <f>IFERROR(_xlfn.XLOOKUP($A90,CFR20242025_BenchMarkDataReport!$B:$B,CFR20242025_BenchMarkDataReport!BO:BO),0)</f>
        <v>0</v>
      </c>
      <c r="AQ90" s="289">
        <f>IFERROR(_xlfn.XLOOKUP($A90,CFR20242025_BenchMarkDataReport!$B:$B,CFR20242025_BenchMarkDataReport!BP:BP),0)</f>
        <v>1626.99</v>
      </c>
      <c r="AR90" s="289">
        <f>IFERROR(_xlfn.XLOOKUP($A90,CFR20242025_BenchMarkDataReport!$B:$B,CFR20242025_BenchMarkDataReport!BQ:BQ),0)</f>
        <v>8240</v>
      </c>
      <c r="AS90" s="289">
        <f>IFERROR(_xlfn.XLOOKUP($A90,CFR20242025_BenchMarkDataReport!$B:$B,CFR20242025_BenchMarkDataReport!BR:BR),0)</f>
        <v>3387.65</v>
      </c>
      <c r="AT90" s="289">
        <f>IFERROR(_xlfn.XLOOKUP($A90,CFR20242025_BenchMarkDataReport!$B:$B,CFR20242025_BenchMarkDataReport!BS:BS),0)</f>
        <v>65814.69</v>
      </c>
      <c r="AU90" s="289">
        <f>IFERROR(_xlfn.XLOOKUP($A90,CFR20242025_BenchMarkDataReport!$B:$B,CFR20242025_BenchMarkDataReport!BT:BT),0)</f>
        <v>12879.33</v>
      </c>
      <c r="AV90" s="289">
        <f>IFERROR(_xlfn.XLOOKUP($A90,CFR20242025_BenchMarkDataReport!$B:$B,CFR20242025_BenchMarkDataReport!BU:BU),0)</f>
        <v>911762.08</v>
      </c>
      <c r="AW90" s="289">
        <f>IFERROR(_xlfn.XLOOKUP($A90,CFR20242025_BenchMarkDataReport!$B:$B,CFR20242025_BenchMarkDataReport!BV:BV),0)</f>
        <v>39734</v>
      </c>
      <c r="AX90" s="289">
        <f>IFERROR(_xlfn.XLOOKUP($A90,CFR20242025_BenchMarkDataReport!$B:$B,CFR20242025_BenchMarkDataReport!BW:BW),0)</f>
        <v>0</v>
      </c>
      <c r="AY90" s="289">
        <f>IFERROR(_xlfn.XLOOKUP($A90,CFR20242025_BenchMarkDataReport!$B:$B,CFR20242025_BenchMarkDataReport!BX:BX),0)</f>
        <v>0</v>
      </c>
      <c r="AZ90" s="289">
        <f>IFERROR(_xlfn.XLOOKUP($A90,CFR20242025_BenchMarkDataReport!$B:$B,CFR20242025_BenchMarkDataReport!BY:BY),0)</f>
        <v>0</v>
      </c>
      <c r="BA90" s="289">
        <f>IFERROR(_xlfn.XLOOKUP($A90,CFR20242025_BenchMarkDataReport!$B:$B,CFR20242025_BenchMarkDataReport!BZ:BZ),0)</f>
        <v>0</v>
      </c>
      <c r="BB90" s="289">
        <f>IFERROR(_xlfn.XLOOKUP($A90,CFR20242025_BenchMarkDataReport!$B:$B,CFR20242025_BenchMarkDataReport!CA:CA),0)</f>
        <v>0</v>
      </c>
      <c r="BC90" s="290">
        <f>SUM(D90:R90)+U90</f>
        <v>4726568.92</v>
      </c>
      <c r="BD90" s="291">
        <f>SUM(V90:AZ90)</f>
        <v>4709466.6900000004</v>
      </c>
      <c r="BE90" s="325">
        <f>BC90-BD90</f>
        <v>17102.229999999516</v>
      </c>
      <c r="BF90" s="289">
        <f>IFERROR(_xlfn.XLOOKUP(A90,CFR20242025_BenchMarkDataReport!B:B,CFR20242025_BenchMarkDataReport!Q:Q),0)</f>
        <v>94261.32</v>
      </c>
      <c r="BG90" s="290">
        <f t="shared" si="177"/>
        <v>111363.54999999952</v>
      </c>
      <c r="BH90" s="292">
        <f>_xlfn.XLOOKUP(A90,'Pupil on roll 24-25'!E:E,'Pupil on roll 24-25'!I:I)</f>
        <v>156</v>
      </c>
      <c r="BI90" s="291">
        <f t="shared" si="174"/>
        <v>4522700.0199999996</v>
      </c>
      <c r="BJ90" t="s">
        <v>194</v>
      </c>
      <c r="BK90" s="293">
        <f>IFERROR(D90/BC90,0)</f>
        <v>0.45499912862796049</v>
      </c>
      <c r="BL90" s="294">
        <f>D90/BH90</f>
        <v>13785.799615384616</v>
      </c>
      <c r="BM90" s="295">
        <f>E90/BC90</f>
        <v>0</v>
      </c>
      <c r="BN90" s="296">
        <f>E90/BH90</f>
        <v>0</v>
      </c>
      <c r="BO90" s="293">
        <f>F90/BC90</f>
        <v>0.50186833623913385</v>
      </c>
      <c r="BP90" s="294">
        <f>F90/BH90</f>
        <v>15205.867179487179</v>
      </c>
      <c r="BQ90" s="295">
        <f>G90/BC90</f>
        <v>0</v>
      </c>
      <c r="BR90" s="296">
        <f>G90/BH90</f>
        <v>0</v>
      </c>
      <c r="BS90" s="293">
        <f>H90/BC90</f>
        <v>1.8998982458506074E-2</v>
      </c>
      <c r="BT90" s="294">
        <f>H90/BH90</f>
        <v>575.64102564102564</v>
      </c>
      <c r="BU90" s="295">
        <f>I90/BC90</f>
        <v>4.2313992112485691E-5</v>
      </c>
      <c r="BV90" s="296">
        <f>I90/BH90</f>
        <v>1.2820512820512822</v>
      </c>
      <c r="BW90" s="293">
        <f>J90/BC90</f>
        <v>4.9561067227599006E-3</v>
      </c>
      <c r="BX90" s="294">
        <f>J90/BH90</f>
        <v>150.16269230769231</v>
      </c>
      <c r="BY90" s="295">
        <f>IFERROR((K90+L90)/BC90,0)</f>
        <v>8.0292048296208909E-3</v>
      </c>
      <c r="BZ90" s="297">
        <f>IFERROR((K90+L90)/BH90,0)</f>
        <v>243.2730128205128</v>
      </c>
      <c r="CA90" s="298">
        <f>P90/BC90</f>
        <v>6.9606517025038963E-5</v>
      </c>
      <c r="CB90" s="299">
        <f>P90/BH90</f>
        <v>2.108974358974359</v>
      </c>
      <c r="CC90" s="295">
        <f>Q90/BC90</f>
        <v>6.5960108754745507E-4</v>
      </c>
      <c r="CD90" s="296">
        <f>Q90/BH90</f>
        <v>19.984935897435896</v>
      </c>
      <c r="CE90" s="300">
        <f>(V90+W90+AU90)/BI90</f>
        <v>0.33400834530696999</v>
      </c>
      <c r="CF90" s="298">
        <f>(V90+W90+AU90)/BC90</f>
        <v>0.31960171861833342</v>
      </c>
      <c r="CG90" s="298">
        <f>(V90+W90+AU90)/BD90</f>
        <v>0.32076233880316496</v>
      </c>
      <c r="CH90" s="299">
        <f>(V90+W90+AU90)/BH90</f>
        <v>9683.4586538461535</v>
      </c>
      <c r="CI90" s="295">
        <f>X90/BI90</f>
        <v>0.31826172941711051</v>
      </c>
      <c r="CJ90" s="301">
        <f>X90/BC90</f>
        <v>0.30453429419156763</v>
      </c>
      <c r="CK90" s="301">
        <f>X90/BD90</f>
        <v>0.30564019765898376</v>
      </c>
      <c r="CL90" s="302">
        <f t="shared" si="329"/>
        <v>9226.9380128205139</v>
      </c>
      <c r="CM90" s="300">
        <f t="shared" si="329"/>
        <v>1.3160149852255734E-2</v>
      </c>
      <c r="CN90" s="298">
        <f>Y90/BC90</f>
        <v>1.2592519226399011E-2</v>
      </c>
      <c r="CO90" s="298">
        <f>Y90/BD90</f>
        <v>1.2638248429781335E-2</v>
      </c>
      <c r="CP90" s="299">
        <f t="shared" si="330"/>
        <v>381.53467948717952</v>
      </c>
      <c r="CQ90" s="295">
        <f t="shared" si="330"/>
        <v>4.9907409070212891E-2</v>
      </c>
      <c r="CR90" s="301">
        <f>Z90/BC90</f>
        <v>4.7754775995099634E-2</v>
      </c>
      <c r="CS90" s="301">
        <f>Z90/BD90</f>
        <v>4.7928195453485617E-2</v>
      </c>
      <c r="CT90" s="296">
        <f>Z90/BH90</f>
        <v>1446.8989743589743</v>
      </c>
      <c r="CU90" s="300">
        <f>(V90+W90+X90+Y90+Z90+AA90+AB90)/BI90</f>
        <v>0.7165733821983622</v>
      </c>
      <c r="CV90" s="298">
        <f>(V90+W90+X90+Y90+Z90+AA90+AB90)/BC90</f>
        <v>0.68566575561538623</v>
      </c>
      <c r="CW90" s="298">
        <f>(V90+W90+X90+Y90+Z90+AA90+AB90)/BD90</f>
        <v>0.68815572193801844</v>
      </c>
      <c r="CX90" s="299">
        <f>(V90+W90+X90+Y90+Z90+AA90+AB90)/BH90</f>
        <v>20774.656730769231</v>
      </c>
      <c r="CY90" s="295">
        <f>AG90/BI90</f>
        <v>8.3236959854790463E-3</v>
      </c>
      <c r="CZ90" s="301">
        <f>AG90/BD90</f>
        <v>7.9935972537901103E-3</v>
      </c>
      <c r="DA90" s="296">
        <f>AG90/BH90</f>
        <v>241.31782051282053</v>
      </c>
      <c r="DB90" s="300">
        <f>AJ90/BD90</f>
        <v>2.5581941211266957E-3</v>
      </c>
      <c r="DC90" s="299">
        <f t="shared" si="331"/>
        <v>77.229038461538465</v>
      </c>
      <c r="DD90" s="295">
        <f t="shared" si="331"/>
        <v>2.5351745526558271E-2</v>
      </c>
      <c r="DE90" s="301">
        <f>AK90/BD90</f>
        <v>2.4346353323501262E-2</v>
      </c>
      <c r="DF90" s="296">
        <f>AK90/BH90</f>
        <v>734.98935897435899</v>
      </c>
      <c r="DG90" s="300">
        <f>AM90/BI90</f>
        <v>4.0927476768622831E-3</v>
      </c>
      <c r="DH90" s="298">
        <f>AM90/BD90</f>
        <v>3.9304386713901992E-3</v>
      </c>
      <c r="DI90" s="303">
        <f t="shared" si="332"/>
        <v>118.65557692307692</v>
      </c>
      <c r="DJ90" s="295">
        <f t="shared" si="332"/>
        <v>1.354155918570076E-2</v>
      </c>
      <c r="DK90" s="301">
        <f>AN90/BC90</f>
        <v>1.29574774083692E-2</v>
      </c>
      <c r="DL90" s="301">
        <f>AN90/BD90</f>
        <v>1.3004531942023355E-2</v>
      </c>
      <c r="DM90" s="296">
        <f>AN90/BH90</f>
        <v>392.59237179487184</v>
      </c>
      <c r="DN90" s="300">
        <f>AQ90/BI90</f>
        <v>3.5973865009954832E-4</v>
      </c>
      <c r="DO90" s="298">
        <f>IFERROR(AQ90/BD90,0)</f>
        <v>3.4547223859863417E-4</v>
      </c>
      <c r="DP90" s="299">
        <f>AQ90/BH90</f>
        <v>10.429423076923078</v>
      </c>
      <c r="DQ90" s="295">
        <f>IFERROR(AV90/BI90,0)</f>
        <v>0.2015968505468112</v>
      </c>
      <c r="DR90" s="301">
        <f>IFERROR(AV90/BD90,0)</f>
        <v>0.1936019808646316</v>
      </c>
      <c r="DS90" s="296">
        <f>AV90/BH90</f>
        <v>5844.6287179487181</v>
      </c>
      <c r="DT90" s="300">
        <f>AT90/BD90</f>
        <v>1.3974977281344779E-2</v>
      </c>
      <c r="DU90" s="299">
        <f>AT90/BH90</f>
        <v>421.88903846153846</v>
      </c>
      <c r="DV90" s="295">
        <f t="shared" si="178"/>
        <v>1.5440066739276585E-2</v>
      </c>
      <c r="DW90" s="296">
        <f t="shared" si="179"/>
        <v>466.11846153846153</v>
      </c>
      <c r="DX90" s="295">
        <f>EB90/BI90</f>
        <v>1.3929732177992209E-5</v>
      </c>
      <c r="DY90" s="301">
        <f>EB90/BC90</f>
        <v>1.3328907515432992E-5</v>
      </c>
      <c r="DZ90" s="301">
        <f>EB90/BD90</f>
        <v>1.3377310881882465E-5</v>
      </c>
      <c r="EA90" s="296">
        <f>EB90/BH90</f>
        <v>0.40384615384615385</v>
      </c>
      <c r="EB90" s="304">
        <f>IFERROR(_xlfn.XLOOKUP(A90,'Pupil on roll 24-25'!E:E,'Pupil on roll 24-25'!R:R),0)</f>
        <v>63</v>
      </c>
      <c r="EC90" s="289">
        <f>IFERROR(_xlfn.XLOOKUP(A90,CFR20242025_BenchMarkDataReport!B:B,CFR20242025_BenchMarkDataReport!AK:AK),0)</f>
        <v>17982.939999999999</v>
      </c>
      <c r="ED90" s="289">
        <f>IFERROR(_xlfn.XLOOKUP(A90,CFR20242025_BenchMarkDataReport!B:B,CFR20242025_BenchMarkDataReport!AL:AL),0)</f>
        <v>30902</v>
      </c>
    </row>
    <row r="91" spans="1:228">
      <c r="A91" s="322">
        <v>7009</v>
      </c>
      <c r="B91" s="323">
        <v>10158</v>
      </c>
      <c r="C91" s="322" t="s">
        <v>127</v>
      </c>
      <c r="D91" s="289">
        <f>IFERROR(_xlfn.XLOOKUP($A91,CFR20242025_BenchMarkDataReport!$B:$B,CFR20242025_BenchMarkDataReport!T:T),0)</f>
        <v>1907021.37</v>
      </c>
      <c r="E91" s="289">
        <f>IFERROR(_xlfn.XLOOKUP($A91,CFR20242025_BenchMarkDataReport!$B:$B,CFR20242025_BenchMarkDataReport!U:U),0)</f>
        <v>0</v>
      </c>
      <c r="F91" s="289">
        <f>IFERROR(_xlfn.XLOOKUP($A91,CFR20242025_BenchMarkDataReport!$B:$B,CFR20242025_BenchMarkDataReport!V:V),0)</f>
        <v>3021243.33</v>
      </c>
      <c r="G91" s="289">
        <f>IFERROR(_xlfn.XLOOKUP($A91,CFR20242025_BenchMarkDataReport!$B:$B,CFR20242025_BenchMarkDataReport!W:W),0)</f>
        <v>0</v>
      </c>
      <c r="H91" s="289">
        <f>IFERROR(_xlfn.XLOOKUP($A91,CFR20242025_BenchMarkDataReport!$B:$B,CFR20242025_BenchMarkDataReport!X:X),0)</f>
        <v>104890.58</v>
      </c>
      <c r="I91" s="289">
        <f>IFERROR(_xlfn.XLOOKUP($A91,CFR20242025_BenchMarkDataReport!$B:$B,CFR20242025_BenchMarkDataReport!Y:Y),0)</f>
        <v>1200</v>
      </c>
      <c r="J91" s="289">
        <f>IFERROR(_xlfn.XLOOKUP($A91,CFR20242025_BenchMarkDataReport!$B:$B,CFR20242025_BenchMarkDataReport!Z:Z),0)</f>
        <v>27078.080000000002</v>
      </c>
      <c r="K91" s="289">
        <f>IFERROR(_xlfn.XLOOKUP($A91,CFR20242025_BenchMarkDataReport!$B:$B,CFR20242025_BenchMarkDataReport!AA:AA),0)</f>
        <v>8744.06</v>
      </c>
      <c r="L91" s="289">
        <f>IFERROR(_xlfn.XLOOKUP($A91,CFR20242025_BenchMarkDataReport!$B:$B,CFR20242025_BenchMarkDataReport!AB:AB),0)</f>
        <v>723165.84</v>
      </c>
      <c r="M91" s="289">
        <f>IFERROR(_xlfn.XLOOKUP($A91,CFR20242025_BenchMarkDataReport!$B:$B,CFR20242025_BenchMarkDataReport!AC:AC),0)</f>
        <v>0</v>
      </c>
      <c r="N91" s="289">
        <f>IFERROR(_xlfn.XLOOKUP($A91,CFR20242025_BenchMarkDataReport!$B:$B,CFR20242025_BenchMarkDataReport!AD:AD),0)</f>
        <v>0</v>
      </c>
      <c r="O91" s="289">
        <f>IFERROR(_xlfn.XLOOKUP($A91,CFR20242025_BenchMarkDataReport!$B:$B,CFR20242025_BenchMarkDataReport!AE:AE),0)</f>
        <v>2137</v>
      </c>
      <c r="P91" s="289">
        <f>IFERROR(_xlfn.XLOOKUP($A91,CFR20242025_BenchMarkDataReport!$B:$B,CFR20242025_BenchMarkDataReport!AF:AF),0)</f>
        <v>714.05</v>
      </c>
      <c r="Q91" s="289">
        <f>IFERROR(_xlfn.XLOOKUP($A91,CFR20242025_BenchMarkDataReport!$B:$B,CFR20242025_BenchMarkDataReport!AG:AG),0)</f>
        <v>7943.7</v>
      </c>
      <c r="R91" s="289">
        <f>IFERROR(_xlfn.XLOOKUP($A91,CFR20242025_BenchMarkDataReport!$B:$B,CFR20242025_BenchMarkDataReport!AH:AH),0)</f>
        <v>0</v>
      </c>
      <c r="S91" s="289">
        <f>IFERROR(_xlfn.XLOOKUP($A91,CFR20242025_BenchMarkDataReport!$B:$B,CFR20242025_BenchMarkDataReport!AI:AI),0)</f>
        <v>0</v>
      </c>
      <c r="T91" s="289">
        <f>IFERROR(_xlfn.XLOOKUP($A91,CFR20242025_BenchMarkDataReport!$B:$B,CFR20242025_BenchMarkDataReport!AJ:AJ),0)</f>
        <v>0</v>
      </c>
      <c r="U91" s="289">
        <f>INDEX(CFR20242025_BenchMarkDataReport!$B$3:$AM$87,MATCH(A91,CFR20242025_BenchMarkDataReport!$B$3:$B$87),MATCH($U$2,CFR20242025_BenchMarkDataReport!$B$3:$AM$3,0))</f>
        <v>44031.56</v>
      </c>
      <c r="V91" s="289">
        <f>IFERROR(_xlfn.XLOOKUP($A91,CFR20242025_BenchMarkDataReport!$B:$B,CFR20242025_BenchMarkDataReport!AN:AN),0)</f>
        <v>2215290.7599999998</v>
      </c>
      <c r="W91" s="289">
        <f>IFERROR(_xlfn.XLOOKUP($A91,CFR20242025_BenchMarkDataReport!$B:$B,CFR20242025_BenchMarkDataReport!AO:AO),0)</f>
        <v>4310.46</v>
      </c>
      <c r="X91" s="289">
        <f>IFERROR(_xlfn.XLOOKUP($A91,CFR20242025_BenchMarkDataReport!$B:$B,CFR20242025_BenchMarkDataReport!AP:AP),0)</f>
        <v>2146419.85</v>
      </c>
      <c r="Y91" s="289">
        <f>IFERROR(_xlfn.XLOOKUP($A91,CFR20242025_BenchMarkDataReport!$B:$B,CFR20242025_BenchMarkDataReport!AQ:AQ),0)</f>
        <v>44520.45</v>
      </c>
      <c r="Z91" s="289">
        <f>IFERROR(_xlfn.XLOOKUP($A91,CFR20242025_BenchMarkDataReport!$B:$B,CFR20242025_BenchMarkDataReport!AR:AR),0)</f>
        <v>119790.51</v>
      </c>
      <c r="AA91" s="289">
        <f>IFERROR(_xlfn.XLOOKUP($A91,CFR20242025_BenchMarkDataReport!$B:$B,CFR20242025_BenchMarkDataReport!AS:AS),0)</f>
        <v>0</v>
      </c>
      <c r="AB91" s="289">
        <f>IFERROR(_xlfn.XLOOKUP($A91,CFR20242025_BenchMarkDataReport!$B:$B,CFR20242025_BenchMarkDataReport!AT:AT),0)</f>
        <v>125144.16</v>
      </c>
      <c r="AC91" s="289">
        <f>IFERROR(_xlfn.XLOOKUP($A91,CFR20242025_BenchMarkDataReport!$B:$B,CFR20242025_BenchMarkDataReport!AU:AU),0)</f>
        <v>29579.18</v>
      </c>
      <c r="AD91" s="289">
        <f>IFERROR(_xlfn.XLOOKUP($A91,CFR20242025_BenchMarkDataReport!$B:$B,CFR20242025_BenchMarkDataReport!AV:AV),0)</f>
        <v>18047.89</v>
      </c>
      <c r="AE91" s="289">
        <f>IFERROR(_xlfn.XLOOKUP($A91,CFR20242025_BenchMarkDataReport!$B:$B,CFR20242025_BenchMarkDataReport!AW:AW),0)</f>
        <v>0</v>
      </c>
      <c r="AF91" s="289">
        <f>IFERROR(_xlfn.XLOOKUP($A91,CFR20242025_BenchMarkDataReport!$B:$B,CFR20242025_BenchMarkDataReport!AX:AX),0)</f>
        <v>0</v>
      </c>
      <c r="AG91" s="289">
        <f>IFERROR(_xlfn.XLOOKUP($A91,CFR20242025_BenchMarkDataReport!$B:$B,CFR20242025_BenchMarkDataReport!AY:AY),0)</f>
        <v>49973.760000000002</v>
      </c>
      <c r="AH91" s="289">
        <f>IFERROR(_xlfn.XLOOKUP($A91,CFR20242025_BenchMarkDataReport!$B:$B,CFR20242025_BenchMarkDataReport!AZ:AZ),0)</f>
        <v>745.66</v>
      </c>
      <c r="AI91" s="289">
        <f>IFERROR(_xlfn.XLOOKUP($A91,CFR20242025_BenchMarkDataReport!$B:$B,CFR20242025_BenchMarkDataReport!BA:BA),0)</f>
        <v>33907.07</v>
      </c>
      <c r="AJ91" s="289">
        <f>IFERROR(_xlfn.XLOOKUP($A91,CFR20242025_BenchMarkDataReport!$B:$B,CFR20242025_BenchMarkDataReport!BB:BB),0)</f>
        <v>5365.39</v>
      </c>
      <c r="AK91" s="289">
        <f>IFERROR(_xlfn.XLOOKUP($A91,CFR20242025_BenchMarkDataReport!$B:$B,CFR20242025_BenchMarkDataReport!BC:BC),0)</f>
        <v>53791.199999999997</v>
      </c>
      <c r="AL91" s="289">
        <f>IFERROR(_xlfn.XLOOKUP($A91,CFR20242025_BenchMarkDataReport!$B:$B,CFR20242025_BenchMarkDataReport!BD:BD),0)</f>
        <v>0</v>
      </c>
      <c r="AM91" s="289">
        <f>IFERROR(_xlfn.XLOOKUP($A91,CFR20242025_BenchMarkDataReport!$B:$B,CFR20242025_BenchMarkDataReport!BE:BE),0)</f>
        <v>31917.279999999999</v>
      </c>
      <c r="AN91" s="289">
        <f>IFERROR(_xlfn.XLOOKUP($A91,CFR20242025_BenchMarkDataReport!$B:$B,CFR20242025_BenchMarkDataReport!BF:BF),0)</f>
        <v>59988.639999999999</v>
      </c>
      <c r="AO91" s="289">
        <f>IFERROR(_xlfn.XLOOKUP($A91,CFR20242025_BenchMarkDataReport!$B:$B,CFR20242025_BenchMarkDataReport!BN:BN),0)</f>
        <v>57178.02</v>
      </c>
      <c r="AP91" s="289">
        <f>IFERROR(_xlfn.XLOOKUP($A91,CFR20242025_BenchMarkDataReport!$B:$B,CFR20242025_BenchMarkDataReport!BO:BO),0)</f>
        <v>0</v>
      </c>
      <c r="AQ91" s="289">
        <f>IFERROR(_xlfn.XLOOKUP($A91,CFR20242025_BenchMarkDataReport!$B:$B,CFR20242025_BenchMarkDataReport!BP:BP),0)</f>
        <v>18695.98</v>
      </c>
      <c r="AR91" s="289">
        <f>IFERROR(_xlfn.XLOOKUP($A91,CFR20242025_BenchMarkDataReport!$B:$B,CFR20242025_BenchMarkDataReport!BQ:BQ),0)</f>
        <v>11707.84</v>
      </c>
      <c r="AS91" s="289">
        <f>IFERROR(_xlfn.XLOOKUP($A91,CFR20242025_BenchMarkDataReport!$B:$B,CFR20242025_BenchMarkDataReport!BR:BR),0)</f>
        <v>72818.3</v>
      </c>
      <c r="AT91" s="289">
        <f>IFERROR(_xlfn.XLOOKUP($A91,CFR20242025_BenchMarkDataReport!$B:$B,CFR20242025_BenchMarkDataReport!BS:BS),0)</f>
        <v>37313.29</v>
      </c>
      <c r="AU91" s="289">
        <f>IFERROR(_xlfn.XLOOKUP($A91,CFR20242025_BenchMarkDataReport!$B:$B,CFR20242025_BenchMarkDataReport!BT:BT),0)</f>
        <v>519</v>
      </c>
      <c r="AV91" s="289">
        <f>IFERROR(_xlfn.XLOOKUP($A91,CFR20242025_BenchMarkDataReport!$B:$B,CFR20242025_BenchMarkDataReport!BU:BU),0)</f>
        <v>623824.05000000005</v>
      </c>
      <c r="AW91" s="289">
        <f>IFERROR(_xlfn.XLOOKUP($A91,CFR20242025_BenchMarkDataReport!$B:$B,CFR20242025_BenchMarkDataReport!BV:BV),0)</f>
        <v>48468.56</v>
      </c>
      <c r="AX91" s="289">
        <f>IFERROR(_xlfn.XLOOKUP($A91,CFR20242025_BenchMarkDataReport!$B:$B,CFR20242025_BenchMarkDataReport!BW:BW),0)</f>
        <v>0</v>
      </c>
      <c r="AY91" s="289">
        <f>IFERROR(_xlfn.XLOOKUP($A91,CFR20242025_BenchMarkDataReport!$B:$B,CFR20242025_BenchMarkDataReport!BX:BX),0)</f>
        <v>0</v>
      </c>
      <c r="AZ91" s="289">
        <f>IFERROR(_xlfn.XLOOKUP($A91,CFR20242025_BenchMarkDataReport!$B:$B,CFR20242025_BenchMarkDataReport!BY:BY),0)</f>
        <v>0</v>
      </c>
      <c r="BA91" s="289">
        <f>IFERROR(_xlfn.XLOOKUP($A91,CFR20242025_BenchMarkDataReport!$B:$B,CFR20242025_BenchMarkDataReport!BZ:BZ),0)</f>
        <v>0</v>
      </c>
      <c r="BB91" s="289">
        <f>IFERROR(_xlfn.XLOOKUP($A91,CFR20242025_BenchMarkDataReport!$B:$B,CFR20242025_BenchMarkDataReport!CA:CA),0)</f>
        <v>0</v>
      </c>
      <c r="BC91" s="290">
        <f>SUM(D91:R91)+U91</f>
        <v>5848169.5699999994</v>
      </c>
      <c r="BD91" s="291">
        <f>SUM(V91:AZ91)</f>
        <v>5809317.2999999989</v>
      </c>
      <c r="BE91" s="325">
        <f>BC91-BD91</f>
        <v>38852.270000000484</v>
      </c>
      <c r="BF91" s="289">
        <f>IFERROR(_xlfn.XLOOKUP(A91,CFR20242025_BenchMarkDataReport!B:B,CFR20242025_BenchMarkDataReport!Q:Q),0)</f>
        <v>63894.73</v>
      </c>
      <c r="BG91" s="290">
        <f>SUM(BE91:BF91)</f>
        <v>102747.00000000049</v>
      </c>
      <c r="BH91" s="292">
        <f>_xlfn.XLOOKUP(A91,'Pupil on roll 24-25'!E:E,'Pupil on roll 24-25'!I:I)</f>
        <v>130</v>
      </c>
      <c r="BI91" s="291">
        <f>D91+E91+F91</f>
        <v>4928264.7</v>
      </c>
      <c r="BJ91" t="s">
        <v>194</v>
      </c>
      <c r="BK91" s="293">
        <f>IFERROR(D91/BC91,0)</f>
        <v>0.32608859014325747</v>
      </c>
      <c r="BL91" s="294">
        <f>D91/BH91</f>
        <v>14669.395153846155</v>
      </c>
      <c r="BM91" s="295">
        <f>E91/BC91</f>
        <v>0</v>
      </c>
      <c r="BN91" s="296">
        <f>E91/BH91</f>
        <v>0</v>
      </c>
      <c r="BO91" s="293">
        <f>F91/BC91</f>
        <v>0.51661349655427324</v>
      </c>
      <c r="BP91" s="294">
        <f>F91/BH91</f>
        <v>23240.333307692308</v>
      </c>
      <c r="BQ91" s="295">
        <f>G91/BC91</f>
        <v>0</v>
      </c>
      <c r="BR91" s="296">
        <f>G91/BH91</f>
        <v>0</v>
      </c>
      <c r="BS91" s="293">
        <f>H91/BC91</f>
        <v>1.7935625625164629E-2</v>
      </c>
      <c r="BT91" s="294">
        <f>H91/BH91</f>
        <v>806.85061538461537</v>
      </c>
      <c r="BU91" s="295">
        <f>I91/BC91</f>
        <v>2.0519240860521082E-4</v>
      </c>
      <c r="BV91" s="296">
        <f>I91/BH91</f>
        <v>9.2307692307692299</v>
      </c>
      <c r="BW91" s="293">
        <f>J91/BC91</f>
        <v>4.6301803796704897E-3</v>
      </c>
      <c r="BX91" s="294">
        <f>J91/BH91</f>
        <v>208.2929230769231</v>
      </c>
      <c r="BY91" s="295">
        <f>IFERROR((K91+L91)/BC91,0)</f>
        <v>0.12515196271916584</v>
      </c>
      <c r="BZ91" s="297">
        <f>IFERROR((K91+L91)/BH91,0)</f>
        <v>5630.0761538461538</v>
      </c>
      <c r="CA91" s="298">
        <f>P91/BC91</f>
        <v>1.2209803280379233E-4</v>
      </c>
      <c r="CB91" s="299">
        <f>P91/BH91</f>
        <v>5.4926923076923071</v>
      </c>
      <c r="CC91" s="295">
        <f>Q91/BC91</f>
        <v>1.3583224468643443E-3</v>
      </c>
      <c r="CD91" s="296">
        <f>Q91/BH91</f>
        <v>61.105384615384615</v>
      </c>
      <c r="CE91" s="300">
        <f>(V91+W91+AU91)/BI91</f>
        <v>0.45048721104611117</v>
      </c>
      <c r="CF91" s="298">
        <f>(V91+W91+AU91)/BC91</f>
        <v>0.37962651277910875</v>
      </c>
      <c r="CG91" s="298">
        <f>(V91+W91+AU91)/BD91</f>
        <v>0.38216542587542951</v>
      </c>
      <c r="CH91" s="299">
        <f>(V91+W91+AU91)/BH91</f>
        <v>17077.847846153843</v>
      </c>
      <c r="CI91" s="295">
        <f>X91/BI91</f>
        <v>0.43553258208715939</v>
      </c>
      <c r="CJ91" s="301">
        <f>X91/BC91</f>
        <v>0.3670242157496128</v>
      </c>
      <c r="CK91" s="301">
        <f>X91/BD91</f>
        <v>0.36947884564680267</v>
      </c>
      <c r="CL91" s="302">
        <f t="shared" si="329"/>
        <v>16510.921923076923</v>
      </c>
      <c r="CM91" s="300">
        <f t="shared" si="329"/>
        <v>9.0336969927771928E-3</v>
      </c>
      <c r="CN91" s="298">
        <f>Y91/BC91</f>
        <v>7.6127153064065485E-3</v>
      </c>
      <c r="CO91" s="298">
        <f>Y91/BD91</f>
        <v>7.663628564409798E-3</v>
      </c>
      <c r="CP91" s="299">
        <f t="shared" si="330"/>
        <v>342.46499999999997</v>
      </c>
      <c r="CQ91" s="295">
        <f t="shared" si="330"/>
        <v>2.4306833600070223E-2</v>
      </c>
      <c r="CR91" s="301">
        <f>Z91/BC91</f>
        <v>2.0483419395788828E-2</v>
      </c>
      <c r="CS91" s="301">
        <f>Z91/BD91</f>
        <v>2.0620410938820645E-2</v>
      </c>
      <c r="CT91" s="296">
        <f>Z91/BH91</f>
        <v>921.46546153846145</v>
      </c>
      <c r="CU91" s="300">
        <f>(V91+W91+X91+Y91+Z91+AA91+AB91)/BI91</f>
        <v>0.94464816185705291</v>
      </c>
      <c r="CV91" s="298">
        <f>(V91+W91+X91+Y91+Z91+AA91+AB91)/BC91</f>
        <v>0.79605697719192514</v>
      </c>
      <c r="CW91" s="298">
        <f>(V91+W91+X91+Y91+Z91+AA91+AB91)/BD91</f>
        <v>0.80138094539955695</v>
      </c>
      <c r="CX91" s="299">
        <f>(V91+W91+X91+Y91+Z91+AA91+AB91)/BH91</f>
        <v>35811.355307692313</v>
      </c>
      <c r="CY91" s="295">
        <f>AG91/BI91</f>
        <v>1.0140234553553911E-2</v>
      </c>
      <c r="CZ91" s="301">
        <f>AG91/BD91</f>
        <v>8.6023464409492687E-3</v>
      </c>
      <c r="DA91" s="296">
        <f>AG91/BH91</f>
        <v>384.41353846153845</v>
      </c>
      <c r="DB91" s="300">
        <f>AJ91/BD91</f>
        <v>9.2358356807262037E-4</v>
      </c>
      <c r="DC91" s="299">
        <f t="shared" si="331"/>
        <v>41.272230769230774</v>
      </c>
      <c r="DD91" s="295">
        <f t="shared" si="331"/>
        <v>1.0914835804172612E-2</v>
      </c>
      <c r="DE91" s="301">
        <f>AK91/BD91</f>
        <v>9.2594701274106694E-3</v>
      </c>
      <c r="DF91" s="296">
        <f>AK91/BH91</f>
        <v>413.7784615384615</v>
      </c>
      <c r="DG91" s="300">
        <f>AM91/BI91</f>
        <v>6.4763729107326553E-3</v>
      </c>
      <c r="DH91" s="298">
        <f>AM91/BD91</f>
        <v>5.4941533319242189E-3</v>
      </c>
      <c r="DI91" s="303">
        <f t="shared" si="332"/>
        <v>245.51753846153846</v>
      </c>
      <c r="DJ91" s="295">
        <f t="shared" si="332"/>
        <v>1.2172365660472742E-2</v>
      </c>
      <c r="DK91" s="301">
        <f>AN91/BC91</f>
        <v>1.0257677942125745E-2</v>
      </c>
      <c r="DL91" s="301">
        <f>AN91/BD91</f>
        <v>1.0326280508038356E-2</v>
      </c>
      <c r="DM91" s="296">
        <f>AN91/BH91</f>
        <v>461.45107692307693</v>
      </c>
      <c r="DN91" s="300">
        <f>AQ91/BI91</f>
        <v>3.7936233417007813E-3</v>
      </c>
      <c r="DO91" s="298">
        <f>IFERROR(AQ91/BD91,0)</f>
        <v>3.2182748909239307E-3</v>
      </c>
      <c r="DP91" s="299">
        <f>AQ91/BH91</f>
        <v>143.81523076923077</v>
      </c>
      <c r="DQ91" s="295">
        <f>IFERROR(AV91/BI91,0)</f>
        <v>0.12658087338531146</v>
      </c>
      <c r="DR91" s="301">
        <f>IFERROR(AV91/BD91,0)</f>
        <v>0.10738336671677413</v>
      </c>
      <c r="DS91" s="296">
        <f>AV91/BH91</f>
        <v>4798.6465384615385</v>
      </c>
      <c r="DT91" s="300">
        <f>AT91/BD91</f>
        <v>6.4230077430957348E-3</v>
      </c>
      <c r="DU91" s="299">
        <f>AT91/BH91</f>
        <v>287.02530769230771</v>
      </c>
      <c r="DV91" s="295">
        <f t="shared" si="178"/>
        <v>5.8366703433465417E-3</v>
      </c>
      <c r="DW91" s="296">
        <f t="shared" si="179"/>
        <v>260.82361538461538</v>
      </c>
      <c r="DX91" s="295">
        <f>EB91/BI91</f>
        <v>1.400087134118425E-5</v>
      </c>
      <c r="DY91" s="301">
        <f>EB91/BC91</f>
        <v>1.1798563494799624E-5</v>
      </c>
      <c r="DZ91" s="301">
        <f>EB91/BD91</f>
        <v>1.1877471385493097E-5</v>
      </c>
      <c r="EA91" s="296">
        <f>EB91/BH91</f>
        <v>0.53076923076923077</v>
      </c>
      <c r="EB91" s="304">
        <f>IFERROR(_xlfn.XLOOKUP(A91,'Pupil on roll 24-25'!E:E,'Pupil on roll 24-25'!R:R),0)</f>
        <v>69</v>
      </c>
      <c r="EC91" s="289">
        <f>IFERROR(_xlfn.XLOOKUP(A91,CFR20242025_BenchMarkDataReport!B:B,CFR20242025_BenchMarkDataReport!AK:AK),0)</f>
        <v>14716.56</v>
      </c>
      <c r="ED91" s="289">
        <f>IFERROR(_xlfn.XLOOKUP(A91,CFR20242025_BenchMarkDataReport!B:B,CFR20242025_BenchMarkDataReport!AL:AL),0)</f>
        <v>29315</v>
      </c>
    </row>
    <row r="92" spans="1:228" s="16" customFormat="1" ht="16.2" thickBot="1">
      <c r="A92" s="306">
        <v>7999</v>
      </c>
      <c r="B92" s="307"/>
      <c r="C92" s="308" t="s">
        <v>195</v>
      </c>
      <c r="D92" s="309">
        <f>AVERAGE(D89:D91)</f>
        <v>1741069.11</v>
      </c>
      <c r="E92" s="309">
        <f>AVERAGE(E89:E91)</f>
        <v>136666.66666666666</v>
      </c>
      <c r="F92" s="309">
        <f t="shared" ref="F92:BB92" si="333">AVERAGE(F89:F91)</f>
        <v>2731327.1266666665</v>
      </c>
      <c r="G92" s="309">
        <f t="shared" si="333"/>
        <v>0</v>
      </c>
      <c r="H92" s="309">
        <f t="shared" si="333"/>
        <v>77146.193333333344</v>
      </c>
      <c r="I92" s="309">
        <f t="shared" si="333"/>
        <v>27359.936666666665</v>
      </c>
      <c r="J92" s="309">
        <f t="shared" si="333"/>
        <v>25718.176666666666</v>
      </c>
      <c r="K92" s="309">
        <f t="shared" si="333"/>
        <v>15881.103333333333</v>
      </c>
      <c r="L92" s="309">
        <f t="shared" si="333"/>
        <v>241085.28</v>
      </c>
      <c r="M92" s="309">
        <f t="shared" si="333"/>
        <v>4935.3466666666673</v>
      </c>
      <c r="N92" s="309">
        <f t="shared" si="333"/>
        <v>0</v>
      </c>
      <c r="O92" s="309">
        <f t="shared" si="333"/>
        <v>725.66666666666663</v>
      </c>
      <c r="P92" s="309">
        <f t="shared" si="333"/>
        <v>609.15</v>
      </c>
      <c r="Q92" s="309">
        <f t="shared" si="333"/>
        <v>5632.72</v>
      </c>
      <c r="R92" s="309">
        <f t="shared" si="333"/>
        <v>0</v>
      </c>
      <c r="S92" s="309">
        <f t="shared" si="333"/>
        <v>0</v>
      </c>
      <c r="T92" s="309">
        <f t="shared" si="333"/>
        <v>0</v>
      </c>
      <c r="U92" s="309">
        <f t="shared" si="333"/>
        <v>39038.293333333335</v>
      </c>
      <c r="V92" s="309">
        <f t="shared" si="333"/>
        <v>1778553.3133333332</v>
      </c>
      <c r="W92" s="309">
        <f t="shared" si="333"/>
        <v>1436.82</v>
      </c>
      <c r="X92" s="309">
        <f t="shared" si="333"/>
        <v>1828630.9533333331</v>
      </c>
      <c r="Y92" s="309">
        <f t="shared" si="333"/>
        <v>67266.06</v>
      </c>
      <c r="Z92" s="309">
        <f t="shared" si="333"/>
        <v>173670.48333333334</v>
      </c>
      <c r="AA92" s="309">
        <f t="shared" si="333"/>
        <v>0</v>
      </c>
      <c r="AB92" s="309">
        <f t="shared" si="333"/>
        <v>74133.463333333333</v>
      </c>
      <c r="AC92" s="309">
        <f t="shared" si="333"/>
        <v>26510.363333333331</v>
      </c>
      <c r="AD92" s="309">
        <f t="shared" si="333"/>
        <v>17829.596666666668</v>
      </c>
      <c r="AE92" s="309">
        <f t="shared" si="333"/>
        <v>0</v>
      </c>
      <c r="AF92" s="309">
        <f t="shared" si="333"/>
        <v>0</v>
      </c>
      <c r="AG92" s="309">
        <f t="shared" si="333"/>
        <v>53442.643333333333</v>
      </c>
      <c r="AH92" s="309">
        <f t="shared" si="333"/>
        <v>7073.456666666666</v>
      </c>
      <c r="AI92" s="309">
        <f t="shared" si="333"/>
        <v>37427.193333333329</v>
      </c>
      <c r="AJ92" s="309">
        <f t="shared" si="333"/>
        <v>7933.32</v>
      </c>
      <c r="AK92" s="309">
        <f t="shared" si="333"/>
        <v>71516.91333333333</v>
      </c>
      <c r="AL92" s="309">
        <f t="shared" si="333"/>
        <v>0</v>
      </c>
      <c r="AM92" s="309">
        <f t="shared" si="333"/>
        <v>24000.22</v>
      </c>
      <c r="AN92" s="309">
        <f t="shared" si="333"/>
        <v>57749.79</v>
      </c>
      <c r="AO92" s="309">
        <f t="shared" si="333"/>
        <v>45057.156666666669</v>
      </c>
      <c r="AP92" s="309">
        <f t="shared" si="333"/>
        <v>376</v>
      </c>
      <c r="AQ92" s="309">
        <f t="shared" si="333"/>
        <v>9041.503333333334</v>
      </c>
      <c r="AR92" s="309">
        <f t="shared" si="333"/>
        <v>9917.5933333333342</v>
      </c>
      <c r="AS92" s="309">
        <f t="shared" si="333"/>
        <v>51820.706666666665</v>
      </c>
      <c r="AT92" s="309">
        <f t="shared" si="333"/>
        <v>47064.906666666669</v>
      </c>
      <c r="AU92" s="309">
        <f t="shared" si="333"/>
        <v>20496.776666666668</v>
      </c>
      <c r="AV92" s="309">
        <f t="shared" si="333"/>
        <v>594427.02666666673</v>
      </c>
      <c r="AW92" s="309">
        <f t="shared" si="333"/>
        <v>44255.116666666669</v>
      </c>
      <c r="AX92" s="309">
        <f>AVERAGE(AX89:AX91)</f>
        <v>0</v>
      </c>
      <c r="AY92" s="309">
        <f t="shared" si="333"/>
        <v>0</v>
      </c>
      <c r="AZ92" s="309">
        <f t="shared" si="333"/>
        <v>0</v>
      </c>
      <c r="BA92" s="309">
        <f t="shared" si="333"/>
        <v>0</v>
      </c>
      <c r="BB92" s="309">
        <f t="shared" si="333"/>
        <v>0</v>
      </c>
      <c r="BC92" s="309">
        <f t="shared" ref="BC92:BI92" si="334">AVERAGE(BC89:BC91)</f>
        <v>5047194.7699999996</v>
      </c>
      <c r="BD92" s="309">
        <f t="shared" si="334"/>
        <v>5049631.376666666</v>
      </c>
      <c r="BE92" s="309">
        <f t="shared" si="334"/>
        <v>-2436.6066666664556</v>
      </c>
      <c r="BF92" s="309">
        <f t="shared" si="334"/>
        <v>199443.12333333332</v>
      </c>
      <c r="BG92" s="309">
        <f t="shared" si="334"/>
        <v>197006.51666666687</v>
      </c>
      <c r="BH92" s="309">
        <f t="shared" si="334"/>
        <v>119.33333333333333</v>
      </c>
      <c r="BI92" s="309">
        <f t="shared" si="334"/>
        <v>4609062.9033333333</v>
      </c>
      <c r="BJ92" s="16" t="s">
        <v>194</v>
      </c>
      <c r="BK92" s="310">
        <f t="shared" ref="BK92:CP92" si="335">AVERAGE(BK89:BK91)</f>
        <v>0.34543961631733477</v>
      </c>
      <c r="BL92" s="311">
        <f t="shared" si="335"/>
        <v>14881.366867521368</v>
      </c>
      <c r="BM92" s="312">
        <f t="shared" si="335"/>
        <v>2.9925833289170829E-2</v>
      </c>
      <c r="BN92" s="313">
        <f t="shared" si="335"/>
        <v>1898.148148148148</v>
      </c>
      <c r="BO92" s="310">
        <f t="shared" si="335"/>
        <v>0.54391094455928812</v>
      </c>
      <c r="BP92" s="311">
        <f t="shared" si="335"/>
        <v>25781.246319800568</v>
      </c>
      <c r="BQ92" s="312">
        <f t="shared" si="335"/>
        <v>0</v>
      </c>
      <c r="BR92" s="313">
        <f t="shared" si="335"/>
        <v>0</v>
      </c>
      <c r="BS92" s="310">
        <f t="shared" si="335"/>
        <v>1.4993766568647428E-2</v>
      </c>
      <c r="BT92" s="311">
        <f t="shared" si="335"/>
        <v>630.96017663817668</v>
      </c>
      <c r="BU92" s="312">
        <f t="shared" si="335"/>
        <v>5.971308338113975E-3</v>
      </c>
      <c r="BV92" s="313">
        <f t="shared" si="335"/>
        <v>377.02191239316238</v>
      </c>
      <c r="BW92" s="310">
        <f t="shared" si="335"/>
        <v>5.1406862970654688E-3</v>
      </c>
      <c r="BX92" s="311">
        <f t="shared" si="335"/>
        <v>242.86978846153849</v>
      </c>
      <c r="BY92" s="312">
        <f t="shared" si="335"/>
        <v>4.4469534140662563E-2</v>
      </c>
      <c r="BZ92" s="314">
        <f t="shared" si="335"/>
        <v>1962.5916666666665</v>
      </c>
      <c r="CA92" s="315">
        <f t="shared" si="335"/>
        <v>1.2115474498040457E-4</v>
      </c>
      <c r="CB92" s="316">
        <f t="shared" si="335"/>
        <v>6.1653703703703711</v>
      </c>
      <c r="CC92" s="312">
        <f t="shared" si="335"/>
        <v>1.0986689903337669E-3</v>
      </c>
      <c r="CD92" s="317">
        <f t="shared" si="335"/>
        <v>54.05237535612536</v>
      </c>
      <c r="CE92" s="318">
        <f t="shared" si="335"/>
        <v>0.38875594160806431</v>
      </c>
      <c r="CF92" s="315">
        <f t="shared" si="335"/>
        <v>0.35502172816097693</v>
      </c>
      <c r="CG92" s="315">
        <f t="shared" si="335"/>
        <v>0.35458868018244694</v>
      </c>
      <c r="CH92" s="316">
        <f t="shared" si="335"/>
        <v>16655.25475925926</v>
      </c>
      <c r="CI92" s="312">
        <f t="shared" si="335"/>
        <v>0.39599157031345333</v>
      </c>
      <c r="CJ92" s="319">
        <f t="shared" si="335"/>
        <v>0.36253868642101494</v>
      </c>
      <c r="CK92" s="319">
        <f t="shared" si="335"/>
        <v>0.36183057250248057</v>
      </c>
      <c r="CL92" s="320">
        <f t="shared" si="335"/>
        <v>17375.910163817662</v>
      </c>
      <c r="CM92" s="318">
        <f t="shared" si="335"/>
        <v>1.4844118692198455E-2</v>
      </c>
      <c r="CN92" s="315">
        <f t="shared" si="335"/>
        <v>1.3870442048210183E-2</v>
      </c>
      <c r="CO92" s="315">
        <f t="shared" si="335"/>
        <v>1.3805160909328254E-2</v>
      </c>
      <c r="CP92" s="316">
        <f t="shared" si="335"/>
        <v>693.91804131054141</v>
      </c>
      <c r="CQ92" s="312">
        <f t="shared" ref="CQ92:EA92" si="336">AVERAGE(CQ89:CQ91)</f>
        <v>3.8106127589794182E-2</v>
      </c>
      <c r="CR92" s="319">
        <f t="shared" si="336"/>
        <v>3.555612462704235E-2</v>
      </c>
      <c r="CS92" s="319">
        <f t="shared" si="336"/>
        <v>3.5484562471616569E-2</v>
      </c>
      <c r="CT92" s="317">
        <f t="shared" si="336"/>
        <v>1601.9765712250712</v>
      </c>
      <c r="CU92" s="318">
        <f t="shared" si="336"/>
        <v>0.84887704097310535</v>
      </c>
      <c r="CV92" s="315">
        <f t="shared" si="336"/>
        <v>0.77672499635792003</v>
      </c>
      <c r="CW92" s="315">
        <f t="shared" si="336"/>
        <v>0.77546531591733825</v>
      </c>
      <c r="CX92" s="316">
        <f t="shared" si="336"/>
        <v>36800.66438319088</v>
      </c>
      <c r="CY92" s="312">
        <f t="shared" si="336"/>
        <v>1.1692796204017704E-2</v>
      </c>
      <c r="CZ92" s="319">
        <f t="shared" si="336"/>
        <v>1.0766456424143282E-2</v>
      </c>
      <c r="DA92" s="317">
        <f t="shared" si="336"/>
        <v>545.19096225071223</v>
      </c>
      <c r="DB92" s="318">
        <f t="shared" si="336"/>
        <v>1.6203973198203822E-3</v>
      </c>
      <c r="DC92" s="316">
        <f t="shared" si="336"/>
        <v>69.069126780626789</v>
      </c>
      <c r="DD92" s="312">
        <f t="shared" si="336"/>
        <v>1.560035041798905E-2</v>
      </c>
      <c r="DE92" s="319">
        <f t="shared" si="336"/>
        <v>1.452088307652491E-2</v>
      </c>
      <c r="DF92" s="317">
        <f t="shared" si="336"/>
        <v>596.35408831908831</v>
      </c>
      <c r="DG92" s="318">
        <f t="shared" si="336"/>
        <v>5.1662460013947526E-3</v>
      </c>
      <c r="DH92" s="315">
        <f t="shared" si="336"/>
        <v>4.6946333908670984E-3</v>
      </c>
      <c r="DI92" s="316">
        <f t="shared" si="336"/>
        <v>221.26654772079772</v>
      </c>
      <c r="DJ92" s="312">
        <f t="shared" si="336"/>
        <v>1.2533348016073672E-2</v>
      </c>
      <c r="DK92" s="319">
        <f t="shared" si="336"/>
        <v>1.1535047850090581E-2</v>
      </c>
      <c r="DL92" s="319">
        <f t="shared" si="336"/>
        <v>1.1521723851078048E-2</v>
      </c>
      <c r="DM92" s="317">
        <f t="shared" si="336"/>
        <v>525.49744586894587</v>
      </c>
      <c r="DN92" s="318">
        <f>AVERAGE(DN89:DN91)</f>
        <v>1.9025216293579756E-3</v>
      </c>
      <c r="DO92" s="315">
        <f>AVERAGE(DO89:DO91)</f>
        <v>1.6775757679059102E-3</v>
      </c>
      <c r="DP92" s="316">
        <f>AVERAGE(DP89:DP91)</f>
        <v>82.903495726495734</v>
      </c>
      <c r="DQ92" s="312">
        <f t="shared" si="336"/>
        <v>0.12825929250903145</v>
      </c>
      <c r="DR92" s="319">
        <f t="shared" si="336"/>
        <v>0.11816063478697947</v>
      </c>
      <c r="DS92" s="317">
        <f t="shared" si="336"/>
        <v>4694.4942984330492</v>
      </c>
      <c r="DT92" s="318">
        <f t="shared" si="336"/>
        <v>9.5398491821643925E-3</v>
      </c>
      <c r="DU92" s="316">
        <f t="shared" si="336"/>
        <v>412.53968945868945</v>
      </c>
      <c r="DV92" s="312">
        <f t="shared" ref="DV92:DW92" si="337">AVERAGE(DV89:DV91)</f>
        <v>7.499725561774459E-3</v>
      </c>
      <c r="DW92" s="317">
        <f t="shared" si="337"/>
        <v>268.51786823361823</v>
      </c>
      <c r="DX92" s="312">
        <f t="shared" si="336"/>
        <v>1.1976121997341552E-5</v>
      </c>
      <c r="DY92" s="319">
        <f t="shared" si="336"/>
        <v>1.0930467975250658E-5</v>
      </c>
      <c r="DZ92" s="319">
        <f t="shared" si="336"/>
        <v>1.0937999231530718E-5</v>
      </c>
      <c r="EA92" s="313">
        <f t="shared" si="336"/>
        <v>0.47357549857549852</v>
      </c>
      <c r="EB92" s="331">
        <f>AVERAGE(EB89:EB91)</f>
        <v>55.666666666666664</v>
      </c>
      <c r="EC92" s="331">
        <f t="shared" ref="EC92:ED92" si="338">AVERAGE(EC89:EC91)</f>
        <v>18965.96</v>
      </c>
      <c r="ED92" s="331">
        <f t="shared" si="338"/>
        <v>20072.333333333332</v>
      </c>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row>
    <row r="93" spans="1:228" ht="15.6" thickTop="1">
      <c r="A93" s="342">
        <v>1102</v>
      </c>
      <c r="B93" s="6">
        <v>10185</v>
      </c>
      <c r="C93" s="328" t="s">
        <v>329</v>
      </c>
      <c r="D93" s="289">
        <f>IFERROR(_xlfn.XLOOKUP($A93,CFR20242025_BenchMarkDataReport!$B:$B,CFR20242025_BenchMarkDataReport!T:T),0)</f>
        <v>564937.07999999996</v>
      </c>
      <c r="E93" s="289">
        <f>IFERROR(_xlfn.XLOOKUP($A93,CFR20242025_BenchMarkDataReport!$B:$B,CFR20242025_BenchMarkDataReport!U:U),0)</f>
        <v>0</v>
      </c>
      <c r="F93" s="289">
        <f>IFERROR(_xlfn.XLOOKUP($A93,CFR20242025_BenchMarkDataReport!$B:$B,CFR20242025_BenchMarkDataReport!V:V),0)</f>
        <v>36747.68</v>
      </c>
      <c r="G93" s="289">
        <f>IFERROR(_xlfn.XLOOKUP($A93,CFR20242025_BenchMarkDataReport!$B:$B,CFR20242025_BenchMarkDataReport!W:W),0)</f>
        <v>0</v>
      </c>
      <c r="H93" s="289">
        <f>IFERROR(_xlfn.XLOOKUP($A93,CFR20242025_BenchMarkDataReport!$B:$B,CFR20242025_BenchMarkDataReport!X:X),0)</f>
        <v>6895</v>
      </c>
      <c r="I93" s="289">
        <f>IFERROR(_xlfn.XLOOKUP($A93,CFR20242025_BenchMarkDataReport!$B:$B,CFR20242025_BenchMarkDataReport!Y:Y),0)</f>
        <v>0</v>
      </c>
      <c r="J93" s="289">
        <f>IFERROR(_xlfn.XLOOKUP($A93,CFR20242025_BenchMarkDataReport!$B:$B,CFR20242025_BenchMarkDataReport!Z:Z),0)</f>
        <v>49081.59</v>
      </c>
      <c r="K93" s="289">
        <f>IFERROR(_xlfn.XLOOKUP($A93,CFR20242025_BenchMarkDataReport!$B:$B,CFR20242025_BenchMarkDataReport!AA:AA),0)</f>
        <v>342360.7</v>
      </c>
      <c r="L93" s="289">
        <f>IFERROR(_xlfn.XLOOKUP($A93,CFR20242025_BenchMarkDataReport!$B:$B,CFR20242025_BenchMarkDataReport!AB:AB),0)</f>
        <v>36119</v>
      </c>
      <c r="M93" s="289">
        <f>IFERROR(_xlfn.XLOOKUP($A93,CFR20242025_BenchMarkDataReport!$B:$B,CFR20242025_BenchMarkDataReport!AC:AC),0)</f>
        <v>0</v>
      </c>
      <c r="N93" s="289">
        <f>IFERROR(_xlfn.XLOOKUP($A93,CFR20242025_BenchMarkDataReport!$B:$B,CFR20242025_BenchMarkDataReport!AD:AD),0)</f>
        <v>0</v>
      </c>
      <c r="O93" s="289">
        <f>IFERROR(_xlfn.XLOOKUP($A93,CFR20242025_BenchMarkDataReport!$B:$B,CFR20242025_BenchMarkDataReport!AE:AE),0)</f>
        <v>0</v>
      </c>
      <c r="P93" s="289">
        <f>IFERROR(_xlfn.XLOOKUP($A93,CFR20242025_BenchMarkDataReport!$B:$B,CFR20242025_BenchMarkDataReport!AF:AF),0)</f>
        <v>165</v>
      </c>
      <c r="Q93" s="289">
        <f>IFERROR(_xlfn.XLOOKUP($A93,CFR20242025_BenchMarkDataReport!$B:$B,CFR20242025_BenchMarkDataReport!AG:AG),0)</f>
        <v>0</v>
      </c>
      <c r="R93" s="289">
        <f>IFERROR(_xlfn.XLOOKUP($A93,CFR20242025_BenchMarkDataReport!$B:$B,CFR20242025_BenchMarkDataReport!AH:AH),0)</f>
        <v>0</v>
      </c>
      <c r="S93" s="289">
        <f>IFERROR(_xlfn.XLOOKUP($A93,CFR20242025_BenchMarkDataReport!$B:$B,CFR20242025_BenchMarkDataReport!AI:AI),0)</f>
        <v>0</v>
      </c>
      <c r="T93" s="289">
        <f>IFERROR(_xlfn.XLOOKUP($A93,CFR20242025_BenchMarkDataReport!$B:$B,CFR20242025_BenchMarkDataReport!AJ:AJ),0)</f>
        <v>0</v>
      </c>
      <c r="U93" s="289">
        <f>INDEX(CFR20242025_BenchMarkDataReport!$B$3:$AM$87,MATCH(A93,CFR20242025_BenchMarkDataReport!$B$3:$B$87),MATCH($U$2,CFR20242025_BenchMarkDataReport!$B$3:$AM$3,0))</f>
        <v>3514.06</v>
      </c>
      <c r="V93" s="289">
        <f>IFERROR(_xlfn.XLOOKUP($A93,CFR20242025_BenchMarkDataReport!$B:$B,CFR20242025_BenchMarkDataReport!AN:AN),0)</f>
        <v>608047.92000000004</v>
      </c>
      <c r="W93" s="289">
        <f>IFERROR(_xlfn.XLOOKUP($A93,CFR20242025_BenchMarkDataReport!$B:$B,CFR20242025_BenchMarkDataReport!AO:AO),0)</f>
        <v>0</v>
      </c>
      <c r="X93" s="289">
        <f>IFERROR(_xlfn.XLOOKUP($A93,CFR20242025_BenchMarkDataReport!$B:$B,CFR20242025_BenchMarkDataReport!AP:AP),0)</f>
        <v>45727.87</v>
      </c>
      <c r="Y93" s="289">
        <f>IFERROR(_xlfn.XLOOKUP($A93,CFR20242025_BenchMarkDataReport!$B:$B,CFR20242025_BenchMarkDataReport!AQ:AQ),0)</f>
        <v>0</v>
      </c>
      <c r="Z93" s="289">
        <f>IFERROR(_xlfn.XLOOKUP($A93,CFR20242025_BenchMarkDataReport!$B:$B,CFR20242025_BenchMarkDataReport!AR:AR),0)</f>
        <v>30266.04</v>
      </c>
      <c r="AA93" s="289">
        <f>IFERROR(_xlfn.XLOOKUP($A93,CFR20242025_BenchMarkDataReport!$B:$B,CFR20242025_BenchMarkDataReport!AS:AS),0)</f>
        <v>0</v>
      </c>
      <c r="AB93" s="289">
        <f>IFERROR(_xlfn.XLOOKUP($A93,CFR20242025_BenchMarkDataReport!$B:$B,CFR20242025_BenchMarkDataReport!AT:AT),0)</f>
        <v>6647.83</v>
      </c>
      <c r="AC93" s="289">
        <f>IFERROR(_xlfn.XLOOKUP($A93,CFR20242025_BenchMarkDataReport!$B:$B,CFR20242025_BenchMarkDataReport!AU:AU),0)</f>
        <v>2983.56</v>
      </c>
      <c r="AD93" s="289">
        <f>IFERROR(_xlfn.XLOOKUP($A93,CFR20242025_BenchMarkDataReport!$B:$B,CFR20242025_BenchMarkDataReport!AV:AV),0)</f>
        <v>1686.63</v>
      </c>
      <c r="AE93" s="289">
        <f>IFERROR(_xlfn.XLOOKUP($A93,CFR20242025_BenchMarkDataReport!$B:$B,CFR20242025_BenchMarkDataReport!AW:AW),0)</f>
        <v>0</v>
      </c>
      <c r="AF93" s="289">
        <f>IFERROR(_xlfn.XLOOKUP($A93,CFR20242025_BenchMarkDataReport!$B:$B,CFR20242025_BenchMarkDataReport!AX:AX),0)</f>
        <v>0</v>
      </c>
      <c r="AG93" s="289">
        <f>IFERROR(_xlfn.XLOOKUP($A93,CFR20242025_BenchMarkDataReport!$B:$B,CFR20242025_BenchMarkDataReport!AY:AY),0)</f>
        <v>1185.97</v>
      </c>
      <c r="AH93" s="289">
        <f>IFERROR(_xlfn.XLOOKUP($A93,CFR20242025_BenchMarkDataReport!$B:$B,CFR20242025_BenchMarkDataReport!AZ:AZ),0)</f>
        <v>0</v>
      </c>
      <c r="AI93" s="289">
        <f>IFERROR(_xlfn.XLOOKUP($A93,CFR20242025_BenchMarkDataReport!$B:$B,CFR20242025_BenchMarkDataReport!BA:BA),0)</f>
        <v>28.95</v>
      </c>
      <c r="AJ93" s="289">
        <f>IFERROR(_xlfn.XLOOKUP($A93,CFR20242025_BenchMarkDataReport!$B:$B,CFR20242025_BenchMarkDataReport!BB:BB),0)</f>
        <v>0</v>
      </c>
      <c r="AK93" s="289">
        <f>IFERROR(_xlfn.XLOOKUP($A93,CFR20242025_BenchMarkDataReport!$B:$B,CFR20242025_BenchMarkDataReport!BC:BC),0)</f>
        <v>0</v>
      </c>
      <c r="AL93" s="289">
        <f>IFERROR(_xlfn.XLOOKUP($A93,CFR20242025_BenchMarkDataReport!$B:$B,CFR20242025_BenchMarkDataReport!BD:BD),0)</f>
        <v>0</v>
      </c>
      <c r="AM93" s="289">
        <f>IFERROR(_xlfn.XLOOKUP($A93,CFR20242025_BenchMarkDataReport!$B:$B,CFR20242025_BenchMarkDataReport!BE:BE),0)</f>
        <v>356790.96</v>
      </c>
      <c r="AN93" s="289">
        <f>IFERROR(_xlfn.XLOOKUP($A93,CFR20242025_BenchMarkDataReport!$B:$B,CFR20242025_BenchMarkDataReport!BF:BF),0)</f>
        <v>6953.55</v>
      </c>
      <c r="AO93" s="289">
        <f>IFERROR(_xlfn.XLOOKUP($A93,CFR20242025_BenchMarkDataReport!$B:$B,CFR20242025_BenchMarkDataReport!BN:BN),0)</f>
        <v>22722.58</v>
      </c>
      <c r="AP93" s="289">
        <f>IFERROR(_xlfn.XLOOKUP($A93,CFR20242025_BenchMarkDataReport!$B:$B,CFR20242025_BenchMarkDataReport!BO:BO),0)</f>
        <v>6030.42</v>
      </c>
      <c r="AQ93" s="289">
        <f>IFERROR(_xlfn.XLOOKUP($A93,CFR20242025_BenchMarkDataReport!$B:$B,CFR20242025_BenchMarkDataReport!BP:BP),0)</f>
        <v>8629.77</v>
      </c>
      <c r="AR93" s="289">
        <f>IFERROR(_xlfn.XLOOKUP($A93,CFR20242025_BenchMarkDataReport!$B:$B,CFR20242025_BenchMarkDataReport!BQ:BQ),0)</f>
        <v>61.82</v>
      </c>
      <c r="AS93" s="289">
        <f>IFERROR(_xlfn.XLOOKUP($A93,CFR20242025_BenchMarkDataReport!$B:$B,CFR20242025_BenchMarkDataReport!BR:BR),0)</f>
        <v>243.28</v>
      </c>
      <c r="AT93" s="289">
        <f>IFERROR(_xlfn.XLOOKUP($A93,CFR20242025_BenchMarkDataReport!$B:$B,CFR20242025_BenchMarkDataReport!BS:BS),0)</f>
        <v>632.99</v>
      </c>
      <c r="AU93" s="289">
        <f>IFERROR(_xlfn.XLOOKUP($A93,CFR20242025_BenchMarkDataReport!$B:$B,CFR20242025_BenchMarkDataReport!BT:BT),0)</f>
        <v>1290.0999999999999</v>
      </c>
      <c r="AV93" s="289">
        <f>IFERROR(_xlfn.XLOOKUP($A93,CFR20242025_BenchMarkDataReport!$B:$B,CFR20242025_BenchMarkDataReport!BU:BU),0)</f>
        <v>25017.47</v>
      </c>
      <c r="AW93" s="289">
        <f>IFERROR(_xlfn.XLOOKUP($A93,CFR20242025_BenchMarkDataReport!$B:$B,CFR20242025_BenchMarkDataReport!BV:BV),0)</f>
        <v>24737.97</v>
      </c>
      <c r="AX93" s="289">
        <f>IFERROR(_xlfn.XLOOKUP($A93,CFR20242025_BenchMarkDataReport!$B:$B,CFR20242025_BenchMarkDataReport!BW:BW),0)</f>
        <v>0</v>
      </c>
      <c r="AY93" s="289">
        <f>IFERROR(_xlfn.XLOOKUP($A93,CFR20242025_BenchMarkDataReport!$B:$B,CFR20242025_BenchMarkDataReport!BX:BX),0)</f>
        <v>0</v>
      </c>
      <c r="AZ93" s="289">
        <f>IFERROR(_xlfn.XLOOKUP($A93,CFR20242025_BenchMarkDataReport!$B:$B,CFR20242025_BenchMarkDataReport!BY:BY),0)</f>
        <v>0</v>
      </c>
      <c r="BA93" s="289">
        <f>IFERROR(_xlfn.XLOOKUP($A93,CFR20242025_BenchMarkDataReport!$B:$B,CFR20242025_BenchMarkDataReport!BZ:BZ),0)</f>
        <v>0</v>
      </c>
      <c r="BB93" s="289">
        <f>IFERROR(_xlfn.XLOOKUP($A93,CFR20242025_BenchMarkDataReport!$B:$B,CFR20242025_BenchMarkDataReport!CA:CA),0)</f>
        <v>0</v>
      </c>
      <c r="BC93" s="290">
        <f>SUM(D93:R93)+U93</f>
        <v>1039820.1100000001</v>
      </c>
      <c r="BD93" s="291">
        <f>SUM(V93:AZ93)</f>
        <v>1149685.6800000002</v>
      </c>
      <c r="BE93" s="325">
        <f>BC93-BD93</f>
        <v>-109865.57000000007</v>
      </c>
      <c r="BF93" s="289">
        <f>IFERROR(_xlfn.XLOOKUP(A93,CFR20242025_BenchMarkDataReport!B:B,CFR20242025_BenchMarkDataReport!Q:Q),0)</f>
        <v>-37777.82</v>
      </c>
      <c r="BG93" s="290">
        <f t="shared" si="177"/>
        <v>-147643.39000000007</v>
      </c>
      <c r="BH93" s="292">
        <f>_xlfn.XLOOKUP(A93,'Pupil on roll 24-25'!E:E,'Pupil on roll 24-25'!I:I)</f>
        <v>8</v>
      </c>
      <c r="BI93" s="291">
        <f t="shared" ref="BI93:BI94" si="339">D93+E93+F93</f>
        <v>601684.76</v>
      </c>
      <c r="BJ93" t="s">
        <v>347</v>
      </c>
      <c r="BK93" s="293">
        <f>IFERROR(D93/BC93,0)</f>
        <v>0.54330270646525569</v>
      </c>
      <c r="BL93" s="294">
        <f>D93/BH93</f>
        <v>70617.134999999995</v>
      </c>
      <c r="BM93" s="295">
        <f>E93/BC93</f>
        <v>0</v>
      </c>
      <c r="BN93" s="296">
        <f>E93/BH93</f>
        <v>0</v>
      </c>
      <c r="BO93" s="293">
        <f>F93/BC93</f>
        <v>3.5340420565630332E-2</v>
      </c>
      <c r="BP93" s="294">
        <f>F93/BH93</f>
        <v>4593.46</v>
      </c>
      <c r="BQ93" s="295">
        <f>G93/BC93</f>
        <v>0</v>
      </c>
      <c r="BR93" s="296">
        <f>G93/BH93</f>
        <v>0</v>
      </c>
      <c r="BS93" s="293">
        <f>H93/BC93</f>
        <v>6.630954656185674E-3</v>
      </c>
      <c r="BT93" s="294">
        <f>H93/BH93</f>
        <v>861.875</v>
      </c>
      <c r="BU93" s="295">
        <f>I93/BC93</f>
        <v>0</v>
      </c>
      <c r="BV93" s="296">
        <f>I93/BH93</f>
        <v>0</v>
      </c>
      <c r="BW93" s="293">
        <f>J93/BC93</f>
        <v>4.7202001123059632E-2</v>
      </c>
      <c r="BX93" s="294">
        <f>J93/BH93</f>
        <v>6135.1987499999996</v>
      </c>
      <c r="BY93" s="295">
        <f>IFERROR((K93+L93)/BC93,0)</f>
        <v>0.36398574749626644</v>
      </c>
      <c r="BZ93" s="297">
        <f>IFERROR((K93+L93)/BH93,0)</f>
        <v>47309.962500000001</v>
      </c>
      <c r="CA93" s="298">
        <f>P93/BC93</f>
        <v>1.5868129344026629E-4</v>
      </c>
      <c r="CB93" s="299">
        <f>P93/BH93</f>
        <v>20.625</v>
      </c>
      <c r="CC93" s="295">
        <f>Q93/BC93</f>
        <v>0</v>
      </c>
      <c r="CD93" s="296">
        <f>Q93/BH93</f>
        <v>0</v>
      </c>
      <c r="CE93" s="300">
        <f>(V93+W93+AU93)/BI93</f>
        <v>1.0127197172153737</v>
      </c>
      <c r="CF93" s="298">
        <f>(V93+W93+AU93)/BC93</f>
        <v>0.58600330397533851</v>
      </c>
      <c r="CG93" s="298">
        <f>(V93+W93+AU93)/BD93</f>
        <v>0.53000400944369419</v>
      </c>
      <c r="CH93" s="299">
        <f>(V93+W93+AU93)/BH93</f>
        <v>76167.252500000002</v>
      </c>
      <c r="CI93" s="295">
        <f>X93/BI93</f>
        <v>7.5999714534900301E-2</v>
      </c>
      <c r="CJ93" s="301">
        <f>X93/BC93</f>
        <v>4.3976712471929399E-2</v>
      </c>
      <c r="CK93" s="301">
        <f>X93/BD93</f>
        <v>3.9774236380851501E-2</v>
      </c>
      <c r="CL93" s="302">
        <f>X93/BH93</f>
        <v>5715.9837500000003</v>
      </c>
      <c r="CM93" s="300">
        <f>Y93/BI93</f>
        <v>0</v>
      </c>
      <c r="CN93" s="298">
        <f>Y93/BC93</f>
        <v>0</v>
      </c>
      <c r="CO93" s="298">
        <f>Y93/BD93</f>
        <v>0</v>
      </c>
      <c r="CP93" s="299">
        <f>Y93/BH93</f>
        <v>0</v>
      </c>
      <c r="CQ93" s="295">
        <f>Z93/BI93</f>
        <v>5.0302154902510741E-2</v>
      </c>
      <c r="CR93" s="301">
        <f>Z93/BC93</f>
        <v>2.9106996209180835E-2</v>
      </c>
      <c r="CS93" s="301">
        <f>Z93/BD93</f>
        <v>2.632549098115234E-2</v>
      </c>
      <c r="CT93" s="296">
        <f>Z93/BH93</f>
        <v>3783.2550000000001</v>
      </c>
      <c r="CU93" s="300">
        <f>(V93+W93+X93+Y93+Z93+AA93+AB93)/BI93</f>
        <v>1.1479261332794934</v>
      </c>
      <c r="CV93" s="298">
        <f>(V93+W93+X93+Y93+Z93+AA93+AB93)/BC93</f>
        <v>0.66423956736131984</v>
      </c>
      <c r="CW93" s="298">
        <f>(V93+W93+X93+Y93+Z93+AA93+AB93)/BD93</f>
        <v>0.60076390618347086</v>
      </c>
      <c r="CX93" s="299">
        <f>(V93+W93+X93+Y93+Z93+AA93+AB93)/BH93</f>
        <v>86336.207500000004</v>
      </c>
      <c r="CY93" s="295">
        <f>AG93/BI93</f>
        <v>1.9710819998166483E-3</v>
      </c>
      <c r="CZ93" s="301">
        <f>AG93/BD93</f>
        <v>1.0315602086998247E-3</v>
      </c>
      <c r="DA93" s="296">
        <f>AG93/BH93</f>
        <v>148.24625</v>
      </c>
      <c r="DB93" s="300">
        <f>AJ93/BD93</f>
        <v>0</v>
      </c>
      <c r="DC93" s="299">
        <f>AJ93/BH93</f>
        <v>0</v>
      </c>
      <c r="DD93" s="295">
        <f>AK93/BI93</f>
        <v>0</v>
      </c>
      <c r="DE93" s="301">
        <f>AK93/BD93</f>
        <v>0</v>
      </c>
      <c r="DF93" s="296">
        <f>AK93/BH93</f>
        <v>0</v>
      </c>
      <c r="DG93" s="300">
        <f>AM93/BI93</f>
        <v>0.59298653334679774</v>
      </c>
      <c r="DH93" s="298">
        <f>AM93/BD93</f>
        <v>0.31033783077127652</v>
      </c>
      <c r="DI93" s="303">
        <f>AM93/BH93</f>
        <v>44598.87</v>
      </c>
      <c r="DJ93" s="295">
        <f>AN93/BI93</f>
        <v>1.1556799278080435E-2</v>
      </c>
      <c r="DK93" s="301">
        <f>AN93/BC93</f>
        <v>6.6872624727367502E-3</v>
      </c>
      <c r="DL93" s="301">
        <f>AN93/BD93</f>
        <v>6.0482183269430639E-3</v>
      </c>
      <c r="DM93" s="296">
        <f>AN93/BH93</f>
        <v>869.19375000000002</v>
      </c>
      <c r="DN93" s="300">
        <f>AQ93/BI93</f>
        <v>1.4342676719948832E-2</v>
      </c>
      <c r="DO93" s="298">
        <f>IFERROR(AQ93/BD93,0)</f>
        <v>7.5061994335703991E-3</v>
      </c>
      <c r="DP93" s="299">
        <f>AQ93/BH93</f>
        <v>1078.7212500000001</v>
      </c>
      <c r="DQ93" s="295">
        <f>IFERROR(AV93/BI93,0)</f>
        <v>4.1579032182899232E-2</v>
      </c>
      <c r="DR93" s="301">
        <f>IFERROR(AV93/BD93,0)</f>
        <v>2.1760269293777754E-2</v>
      </c>
      <c r="DS93" s="296">
        <f>AV93/BH93</f>
        <v>3127.1837500000001</v>
      </c>
      <c r="DT93" s="300">
        <f>AT93/BD93</f>
        <v>5.5057657150256922E-4</v>
      </c>
      <c r="DU93" s="299">
        <f>AT93/BH93</f>
        <v>79.123750000000001</v>
      </c>
      <c r="DV93" s="295">
        <f t="shared" si="178"/>
        <v>2.5180795502297633E-5</v>
      </c>
      <c r="DW93" s="296">
        <f t="shared" si="179"/>
        <v>3.6187499999999999</v>
      </c>
      <c r="DX93" s="295">
        <f>EB93/BI93</f>
        <v>4.9859996453957055E-6</v>
      </c>
      <c r="DY93" s="301">
        <f>EB93/BC93</f>
        <v>2.88511442618666E-6</v>
      </c>
      <c r="DZ93" s="301">
        <f>EB93/BD93</f>
        <v>2.6094088603417235E-6</v>
      </c>
      <c r="EA93" s="296">
        <f>EB93/BH93</f>
        <v>0.375</v>
      </c>
      <c r="EB93" s="304">
        <f>IFERROR(_xlfn.XLOOKUP(A93,'Pupil on roll 24-25'!E:E,'Pupil on roll 24-25'!R:R),0)</f>
        <v>3</v>
      </c>
      <c r="EC93" s="289">
        <f>IFERROR(_xlfn.XLOOKUP(A93,CFR20242025_BenchMarkDataReport!B:B,CFR20242025_BenchMarkDataReport!AK:AK),0)</f>
        <v>3514.06</v>
      </c>
      <c r="ED93" s="289">
        <f>IFERROR(_xlfn.XLOOKUP(A93,CFR20242025_BenchMarkDataReport!B:B,CFR20242025_BenchMarkDataReport!AL:AL),0)</f>
        <v>0</v>
      </c>
    </row>
    <row r="94" spans="1:228">
      <c r="A94" s="342">
        <v>1100</v>
      </c>
      <c r="B94" s="6">
        <v>10188</v>
      </c>
      <c r="C94" s="328" t="s">
        <v>327</v>
      </c>
      <c r="D94" s="289">
        <f>IFERROR(_xlfn.XLOOKUP($A94,CFR20242025_BenchMarkDataReport!$B:$B,CFR20242025_BenchMarkDataReport!T:T),0)</f>
        <v>2114714.52</v>
      </c>
      <c r="E94" s="289">
        <f>IFERROR(_xlfn.XLOOKUP($A94,CFR20242025_BenchMarkDataReport!$B:$B,CFR20242025_BenchMarkDataReport!U:U),0)</f>
        <v>0</v>
      </c>
      <c r="F94" s="289">
        <f>IFERROR(_xlfn.XLOOKUP($A94,CFR20242025_BenchMarkDataReport!$B:$B,CFR20242025_BenchMarkDataReport!V:V),0)</f>
        <v>1102580.1100000001</v>
      </c>
      <c r="G94" s="289">
        <f>IFERROR(_xlfn.XLOOKUP($A94,CFR20242025_BenchMarkDataReport!$B:$B,CFR20242025_BenchMarkDataReport!W:W),0)</f>
        <v>0</v>
      </c>
      <c r="H94" s="289">
        <f>IFERROR(_xlfn.XLOOKUP($A94,CFR20242025_BenchMarkDataReport!$B:$B,CFR20242025_BenchMarkDataReport!X:X),0)</f>
        <v>28815</v>
      </c>
      <c r="I94" s="289">
        <f>IFERROR(_xlfn.XLOOKUP($A94,CFR20242025_BenchMarkDataReport!$B:$B,CFR20242025_BenchMarkDataReport!Y:Y),0)</f>
        <v>0</v>
      </c>
      <c r="J94" s="289">
        <f>IFERROR(_xlfn.XLOOKUP($A94,CFR20242025_BenchMarkDataReport!$B:$B,CFR20242025_BenchMarkDataReport!Z:Z),0)</f>
        <v>90378.02</v>
      </c>
      <c r="K94" s="289">
        <f>IFERROR(_xlfn.XLOOKUP($A94,CFR20242025_BenchMarkDataReport!$B:$B,CFR20242025_BenchMarkDataReport!AA:AA),0)</f>
        <v>49950</v>
      </c>
      <c r="L94" s="289">
        <f>IFERROR(_xlfn.XLOOKUP($A94,CFR20242025_BenchMarkDataReport!$B:$B,CFR20242025_BenchMarkDataReport!AB:AB),0)</f>
        <v>243844.12</v>
      </c>
      <c r="M94" s="289">
        <f>IFERROR(_xlfn.XLOOKUP($A94,CFR20242025_BenchMarkDataReport!$B:$B,CFR20242025_BenchMarkDataReport!AC:AC),0)</f>
        <v>2156.34</v>
      </c>
      <c r="N94" s="289">
        <f>IFERROR(_xlfn.XLOOKUP($A94,CFR20242025_BenchMarkDataReport!$B:$B,CFR20242025_BenchMarkDataReport!AD:AD),0)</f>
        <v>0</v>
      </c>
      <c r="O94" s="289">
        <f>IFERROR(_xlfn.XLOOKUP($A94,CFR20242025_BenchMarkDataReport!$B:$B,CFR20242025_BenchMarkDataReport!AE:AE),0)</f>
        <v>0</v>
      </c>
      <c r="P94" s="289">
        <f>IFERROR(_xlfn.XLOOKUP($A94,CFR20242025_BenchMarkDataReport!$B:$B,CFR20242025_BenchMarkDataReport!AF:AF),0)</f>
        <v>1147.5</v>
      </c>
      <c r="Q94" s="289">
        <f>IFERROR(_xlfn.XLOOKUP($A94,CFR20242025_BenchMarkDataReport!$B:$B,CFR20242025_BenchMarkDataReport!AG:AG),0)</f>
        <v>5454</v>
      </c>
      <c r="R94" s="289">
        <f>IFERROR(_xlfn.XLOOKUP($A94,CFR20242025_BenchMarkDataReport!$B:$B,CFR20242025_BenchMarkDataReport!AH:AH),0)</f>
        <v>0</v>
      </c>
      <c r="S94" s="289">
        <f>IFERROR(_xlfn.XLOOKUP($A94,CFR20242025_BenchMarkDataReport!$B:$B,CFR20242025_BenchMarkDataReport!AI:AI),0)</f>
        <v>0</v>
      </c>
      <c r="T94" s="289">
        <f>IFERROR(_xlfn.XLOOKUP($A94,CFR20242025_BenchMarkDataReport!$B:$B,CFR20242025_BenchMarkDataReport!AJ:AJ),0)</f>
        <v>0</v>
      </c>
      <c r="U94" s="289">
        <f>INDEX(CFR20242025_BenchMarkDataReport!$B$3:$AM$87,MATCH(A94,CFR20242025_BenchMarkDataReport!$B$3:$B$87),MATCH($U$2,CFR20242025_BenchMarkDataReport!$B$3:$AM$3,0))</f>
        <v>10489.56</v>
      </c>
      <c r="V94" s="289">
        <f>IFERROR(_xlfn.XLOOKUP($A94,CFR20242025_BenchMarkDataReport!$B:$B,CFR20242025_BenchMarkDataReport!AN:AN),0)</f>
        <v>1964056.15</v>
      </c>
      <c r="W94" s="289">
        <f>IFERROR(_xlfn.XLOOKUP($A94,CFR20242025_BenchMarkDataReport!$B:$B,CFR20242025_BenchMarkDataReport!AO:AO),0)</f>
        <v>147061.81</v>
      </c>
      <c r="X94" s="289">
        <f>IFERROR(_xlfn.XLOOKUP($A94,CFR20242025_BenchMarkDataReport!$B:$B,CFR20242025_BenchMarkDataReport!AP:AP),0)</f>
        <v>497872.04</v>
      </c>
      <c r="Y94" s="289">
        <f>IFERROR(_xlfn.XLOOKUP($A94,CFR20242025_BenchMarkDataReport!$B:$B,CFR20242025_BenchMarkDataReport!AQ:AQ),0)</f>
        <v>50994.21</v>
      </c>
      <c r="Z94" s="289">
        <f>IFERROR(_xlfn.XLOOKUP($A94,CFR20242025_BenchMarkDataReport!$B:$B,CFR20242025_BenchMarkDataReport!AR:AR),0)</f>
        <v>206704.84</v>
      </c>
      <c r="AA94" s="289">
        <f>IFERROR(_xlfn.XLOOKUP($A94,CFR20242025_BenchMarkDataReport!$B:$B,CFR20242025_BenchMarkDataReport!AS:AS),0)</f>
        <v>0</v>
      </c>
      <c r="AB94" s="289">
        <f>IFERROR(_xlfn.XLOOKUP($A94,CFR20242025_BenchMarkDataReport!$B:$B,CFR20242025_BenchMarkDataReport!AT:AT),0)</f>
        <v>0</v>
      </c>
      <c r="AC94" s="289">
        <f>IFERROR(_xlfn.XLOOKUP($A94,CFR20242025_BenchMarkDataReport!$B:$B,CFR20242025_BenchMarkDataReport!AU:AU),0)</f>
        <v>23746.53</v>
      </c>
      <c r="AD94" s="289">
        <f>IFERROR(_xlfn.XLOOKUP($A94,CFR20242025_BenchMarkDataReport!$B:$B,CFR20242025_BenchMarkDataReport!AV:AV),0)</f>
        <v>49073.440000000002</v>
      </c>
      <c r="AE94" s="289">
        <f>IFERROR(_xlfn.XLOOKUP($A94,CFR20242025_BenchMarkDataReport!$B:$B,CFR20242025_BenchMarkDataReport!AW:AW),0)</f>
        <v>0</v>
      </c>
      <c r="AF94" s="289">
        <f>IFERROR(_xlfn.XLOOKUP($A94,CFR20242025_BenchMarkDataReport!$B:$B,CFR20242025_BenchMarkDataReport!AX:AX),0)</f>
        <v>0</v>
      </c>
      <c r="AG94" s="289">
        <f>IFERROR(_xlfn.XLOOKUP($A94,CFR20242025_BenchMarkDataReport!$B:$B,CFR20242025_BenchMarkDataReport!AY:AY),0)</f>
        <v>4286.59</v>
      </c>
      <c r="AH94" s="289">
        <f>IFERROR(_xlfn.XLOOKUP($A94,CFR20242025_BenchMarkDataReport!$B:$B,CFR20242025_BenchMarkDataReport!AZ:AZ),0)</f>
        <v>2410</v>
      </c>
      <c r="AI94" s="289">
        <f>IFERROR(_xlfn.XLOOKUP($A94,CFR20242025_BenchMarkDataReport!$B:$B,CFR20242025_BenchMarkDataReport!BA:BA),0)</f>
        <v>36799</v>
      </c>
      <c r="AJ94" s="289">
        <f>IFERROR(_xlfn.XLOOKUP($A94,CFR20242025_BenchMarkDataReport!$B:$B,CFR20242025_BenchMarkDataReport!BB:BB),0)</f>
        <v>1147.26</v>
      </c>
      <c r="AK94" s="289">
        <f>IFERROR(_xlfn.XLOOKUP($A94,CFR20242025_BenchMarkDataReport!$B:$B,CFR20242025_BenchMarkDataReport!BC:BC),0)</f>
        <v>53541.61</v>
      </c>
      <c r="AL94" s="289">
        <f>IFERROR(_xlfn.XLOOKUP($A94,CFR20242025_BenchMarkDataReport!$B:$B,CFR20242025_BenchMarkDataReport!BD:BD),0)</f>
        <v>0</v>
      </c>
      <c r="AM94" s="289">
        <f>IFERROR(_xlfn.XLOOKUP($A94,CFR20242025_BenchMarkDataReport!$B:$B,CFR20242025_BenchMarkDataReport!BE:BE),0)</f>
        <v>11841.18</v>
      </c>
      <c r="AN94" s="289">
        <f>IFERROR(_xlfn.XLOOKUP($A94,CFR20242025_BenchMarkDataReport!$B:$B,CFR20242025_BenchMarkDataReport!BF:BF),0)</f>
        <v>48582.26</v>
      </c>
      <c r="AO94" s="289">
        <f>IFERROR(_xlfn.XLOOKUP($A94,CFR20242025_BenchMarkDataReport!$B:$B,CFR20242025_BenchMarkDataReport!BN:BN),0)</f>
        <v>31864.57</v>
      </c>
      <c r="AP94" s="289">
        <f>IFERROR(_xlfn.XLOOKUP($A94,CFR20242025_BenchMarkDataReport!$B:$B,CFR20242025_BenchMarkDataReport!BO:BO),0)</f>
        <v>12406.5</v>
      </c>
      <c r="AQ94" s="289">
        <f>IFERROR(_xlfn.XLOOKUP($A94,CFR20242025_BenchMarkDataReport!$B:$B,CFR20242025_BenchMarkDataReport!BP:BP),0)</f>
        <v>26781.24</v>
      </c>
      <c r="AR94" s="289">
        <f>IFERROR(_xlfn.XLOOKUP($A94,CFR20242025_BenchMarkDataReport!$B:$B,CFR20242025_BenchMarkDataReport!BQ:BQ),0)</f>
        <v>7000</v>
      </c>
      <c r="AS94" s="289">
        <f>IFERROR(_xlfn.XLOOKUP($A94,CFR20242025_BenchMarkDataReport!$B:$B,CFR20242025_BenchMarkDataReport!BR:BR),0)</f>
        <v>2966.95</v>
      </c>
      <c r="AT94" s="289">
        <f>IFERROR(_xlfn.XLOOKUP($A94,CFR20242025_BenchMarkDataReport!$B:$B,CFR20242025_BenchMarkDataReport!BS:BS),0)</f>
        <v>26069.69</v>
      </c>
      <c r="AU94" s="289">
        <f>IFERROR(_xlfn.XLOOKUP($A94,CFR20242025_BenchMarkDataReport!$B:$B,CFR20242025_BenchMarkDataReport!BT:BT),0)</f>
        <v>158949.67000000001</v>
      </c>
      <c r="AV94" s="289">
        <f>IFERROR(_xlfn.XLOOKUP($A94,CFR20242025_BenchMarkDataReport!$B:$B,CFR20242025_BenchMarkDataReport!BU:BU),0)</f>
        <v>167885.98</v>
      </c>
      <c r="AW94" s="289">
        <f>IFERROR(_xlfn.XLOOKUP($A94,CFR20242025_BenchMarkDataReport!$B:$B,CFR20242025_BenchMarkDataReport!BV:BV),0)</f>
        <v>55836.59</v>
      </c>
      <c r="AX94" s="289">
        <f>IFERROR(_xlfn.XLOOKUP($A94,CFR20242025_BenchMarkDataReport!$B:$B,CFR20242025_BenchMarkDataReport!BW:BW),0)</f>
        <v>0</v>
      </c>
      <c r="AY94" s="289">
        <f>IFERROR(_xlfn.XLOOKUP($A94,CFR20242025_BenchMarkDataReport!$B:$B,CFR20242025_BenchMarkDataReport!BX:BX),0)</f>
        <v>0</v>
      </c>
      <c r="AZ94" s="289">
        <f>IFERROR(_xlfn.XLOOKUP($A94,CFR20242025_BenchMarkDataReport!$B:$B,CFR20242025_BenchMarkDataReport!BY:BY),0)</f>
        <v>0</v>
      </c>
      <c r="BA94" s="289">
        <f>IFERROR(_xlfn.XLOOKUP($A94,CFR20242025_BenchMarkDataReport!$B:$B,CFR20242025_BenchMarkDataReport!BZ:BZ),0)</f>
        <v>0</v>
      </c>
      <c r="BB94" s="289">
        <f>IFERROR(_xlfn.XLOOKUP($A94,CFR20242025_BenchMarkDataReport!$B:$B,CFR20242025_BenchMarkDataReport!CA:CA),0)</f>
        <v>0</v>
      </c>
      <c r="BC94" s="290">
        <f>SUM(D94:R94)+U94</f>
        <v>3649529.17</v>
      </c>
      <c r="BD94" s="291">
        <f>SUM(V94:AZ94)</f>
        <v>3587878.1099999989</v>
      </c>
      <c r="BE94" s="325">
        <f>BC94-BD94</f>
        <v>61651.060000000987</v>
      </c>
      <c r="BF94" s="289">
        <f>IFERROR(_xlfn.XLOOKUP(A94,CFR20242025_BenchMarkDataReport!B:B,CFR20242025_BenchMarkDataReport!Q:Q),0)</f>
        <v>442196.94</v>
      </c>
      <c r="BG94" s="290">
        <f t="shared" si="177"/>
        <v>503848.00000000099</v>
      </c>
      <c r="BH94" s="292">
        <f>_xlfn.XLOOKUP(A94,'Pupil on roll 24-25'!E:E,'Pupil on roll 24-25'!I:I)</f>
        <v>45</v>
      </c>
      <c r="BI94" s="291">
        <f t="shared" si="339"/>
        <v>3217294.63</v>
      </c>
      <c r="BJ94" t="s">
        <v>347</v>
      </c>
      <c r="BK94" s="293">
        <f>IFERROR(D94/BC94,0)</f>
        <v>0.5794485867885254</v>
      </c>
      <c r="BL94" s="294">
        <f>D94/BH94</f>
        <v>46993.656000000003</v>
      </c>
      <c r="BM94" s="295">
        <f>E94/BC94</f>
        <v>0</v>
      </c>
      <c r="BN94" s="296">
        <f>E94/BH94</f>
        <v>0</v>
      </c>
      <c r="BO94" s="293">
        <f>F94/BC94</f>
        <v>0.30211571373739704</v>
      </c>
      <c r="BP94" s="294">
        <f>F94/BH94</f>
        <v>24501.780222222224</v>
      </c>
      <c r="BQ94" s="295">
        <f>G94/BC94</f>
        <v>0</v>
      </c>
      <c r="BR94" s="296">
        <f>G94/BH94</f>
        <v>0</v>
      </c>
      <c r="BS94" s="293">
        <f>H94/BC94</f>
        <v>7.8955390292167471E-3</v>
      </c>
      <c r="BT94" s="294">
        <f>H94/BH94</f>
        <v>640.33333333333337</v>
      </c>
      <c r="BU94" s="295">
        <f>I94/BC94</f>
        <v>0</v>
      </c>
      <c r="BV94" s="296">
        <f>I94/BH94</f>
        <v>0</v>
      </c>
      <c r="BW94" s="293">
        <f>J94/BC94</f>
        <v>2.4764295828330098E-2</v>
      </c>
      <c r="BX94" s="294">
        <f>J94/BH94</f>
        <v>2008.4004444444445</v>
      </c>
      <c r="BY94" s="295">
        <f>IFERROR((K94+L94)/BC94,0)</f>
        <v>8.050192403312123E-2</v>
      </c>
      <c r="BZ94" s="297">
        <f>IFERROR((K94+L94)/BH94,0)</f>
        <v>6528.7582222222218</v>
      </c>
      <c r="CA94" s="298">
        <f>P94/BC94</f>
        <v>3.1442412063252534E-4</v>
      </c>
      <c r="CB94" s="299">
        <f>P94/BH94</f>
        <v>25.5</v>
      </c>
      <c r="CC94" s="295">
        <f>Q94/BC94</f>
        <v>1.4944393498298851E-3</v>
      </c>
      <c r="CD94" s="296">
        <f>Q94/BH94</f>
        <v>121.2</v>
      </c>
      <c r="CE94" s="300">
        <f>(V94+W94+AU94)/BI94</f>
        <v>0.70558276162603106</v>
      </c>
      <c r="CF94" s="298">
        <f>(V94+W94+AU94)/BC94</f>
        <v>0.62201657371600072</v>
      </c>
      <c r="CG94" s="298">
        <f>(V94+W94+AU94)/BD94</f>
        <v>0.63270477992910423</v>
      </c>
      <c r="CH94" s="299">
        <f>(V94+W94+AU94)/BH94</f>
        <v>50445.94733333333</v>
      </c>
      <c r="CI94" s="295">
        <f>X94/BI94</f>
        <v>0.15474866223240488</v>
      </c>
      <c r="CJ94" s="301">
        <f>X94/BC94</f>
        <v>0.13642089617823222</v>
      </c>
      <c r="CK94" s="301">
        <f>X94/BD94</f>
        <v>0.13876503736633353</v>
      </c>
      <c r="CL94" s="302">
        <f>X94/BH94</f>
        <v>11063.823111111111</v>
      </c>
      <c r="CM94" s="300">
        <f>Y94/BI94</f>
        <v>1.5850028009402422E-2</v>
      </c>
      <c r="CN94" s="298">
        <f>Y94/BC94</f>
        <v>1.3972818855425123E-2</v>
      </c>
      <c r="CO94" s="298">
        <f>Y94/BD94</f>
        <v>1.4212915945463938E-2</v>
      </c>
      <c r="CP94" s="299">
        <f>Y94/BH94</f>
        <v>1133.2046666666668</v>
      </c>
      <c r="CQ94" s="295">
        <f>Z94/BI94</f>
        <v>6.4248029407241447E-2</v>
      </c>
      <c r="CR94" s="301">
        <f>Z94/BC94</f>
        <v>5.6638769104563697E-2</v>
      </c>
      <c r="CS94" s="301">
        <f>Z94/BD94</f>
        <v>5.7612001763348658E-2</v>
      </c>
      <c r="CT94" s="296">
        <f>Z94/BH94</f>
        <v>4593.4408888888884</v>
      </c>
      <c r="CU94" s="300">
        <f>(V94+W94+X94+Y94+Z94+AA94+AB94)/BI94</f>
        <v>0.89102472097807217</v>
      </c>
      <c r="CV94" s="298">
        <f>(V94+W94+X94+Y94+Z94+AA94+AB94)/BC94</f>
        <v>0.78549558490033933</v>
      </c>
      <c r="CW94" s="298">
        <f>(V94+W94+X94+Y94+Z94+AA94+AB94)/BD94</f>
        <v>0.79899287604282654</v>
      </c>
      <c r="CX94" s="299">
        <f>(V94+W94+X94+Y94+Z94+AA94+AB94)/BH94</f>
        <v>63704.201111111106</v>
      </c>
      <c r="CY94" s="295">
        <f>AG94/BI94</f>
        <v>1.3323585474669445E-3</v>
      </c>
      <c r="CZ94" s="301">
        <f>AG94/BD94</f>
        <v>1.1947423709998892E-3</v>
      </c>
      <c r="DA94" s="296">
        <f>AG94/BH94</f>
        <v>95.257555555555555</v>
      </c>
      <c r="DB94" s="300">
        <f>AJ94/BD94</f>
        <v>3.1976002663033622E-4</v>
      </c>
      <c r="DC94" s="299">
        <f>AJ94/BH94</f>
        <v>25.494666666666667</v>
      </c>
      <c r="DD94" s="295">
        <f>AK94/BI94</f>
        <v>1.6641811259915602E-2</v>
      </c>
      <c r="DE94" s="301">
        <f>AK94/BD94</f>
        <v>1.4922917768797898E-2</v>
      </c>
      <c r="DF94" s="296">
        <f>AK94/BH94</f>
        <v>1189.8135555555555</v>
      </c>
      <c r="DG94" s="300">
        <f>AM94/BI94</f>
        <v>3.6804773456511194E-3</v>
      </c>
      <c r="DH94" s="298">
        <f>AM94/BD94</f>
        <v>3.3003295086855679E-3</v>
      </c>
      <c r="DI94" s="303">
        <f>AM94/BH94</f>
        <v>263.13733333333334</v>
      </c>
      <c r="DJ94" s="295">
        <f>AN94/BI94</f>
        <v>1.510034534822818E-2</v>
      </c>
      <c r="DK94" s="301">
        <f>AN94/BC94</f>
        <v>1.3311925384610641E-2</v>
      </c>
      <c r="DL94" s="301">
        <f>AN94/BD94</f>
        <v>1.3540666240749193E-2</v>
      </c>
      <c r="DM94" s="296">
        <f>AN94/BH94</f>
        <v>1079.6057777777778</v>
      </c>
      <c r="DN94" s="300">
        <f>AQ94/BI94</f>
        <v>8.3241490382247041E-3</v>
      </c>
      <c r="DO94" s="298">
        <f>IFERROR(AQ94/BD94,0)</f>
        <v>7.4643672886646672E-3</v>
      </c>
      <c r="DP94" s="299">
        <f>AQ94/BH94</f>
        <v>595.13866666666672</v>
      </c>
      <c r="DQ94" s="295">
        <f>IFERROR(AV94/BI94,0)</f>
        <v>5.2182345513068544E-2</v>
      </c>
      <c r="DR94" s="301">
        <f>IFERROR(AV94/BD94,0)</f>
        <v>4.6792553942140484E-2</v>
      </c>
      <c r="DS94" s="296">
        <f>AV94/BH94</f>
        <v>3730.7995555555558</v>
      </c>
      <c r="DT94" s="300">
        <f>AT94/BD94</f>
        <v>7.2660467275461613E-3</v>
      </c>
      <c r="DU94" s="299">
        <f>AT94/BH94</f>
        <v>579.32644444444441</v>
      </c>
      <c r="DV94" s="295">
        <f t="shared" si="178"/>
        <v>1.0256479978356905E-2</v>
      </c>
      <c r="DW94" s="296">
        <f t="shared" si="179"/>
        <v>817.75555555555559</v>
      </c>
      <c r="DX94" s="295">
        <f>EB94/BI94</f>
        <v>8.392144054273327E-6</v>
      </c>
      <c r="DY94" s="301">
        <f>EB94/BC94</f>
        <v>7.3982146031182427E-6</v>
      </c>
      <c r="DZ94" s="301">
        <f>EB94/BD94</f>
        <v>7.5253392596439144E-6</v>
      </c>
      <c r="EA94" s="296">
        <f>EB94/BH94</f>
        <v>0.6</v>
      </c>
      <c r="EB94" s="304">
        <f>IFERROR(_xlfn.XLOOKUP(A94,'Pupil on roll 24-25'!E:E,'Pupil on roll 24-25'!R:R),0)</f>
        <v>27</v>
      </c>
      <c r="EC94" s="289">
        <f>IFERROR(_xlfn.XLOOKUP(A94,CFR20242025_BenchMarkDataReport!B:B,CFR20242025_BenchMarkDataReport!AK:AK),0)</f>
        <v>0</v>
      </c>
      <c r="ED94" s="289">
        <f>IFERROR(_xlfn.XLOOKUP(A94,CFR20242025_BenchMarkDataReport!B:B,CFR20242025_BenchMarkDataReport!AL:AL),0)</f>
        <v>10489.56</v>
      </c>
    </row>
    <row r="95" spans="1:228" ht="16.2" thickBot="1">
      <c r="A95" s="306">
        <v>8999</v>
      </c>
      <c r="B95" s="307"/>
      <c r="C95" s="343" t="s">
        <v>345</v>
      </c>
      <c r="D95" s="309">
        <f t="shared" ref="D95:BB95" si="340">AVERAGE(D93:D94)</f>
        <v>1339825.8</v>
      </c>
      <c r="E95" s="309">
        <f t="shared" si="340"/>
        <v>0</v>
      </c>
      <c r="F95" s="309">
        <f t="shared" si="340"/>
        <v>569663.89500000002</v>
      </c>
      <c r="G95" s="309">
        <f t="shared" si="340"/>
        <v>0</v>
      </c>
      <c r="H95" s="309">
        <f t="shared" si="340"/>
        <v>17855</v>
      </c>
      <c r="I95" s="309">
        <f t="shared" si="340"/>
        <v>0</v>
      </c>
      <c r="J95" s="309">
        <f t="shared" si="340"/>
        <v>69729.804999999993</v>
      </c>
      <c r="K95" s="309">
        <f>AVERAGE(K93:K94)</f>
        <v>196155.35</v>
      </c>
      <c r="L95" s="309">
        <f t="shared" si="340"/>
        <v>139981.56</v>
      </c>
      <c r="M95" s="309">
        <f t="shared" si="340"/>
        <v>1078.17</v>
      </c>
      <c r="N95" s="309">
        <f t="shared" si="340"/>
        <v>0</v>
      </c>
      <c r="O95" s="309">
        <f t="shared" si="340"/>
        <v>0</v>
      </c>
      <c r="P95" s="309">
        <f t="shared" si="340"/>
        <v>656.25</v>
      </c>
      <c r="Q95" s="309">
        <f t="shared" si="340"/>
        <v>2727</v>
      </c>
      <c r="R95" s="309">
        <f t="shared" si="340"/>
        <v>0</v>
      </c>
      <c r="S95" s="309">
        <f t="shared" si="340"/>
        <v>0</v>
      </c>
      <c r="T95" s="309">
        <f t="shared" si="340"/>
        <v>0</v>
      </c>
      <c r="U95" s="309">
        <f t="shared" si="340"/>
        <v>7001.8099999999995</v>
      </c>
      <c r="V95" s="309">
        <f t="shared" si="340"/>
        <v>1286052.0349999999</v>
      </c>
      <c r="W95" s="309">
        <f t="shared" si="340"/>
        <v>73530.904999999999</v>
      </c>
      <c r="X95" s="309">
        <f t="shared" si="340"/>
        <v>271799.95500000002</v>
      </c>
      <c r="Y95" s="309">
        <f>AVERAGE(Y93:Y94)</f>
        <v>25497.105</v>
      </c>
      <c r="Z95" s="309">
        <f t="shared" si="340"/>
        <v>118485.44</v>
      </c>
      <c r="AA95" s="309">
        <f t="shared" si="340"/>
        <v>0</v>
      </c>
      <c r="AB95" s="309">
        <f t="shared" si="340"/>
        <v>3323.915</v>
      </c>
      <c r="AC95" s="309">
        <f t="shared" si="340"/>
        <v>13365.045</v>
      </c>
      <c r="AD95" s="309">
        <f t="shared" si="340"/>
        <v>25380.035</v>
      </c>
      <c r="AE95" s="309">
        <f t="shared" si="340"/>
        <v>0</v>
      </c>
      <c r="AF95" s="309">
        <f t="shared" si="340"/>
        <v>0</v>
      </c>
      <c r="AG95" s="309">
        <f t="shared" si="340"/>
        <v>2736.28</v>
      </c>
      <c r="AH95" s="309">
        <f t="shared" si="340"/>
        <v>1205</v>
      </c>
      <c r="AI95" s="309">
        <f t="shared" si="340"/>
        <v>18413.974999999999</v>
      </c>
      <c r="AJ95" s="309">
        <f t="shared" si="340"/>
        <v>573.63</v>
      </c>
      <c r="AK95" s="309">
        <f t="shared" si="340"/>
        <v>26770.805</v>
      </c>
      <c r="AL95" s="309">
        <f t="shared" si="340"/>
        <v>0</v>
      </c>
      <c r="AM95" s="309">
        <f t="shared" si="340"/>
        <v>184316.07</v>
      </c>
      <c r="AN95" s="309">
        <f t="shared" si="340"/>
        <v>27767.905000000002</v>
      </c>
      <c r="AO95" s="309">
        <f t="shared" si="340"/>
        <v>27293.575000000001</v>
      </c>
      <c r="AP95" s="309">
        <f t="shared" si="340"/>
        <v>9218.4599999999991</v>
      </c>
      <c r="AQ95" s="309">
        <f t="shared" si="340"/>
        <v>17705.505000000001</v>
      </c>
      <c r="AR95" s="309">
        <f t="shared" si="340"/>
        <v>3530.91</v>
      </c>
      <c r="AS95" s="309">
        <f t="shared" si="340"/>
        <v>1605.115</v>
      </c>
      <c r="AT95" s="309">
        <f t="shared" si="340"/>
        <v>13351.34</v>
      </c>
      <c r="AU95" s="309">
        <f t="shared" si="340"/>
        <v>80119.885000000009</v>
      </c>
      <c r="AV95" s="309">
        <f t="shared" si="340"/>
        <v>96451.725000000006</v>
      </c>
      <c r="AW95" s="309">
        <f t="shared" si="340"/>
        <v>40287.279999999999</v>
      </c>
      <c r="AX95" s="309">
        <f>AVERAGE(AX93:AX94)</f>
        <v>0</v>
      </c>
      <c r="AY95" s="309">
        <f t="shared" si="340"/>
        <v>0</v>
      </c>
      <c r="AZ95" s="309">
        <f t="shared" si="340"/>
        <v>0</v>
      </c>
      <c r="BA95" s="309">
        <f t="shared" si="340"/>
        <v>0</v>
      </c>
      <c r="BB95" s="309">
        <f t="shared" si="340"/>
        <v>0</v>
      </c>
      <c r="BC95" s="309">
        <f t="shared" ref="BC95:BI95" si="341">AVERAGE(BC93:BC94)</f>
        <v>2344674.64</v>
      </c>
      <c r="BD95" s="309">
        <f t="shared" si="341"/>
        <v>2368781.8949999996</v>
      </c>
      <c r="BE95" s="309">
        <f t="shared" si="341"/>
        <v>-24107.254999999539</v>
      </c>
      <c r="BF95" s="309">
        <f t="shared" si="341"/>
        <v>202209.56</v>
      </c>
      <c r="BG95" s="309">
        <f t="shared" si="341"/>
        <v>178102.30500000046</v>
      </c>
      <c r="BH95" s="344">
        <f t="shared" si="341"/>
        <v>26.5</v>
      </c>
      <c r="BI95" s="309">
        <f t="shared" si="341"/>
        <v>1909489.6949999998</v>
      </c>
      <c r="BJ95" t="s">
        <v>347</v>
      </c>
      <c r="BK95" s="345">
        <f t="shared" ref="BK95:CZ95" si="342">AVERAGE(BK93:BK94)</f>
        <v>0.56137564662689055</v>
      </c>
      <c r="BL95" s="346">
        <f t="shared" si="342"/>
        <v>58805.395499999999</v>
      </c>
      <c r="BM95" s="347">
        <f t="shared" si="342"/>
        <v>0</v>
      </c>
      <c r="BN95" s="348">
        <f t="shared" si="342"/>
        <v>0</v>
      </c>
      <c r="BO95" s="345">
        <f t="shared" si="342"/>
        <v>0.16872806715151367</v>
      </c>
      <c r="BP95" s="346">
        <f t="shared" si="342"/>
        <v>14547.620111111111</v>
      </c>
      <c r="BQ95" s="347">
        <f t="shared" si="342"/>
        <v>0</v>
      </c>
      <c r="BR95" s="348">
        <f t="shared" si="342"/>
        <v>0</v>
      </c>
      <c r="BS95" s="345">
        <f t="shared" si="342"/>
        <v>7.2632468427012101E-3</v>
      </c>
      <c r="BT95" s="346">
        <f t="shared" si="342"/>
        <v>751.10416666666674</v>
      </c>
      <c r="BU95" s="347">
        <f t="shared" si="342"/>
        <v>0</v>
      </c>
      <c r="BV95" s="348">
        <f t="shared" si="342"/>
        <v>0</v>
      </c>
      <c r="BW95" s="345">
        <f t="shared" si="342"/>
        <v>3.5983148475694865E-2</v>
      </c>
      <c r="BX95" s="346">
        <f t="shared" si="342"/>
        <v>4071.799597222222</v>
      </c>
      <c r="BY95" s="347">
        <f t="shared" si="342"/>
        <v>0.22224383576469384</v>
      </c>
      <c r="BZ95" s="349">
        <f t="shared" si="342"/>
        <v>26919.36036111111</v>
      </c>
      <c r="CA95" s="350">
        <f t="shared" si="342"/>
        <v>2.365527070363958E-4</v>
      </c>
      <c r="CB95" s="351">
        <f t="shared" si="342"/>
        <v>23.0625</v>
      </c>
      <c r="CC95" s="347">
        <f t="shared" si="342"/>
        <v>7.4721967491494254E-4</v>
      </c>
      <c r="CD95" s="352">
        <f t="shared" si="342"/>
        <v>60.6</v>
      </c>
      <c r="CE95" s="353">
        <f t="shared" si="342"/>
        <v>0.85915123942070237</v>
      </c>
      <c r="CF95" s="350">
        <f t="shared" si="342"/>
        <v>0.60400993884566967</v>
      </c>
      <c r="CG95" s="350">
        <f t="shared" si="342"/>
        <v>0.58135439468639927</v>
      </c>
      <c r="CH95" s="351">
        <f t="shared" si="342"/>
        <v>63306.599916666666</v>
      </c>
      <c r="CI95" s="347">
        <f t="shared" si="342"/>
        <v>0.1153741883836526</v>
      </c>
      <c r="CJ95" s="354">
        <f t="shared" si="342"/>
        <v>9.0198804325080817E-2</v>
      </c>
      <c r="CK95" s="354">
        <f t="shared" si="342"/>
        <v>8.9269636873592517E-2</v>
      </c>
      <c r="CL95" s="355">
        <f t="shared" si="342"/>
        <v>8389.903430555556</v>
      </c>
      <c r="CM95" s="353">
        <f t="shared" si="342"/>
        <v>7.925014004701211E-3</v>
      </c>
      <c r="CN95" s="350">
        <f t="shared" si="342"/>
        <v>6.9864094277125614E-3</v>
      </c>
      <c r="CO95" s="350">
        <f t="shared" si="342"/>
        <v>7.1064579727319688E-3</v>
      </c>
      <c r="CP95" s="351">
        <f t="shared" si="342"/>
        <v>566.60233333333338</v>
      </c>
      <c r="CQ95" s="347">
        <f t="shared" si="342"/>
        <v>5.7275092154876098E-2</v>
      </c>
      <c r="CR95" s="354">
        <f t="shared" si="342"/>
        <v>4.2872882656872266E-2</v>
      </c>
      <c r="CS95" s="354">
        <f t="shared" si="342"/>
        <v>4.1968746372250496E-2</v>
      </c>
      <c r="CT95" s="352">
        <f t="shared" si="342"/>
        <v>4188.3479444444438</v>
      </c>
      <c r="CU95" s="353">
        <f t="shared" si="342"/>
        <v>1.0194754271287829</v>
      </c>
      <c r="CV95" s="350">
        <f t="shared" si="342"/>
        <v>0.72486757613082964</v>
      </c>
      <c r="CW95" s="350">
        <f t="shared" si="342"/>
        <v>0.69987839111314876</v>
      </c>
      <c r="CX95" s="351">
        <f t="shared" si="342"/>
        <v>75020.204305555555</v>
      </c>
      <c r="CY95" s="347">
        <f t="shared" si="342"/>
        <v>1.6517202736417965E-3</v>
      </c>
      <c r="CZ95" s="354">
        <f t="shared" si="342"/>
        <v>1.1131512898498569E-3</v>
      </c>
      <c r="DA95" s="352">
        <f t="shared" ref="DA95:DI95" si="343">AVERAGE(DA93:DA94)</f>
        <v>121.75190277777779</v>
      </c>
      <c r="DB95" s="353">
        <f t="shared" si="343"/>
        <v>1.5988001331516811E-4</v>
      </c>
      <c r="DC95" s="351">
        <f t="shared" si="343"/>
        <v>12.747333333333334</v>
      </c>
      <c r="DD95" s="347">
        <f t="shared" si="343"/>
        <v>8.3209056299578012E-3</v>
      </c>
      <c r="DE95" s="354">
        <f t="shared" si="343"/>
        <v>7.4614588843989488E-3</v>
      </c>
      <c r="DF95" s="352">
        <f t="shared" si="343"/>
        <v>594.90677777777773</v>
      </c>
      <c r="DG95" s="353">
        <f t="shared" si="343"/>
        <v>0.29833350534622444</v>
      </c>
      <c r="DH95" s="350">
        <f t="shared" si="343"/>
        <v>0.15681908013998105</v>
      </c>
      <c r="DI95" s="351">
        <f t="shared" si="343"/>
        <v>22431.003666666667</v>
      </c>
      <c r="DJ95" s="347">
        <f t="shared" ref="DJ95:EB95" si="344">AVERAGE(DJ93:DJ94)</f>
        <v>1.3328572313154308E-2</v>
      </c>
      <c r="DK95" s="354">
        <f t="shared" si="344"/>
        <v>9.9995939286736946E-3</v>
      </c>
      <c r="DL95" s="354">
        <f t="shared" si="344"/>
        <v>9.7944422838461276E-3</v>
      </c>
      <c r="DM95" s="352">
        <f t="shared" si="344"/>
        <v>974.39976388888886</v>
      </c>
      <c r="DN95" s="353">
        <f>AVERAGE(DN93:DN94)</f>
        <v>1.1333412879086768E-2</v>
      </c>
      <c r="DO95" s="350">
        <f>AVERAGE(DO93:DO94)</f>
        <v>7.4852833611175331E-3</v>
      </c>
      <c r="DP95" s="351">
        <f>AVERAGE(DP93:DP94)</f>
        <v>836.92995833333339</v>
      </c>
      <c r="DQ95" s="347">
        <f t="shared" si="344"/>
        <v>4.6880688847983888E-2</v>
      </c>
      <c r="DR95" s="354">
        <f t="shared" si="344"/>
        <v>3.4276411617959121E-2</v>
      </c>
      <c r="DS95" s="352">
        <f t="shared" si="344"/>
        <v>3428.9916527777777</v>
      </c>
      <c r="DT95" s="353">
        <f t="shared" si="344"/>
        <v>3.9083116495243651E-3</v>
      </c>
      <c r="DU95" s="351">
        <f t="shared" si="344"/>
        <v>329.22509722222219</v>
      </c>
      <c r="DV95" s="347">
        <f t="shared" ref="DV95:DW95" si="345">AVERAGE(DV93:DV94)</f>
        <v>5.1408303869296011E-3</v>
      </c>
      <c r="DW95" s="352">
        <f t="shared" si="345"/>
        <v>410.68715277777778</v>
      </c>
      <c r="DX95" s="347">
        <f t="shared" si="344"/>
        <v>6.6890718498345162E-6</v>
      </c>
      <c r="DY95" s="354">
        <f t="shared" si="344"/>
        <v>5.1416645146524518E-6</v>
      </c>
      <c r="DZ95" s="354">
        <f t="shared" si="344"/>
        <v>5.0673740599928192E-6</v>
      </c>
      <c r="EA95" s="313">
        <f t="shared" si="344"/>
        <v>0.48749999999999999</v>
      </c>
      <c r="EB95" s="356">
        <f t="shared" si="344"/>
        <v>15</v>
      </c>
      <c r="EC95" s="309">
        <f>AVERAGE(EC93:EC94)</f>
        <v>1757.03</v>
      </c>
      <c r="ED95" s="309">
        <f>AVERAGE(ED93:ED94)</f>
        <v>5244.78</v>
      </c>
    </row>
    <row r="96" spans="1:228" ht="13.8" thickTop="1">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357"/>
      <c r="BK96" s="358"/>
      <c r="BL96" s="359"/>
      <c r="BM96" s="360"/>
      <c r="BN96" s="361"/>
      <c r="BO96" s="358"/>
      <c r="BP96" s="359"/>
      <c r="BQ96" s="360"/>
      <c r="BR96" s="361"/>
      <c r="BS96" s="358"/>
      <c r="BT96" s="359"/>
      <c r="BU96" s="360"/>
      <c r="BV96" s="361"/>
      <c r="BW96" s="358"/>
      <c r="BX96" s="359"/>
      <c r="BY96" s="360"/>
      <c r="BZ96" s="361"/>
      <c r="CA96" s="362"/>
      <c r="CB96" s="363"/>
      <c r="CC96" s="360"/>
      <c r="CD96" s="361"/>
      <c r="CE96" s="362"/>
      <c r="CF96" s="362"/>
      <c r="CG96" s="362"/>
      <c r="CH96" s="363"/>
      <c r="CI96" s="360"/>
      <c r="CJ96" s="360"/>
      <c r="CK96" s="360"/>
      <c r="CL96" s="364"/>
      <c r="CM96" s="362"/>
      <c r="CN96" s="362"/>
      <c r="CO96" s="362"/>
      <c r="CP96" s="363"/>
      <c r="CQ96" s="360"/>
      <c r="CR96" s="360"/>
      <c r="CS96" s="360"/>
      <c r="CT96" s="361"/>
      <c r="CU96" s="362"/>
      <c r="CV96" s="362"/>
      <c r="CW96" s="362"/>
      <c r="CX96" s="363"/>
      <c r="CY96" s="360"/>
      <c r="CZ96" s="360"/>
      <c r="DA96" s="361"/>
      <c r="DB96" s="362"/>
      <c r="DC96" s="363"/>
      <c r="DD96" s="360"/>
      <c r="DE96" s="360"/>
      <c r="DF96" s="361"/>
      <c r="DG96" s="362"/>
      <c r="DH96" s="362"/>
      <c r="DI96" s="363"/>
      <c r="DJ96" s="360"/>
      <c r="DK96" s="360"/>
      <c r="DL96" s="360"/>
      <c r="DM96" s="361"/>
      <c r="DN96" s="362"/>
      <c r="DO96" s="362"/>
      <c r="DP96" s="363"/>
      <c r="DQ96" s="360"/>
      <c r="DR96" s="360"/>
      <c r="DS96" s="361"/>
      <c r="DT96" s="362"/>
      <c r="DU96" s="363"/>
      <c r="DV96" s="360"/>
      <c r="DW96" s="361"/>
      <c r="DX96" s="360"/>
      <c r="DY96" s="360"/>
      <c r="DZ96" s="360"/>
      <c r="EA96" s="361"/>
      <c r="EB96" s="365"/>
      <c r="EC96" s="26"/>
      <c r="ED96" s="26"/>
    </row>
    <row r="97" spans="1:228">
      <c r="B97" t="s">
        <v>188</v>
      </c>
      <c r="C97" s="27" t="s">
        <v>321</v>
      </c>
      <c r="D97" s="366">
        <f t="shared" ref="D97:AI97" si="346">SUM(D4:D7)</f>
        <v>2895813.1</v>
      </c>
      <c r="E97" s="366">
        <f t="shared" si="346"/>
        <v>0</v>
      </c>
      <c r="F97" s="366">
        <f t="shared" si="346"/>
        <v>132882.16999999998</v>
      </c>
      <c r="G97" s="366">
        <f t="shared" si="346"/>
        <v>0</v>
      </c>
      <c r="H97" s="366">
        <f t="shared" si="346"/>
        <v>0</v>
      </c>
      <c r="I97" s="366">
        <f t="shared" si="346"/>
        <v>0</v>
      </c>
      <c r="J97" s="366">
        <f t="shared" si="346"/>
        <v>33596.879999999997</v>
      </c>
      <c r="K97" s="366">
        <f t="shared" si="346"/>
        <v>21000</v>
      </c>
      <c r="L97" s="366">
        <f t="shared" si="346"/>
        <v>5636.56</v>
      </c>
      <c r="M97" s="366">
        <f t="shared" si="346"/>
        <v>22764.880000000001</v>
      </c>
      <c r="N97" s="366">
        <f t="shared" si="346"/>
        <v>0</v>
      </c>
      <c r="O97" s="366">
        <f t="shared" si="346"/>
        <v>0</v>
      </c>
      <c r="P97" s="366">
        <f t="shared" si="346"/>
        <v>919631.25</v>
      </c>
      <c r="Q97" s="366">
        <f t="shared" si="346"/>
        <v>21681.22</v>
      </c>
      <c r="R97" s="366">
        <f t="shared" si="346"/>
        <v>0</v>
      </c>
      <c r="S97" s="366">
        <f t="shared" si="346"/>
        <v>164223.42000000001</v>
      </c>
      <c r="T97" s="366">
        <f t="shared" si="346"/>
        <v>1360</v>
      </c>
      <c r="U97" s="366">
        <f t="shared" si="346"/>
        <v>0</v>
      </c>
      <c r="V97" s="366">
        <f t="shared" si="346"/>
        <v>675704.77</v>
      </c>
      <c r="W97" s="366">
        <f t="shared" si="346"/>
        <v>2262.8200000000002</v>
      </c>
      <c r="X97" s="366">
        <f t="shared" si="346"/>
        <v>1876399.23</v>
      </c>
      <c r="Y97" s="366">
        <f t="shared" si="346"/>
        <v>112617.81999999999</v>
      </c>
      <c r="Z97" s="366">
        <f t="shared" si="346"/>
        <v>202828.45</v>
      </c>
      <c r="AA97" s="366">
        <f t="shared" si="346"/>
        <v>0</v>
      </c>
      <c r="AB97" s="366">
        <f t="shared" si="346"/>
        <v>136692.85999999999</v>
      </c>
      <c r="AC97" s="366">
        <f t="shared" si="346"/>
        <v>22113.989999999998</v>
      </c>
      <c r="AD97" s="366">
        <f t="shared" si="346"/>
        <v>7830.98</v>
      </c>
      <c r="AE97" s="366">
        <f t="shared" si="346"/>
        <v>0</v>
      </c>
      <c r="AF97" s="366">
        <f t="shared" si="346"/>
        <v>0</v>
      </c>
      <c r="AG97" s="366">
        <f t="shared" si="346"/>
        <v>47927.71</v>
      </c>
      <c r="AH97" s="366">
        <f t="shared" si="346"/>
        <v>17735.09</v>
      </c>
      <c r="AI97" s="366">
        <f t="shared" si="346"/>
        <v>15988.220000000001</v>
      </c>
      <c r="AJ97" s="366">
        <f t="shared" ref="AJ97:BI97" si="347">SUM(AJ4:AJ7)</f>
        <v>5307.59</v>
      </c>
      <c r="AK97" s="366">
        <f t="shared" si="347"/>
        <v>46881.94</v>
      </c>
      <c r="AL97" s="366">
        <f t="shared" si="347"/>
        <v>98201.34</v>
      </c>
      <c r="AM97" s="366">
        <f t="shared" si="347"/>
        <v>24270.57</v>
      </c>
      <c r="AN97" s="366">
        <f t="shared" si="347"/>
        <v>59707.93</v>
      </c>
      <c r="AO97" s="366">
        <f t="shared" si="347"/>
        <v>52454.080000000002</v>
      </c>
      <c r="AP97" s="366">
        <f t="shared" si="347"/>
        <v>0</v>
      </c>
      <c r="AQ97" s="366">
        <f t="shared" si="347"/>
        <v>24221.850000000002</v>
      </c>
      <c r="AR97" s="366">
        <f t="shared" si="347"/>
        <v>12025</v>
      </c>
      <c r="AS97" s="366">
        <f t="shared" si="347"/>
        <v>4224.01</v>
      </c>
      <c r="AT97" s="366">
        <f t="shared" si="347"/>
        <v>30296.77</v>
      </c>
      <c r="AU97" s="366">
        <f t="shared" si="347"/>
        <v>14311.58</v>
      </c>
      <c r="AV97" s="366">
        <f t="shared" si="347"/>
        <v>45719.09</v>
      </c>
      <c r="AW97" s="366">
        <f t="shared" si="347"/>
        <v>55594.280000000006</v>
      </c>
      <c r="AX97" s="366">
        <f t="shared" si="347"/>
        <v>0</v>
      </c>
      <c r="AY97" s="366">
        <f t="shared" si="347"/>
        <v>0</v>
      </c>
      <c r="AZ97" s="366">
        <f t="shared" si="347"/>
        <v>0</v>
      </c>
      <c r="BA97" s="366">
        <f t="shared" si="347"/>
        <v>146349.96</v>
      </c>
      <c r="BB97" s="366">
        <f t="shared" si="347"/>
        <v>23993.24</v>
      </c>
      <c r="BC97" s="366">
        <f t="shared" si="347"/>
        <v>4053006.0599999996</v>
      </c>
      <c r="BD97" s="366">
        <f t="shared" si="347"/>
        <v>3591317.97</v>
      </c>
      <c r="BE97" s="366">
        <f t="shared" si="347"/>
        <v>461688.08999999939</v>
      </c>
      <c r="BF97" s="366">
        <f t="shared" si="347"/>
        <v>-375741.09</v>
      </c>
      <c r="BG97" s="366">
        <f t="shared" si="347"/>
        <v>85946.999999999374</v>
      </c>
      <c r="BH97" s="366">
        <f t="shared" si="347"/>
        <v>274</v>
      </c>
      <c r="BI97" s="366">
        <f t="shared" si="347"/>
        <v>3028695.27</v>
      </c>
      <c r="BJ97" t="s">
        <v>188</v>
      </c>
      <c r="BK97" s="367">
        <f t="shared" ref="BK97:CP97" si="348">BK8</f>
        <v>0.34277640337709758</v>
      </c>
      <c r="BL97" s="368">
        <f t="shared" si="348"/>
        <v>9927.6373629385962</v>
      </c>
      <c r="BM97" s="369">
        <f t="shared" si="348"/>
        <v>0</v>
      </c>
      <c r="BN97" s="370">
        <f t="shared" si="348"/>
        <v>0</v>
      </c>
      <c r="BO97" s="367">
        <f t="shared" si="348"/>
        <v>1.3224557805475977E-2</v>
      </c>
      <c r="BP97" s="368">
        <f t="shared" si="348"/>
        <v>458.88427083333335</v>
      </c>
      <c r="BQ97" s="369">
        <f t="shared" si="348"/>
        <v>0</v>
      </c>
      <c r="BR97" s="370">
        <f t="shared" si="348"/>
        <v>0</v>
      </c>
      <c r="BS97" s="367">
        <f t="shared" si="348"/>
        <v>0</v>
      </c>
      <c r="BT97" s="368">
        <f t="shared" si="348"/>
        <v>0</v>
      </c>
      <c r="BU97" s="369">
        <f t="shared" si="348"/>
        <v>0</v>
      </c>
      <c r="BV97" s="370">
        <f t="shared" si="348"/>
        <v>0</v>
      </c>
      <c r="BW97" s="367">
        <f t="shared" si="348"/>
        <v>3.0279458400167187E-3</v>
      </c>
      <c r="BX97" s="368">
        <f t="shared" si="348"/>
        <v>116.44008040935672</v>
      </c>
      <c r="BY97" s="369">
        <f t="shared" si="348"/>
        <v>2.271902663432752E-3</v>
      </c>
      <c r="BZ97" s="370">
        <f t="shared" si="348"/>
        <v>92.488055555555562</v>
      </c>
      <c r="CA97" s="371">
        <f t="shared" si="348"/>
        <v>0.13082670336816535</v>
      </c>
      <c r="CB97" s="372">
        <f t="shared" si="348"/>
        <v>3123.5549506578946</v>
      </c>
      <c r="CC97" s="369">
        <f t="shared" si="348"/>
        <v>2.7997410916428575E-3</v>
      </c>
      <c r="CD97" s="370">
        <f t="shared" si="348"/>
        <v>74.019095394736837</v>
      </c>
      <c r="CE97" s="371">
        <f t="shared" si="348"/>
        <v>0.13703985069316521</v>
      </c>
      <c r="CF97" s="373">
        <f t="shared" si="348"/>
        <v>9.4187242044692504E-2</v>
      </c>
      <c r="CG97" s="373">
        <f t="shared" si="348"/>
        <v>0.10506698486684768</v>
      </c>
      <c r="CH97" s="372">
        <f t="shared" si="348"/>
        <v>2357.0554093567252</v>
      </c>
      <c r="CI97" s="369">
        <f t="shared" si="348"/>
        <v>0.29978917960611401</v>
      </c>
      <c r="CJ97" s="374">
        <f t="shared" si="348"/>
        <v>0.21493553159015027</v>
      </c>
      <c r="CK97" s="374">
        <f t="shared" si="348"/>
        <v>0.24143238680775522</v>
      </c>
      <c r="CL97" s="375">
        <f t="shared" si="348"/>
        <v>6442.339519371345</v>
      </c>
      <c r="CM97" s="371">
        <f t="shared" si="348"/>
        <v>2.2343443916326276E-2</v>
      </c>
      <c r="CN97" s="373">
        <f t="shared" si="348"/>
        <v>1.5350376214735452E-2</v>
      </c>
      <c r="CO97" s="373">
        <f t="shared" si="348"/>
        <v>1.7122356483032834E-2</v>
      </c>
      <c r="CP97" s="372">
        <f t="shared" si="348"/>
        <v>383.40084795321638</v>
      </c>
      <c r="CQ97" s="369">
        <f t="shared" ref="CQ97:EA97" si="349">CQ8</f>
        <v>4.0909725988811194E-2</v>
      </c>
      <c r="CR97" s="374">
        <f t="shared" si="349"/>
        <v>2.8023013311634988E-2</v>
      </c>
      <c r="CS97" s="374">
        <f t="shared" si="349"/>
        <v>3.1242323815483551E-2</v>
      </c>
      <c r="CT97" s="370">
        <f t="shared" si="349"/>
        <v>690.01749451754392</v>
      </c>
      <c r="CU97" s="371">
        <f t="shared" si="349"/>
        <v>0.52544531934375138</v>
      </c>
      <c r="CV97" s="373">
        <f t="shared" si="349"/>
        <v>0.36978708293145834</v>
      </c>
      <c r="CW97" s="373">
        <f t="shared" si="349"/>
        <v>0.41412578563232055</v>
      </c>
      <c r="CX97" s="372">
        <f t="shared" si="349"/>
        <v>10288.643099415203</v>
      </c>
      <c r="CY97" s="369">
        <f t="shared" si="349"/>
        <v>8.5288025410540386E-3</v>
      </c>
      <c r="CZ97" s="374">
        <f t="shared" si="349"/>
        <v>6.6939779770460043E-3</v>
      </c>
      <c r="DA97" s="370">
        <f t="shared" si="349"/>
        <v>163.90055190058479</v>
      </c>
      <c r="DB97" s="371">
        <f t="shared" si="349"/>
        <v>7.0234471620308516E-4</v>
      </c>
      <c r="DC97" s="372">
        <f t="shared" si="349"/>
        <v>18.198793859649122</v>
      </c>
      <c r="DD97" s="369">
        <f t="shared" si="349"/>
        <v>9.7744676736353855E-3</v>
      </c>
      <c r="DE97" s="374">
        <f t="shared" si="349"/>
        <v>7.4140975277596083E-3</v>
      </c>
      <c r="DF97" s="370">
        <f t="shared" si="349"/>
        <v>159.25283808479531</v>
      </c>
      <c r="DG97" s="371">
        <f t="shared" si="349"/>
        <v>4.0051006359170908E-3</v>
      </c>
      <c r="DH97" s="373">
        <f t="shared" si="349"/>
        <v>3.1999370493992949E-3</v>
      </c>
      <c r="DI97" s="372">
        <f t="shared" si="349"/>
        <v>29.834908249238389</v>
      </c>
      <c r="DJ97" s="369">
        <f t="shared" si="349"/>
        <v>9.8069463634769989E-3</v>
      </c>
      <c r="DK97" s="374">
        <f t="shared" si="349"/>
        <v>6.9900177270231633E-3</v>
      </c>
      <c r="DL97" s="374">
        <f t="shared" si="349"/>
        <v>7.8443320547590054E-3</v>
      </c>
      <c r="DM97" s="370">
        <f t="shared" si="349"/>
        <v>204.79816703216375</v>
      </c>
      <c r="DN97" s="371">
        <f t="shared" si="349"/>
        <v>4.013810930589938E-3</v>
      </c>
      <c r="DO97" s="373">
        <f t="shared" si="349"/>
        <v>3.2036469381998699E-3</v>
      </c>
      <c r="DP97" s="372">
        <f t="shared" si="349"/>
        <v>83.054437134502933</v>
      </c>
      <c r="DQ97" s="369">
        <f t="shared" si="349"/>
        <v>1.3901601740824041E-2</v>
      </c>
      <c r="DR97" s="374">
        <f t="shared" si="349"/>
        <v>9.873686906966727E-3</v>
      </c>
      <c r="DS97" s="370">
        <f t="shared" si="349"/>
        <v>152.03282529239766</v>
      </c>
      <c r="DT97" s="376">
        <f t="shared" si="349"/>
        <v>6.309430568393116E-3</v>
      </c>
      <c r="DU97" s="372">
        <f t="shared" si="349"/>
        <v>101.03686951754386</v>
      </c>
      <c r="DV97" s="377">
        <f t="shared" si="349"/>
        <v>3.1899167496565054E-3</v>
      </c>
      <c r="DW97" s="370">
        <f t="shared" si="349"/>
        <v>53.492008406432745</v>
      </c>
      <c r="DX97" s="369">
        <f t="shared" si="349"/>
        <v>0</v>
      </c>
      <c r="DY97" s="374">
        <f t="shared" si="349"/>
        <v>0</v>
      </c>
      <c r="DZ97" s="374">
        <f t="shared" si="349"/>
        <v>0</v>
      </c>
      <c r="EA97" s="370">
        <f t="shared" si="349"/>
        <v>0</v>
      </c>
      <c r="EB97" s="378">
        <f>SUM(EB4:EB7)</f>
        <v>0</v>
      </c>
      <c r="EC97" s="366">
        <f>SUM(EC4:EC7)</f>
        <v>0</v>
      </c>
      <c r="ED97" s="366">
        <f>SUM(ED4:ED7)</f>
        <v>0</v>
      </c>
    </row>
    <row r="98" spans="1:228">
      <c r="B98" t="s">
        <v>190</v>
      </c>
      <c r="C98" s="27" t="s">
        <v>322</v>
      </c>
      <c r="D98" s="366">
        <f t="shared" ref="D98:AI98" si="350">SUM(D9:D78)</f>
        <v>136456400.25</v>
      </c>
      <c r="E98" s="366">
        <f t="shared" si="350"/>
        <v>0</v>
      </c>
      <c r="F98" s="366">
        <f t="shared" si="350"/>
        <v>11683417.539999997</v>
      </c>
      <c r="G98" s="366">
        <f t="shared" si="350"/>
        <v>0</v>
      </c>
      <c r="H98" s="366">
        <f t="shared" si="350"/>
        <v>6932383.0199999996</v>
      </c>
      <c r="I98" s="366">
        <f t="shared" si="350"/>
        <v>825906.90999999992</v>
      </c>
      <c r="J98" s="366">
        <f t="shared" si="350"/>
        <v>6065759.2700000033</v>
      </c>
      <c r="K98" s="366">
        <f t="shared" si="350"/>
        <v>1712723.2400000002</v>
      </c>
      <c r="L98" s="366">
        <f t="shared" si="350"/>
        <v>2971103.8499999996</v>
      </c>
      <c r="M98" s="366">
        <f t="shared" si="350"/>
        <v>328776.98000000004</v>
      </c>
      <c r="N98" s="366">
        <f t="shared" si="350"/>
        <v>64048.959999999999</v>
      </c>
      <c r="O98" s="366">
        <f t="shared" si="350"/>
        <v>96445.66</v>
      </c>
      <c r="P98" s="366">
        <f t="shared" si="350"/>
        <v>3353443.3599999989</v>
      </c>
      <c r="Q98" s="366">
        <f t="shared" si="350"/>
        <v>5093918.8800000008</v>
      </c>
      <c r="R98" s="366">
        <f t="shared" si="350"/>
        <v>0</v>
      </c>
      <c r="S98" s="366">
        <f t="shared" si="350"/>
        <v>620958.5</v>
      </c>
      <c r="T98" s="366">
        <f t="shared" si="350"/>
        <v>4248.99</v>
      </c>
      <c r="U98" s="366">
        <f t="shared" si="350"/>
        <v>5243837.5099999979</v>
      </c>
      <c r="V98" s="366">
        <f t="shared" si="350"/>
        <v>78744780.329999983</v>
      </c>
      <c r="W98" s="366">
        <f t="shared" si="350"/>
        <v>196693.37</v>
      </c>
      <c r="X98" s="366">
        <f t="shared" si="350"/>
        <v>36752060.109999999</v>
      </c>
      <c r="Y98" s="366">
        <f t="shared" si="350"/>
        <v>4222227.8600000003</v>
      </c>
      <c r="Z98" s="366">
        <f t="shared" si="350"/>
        <v>7095082.9400000013</v>
      </c>
      <c r="AA98" s="366">
        <f t="shared" si="350"/>
        <v>299177.66000000003</v>
      </c>
      <c r="AB98" s="366">
        <f t="shared" si="350"/>
        <v>4157129.0000000005</v>
      </c>
      <c r="AC98" s="366">
        <f t="shared" si="350"/>
        <v>901987.28000000026</v>
      </c>
      <c r="AD98" s="366">
        <f t="shared" si="350"/>
        <v>315482.35999999987</v>
      </c>
      <c r="AE98" s="366">
        <f t="shared" si="350"/>
        <v>185741.44000000003</v>
      </c>
      <c r="AF98" s="366">
        <f t="shared" si="350"/>
        <v>56146.860000000008</v>
      </c>
      <c r="AG98" s="366">
        <f t="shared" si="350"/>
        <v>2234802.19</v>
      </c>
      <c r="AH98" s="366">
        <f t="shared" si="350"/>
        <v>329554.27</v>
      </c>
      <c r="AI98" s="366">
        <f t="shared" si="350"/>
        <v>2433903.56</v>
      </c>
      <c r="AJ98" s="366">
        <f t="shared" ref="AJ98:BI98" si="351">SUM(AJ9:AJ78)</f>
        <v>451715.61000000016</v>
      </c>
      <c r="AK98" s="366">
        <f t="shared" si="351"/>
        <v>3479077.6900000004</v>
      </c>
      <c r="AL98" s="366">
        <f t="shared" si="351"/>
        <v>1800244.2400000005</v>
      </c>
      <c r="AM98" s="366">
        <f t="shared" si="351"/>
        <v>1512303.4200000002</v>
      </c>
      <c r="AN98" s="366">
        <f t="shared" si="351"/>
        <v>5814400.0200000005</v>
      </c>
      <c r="AO98" s="366">
        <f t="shared" si="351"/>
        <v>2072638.9799999995</v>
      </c>
      <c r="AP98" s="366">
        <f t="shared" si="351"/>
        <v>0</v>
      </c>
      <c r="AQ98" s="366">
        <f t="shared" si="351"/>
        <v>864396.4600000002</v>
      </c>
      <c r="AR98" s="366">
        <f t="shared" si="351"/>
        <v>881347.36</v>
      </c>
      <c r="AS98" s="366">
        <f t="shared" si="351"/>
        <v>941504.01999999967</v>
      </c>
      <c r="AT98" s="366">
        <f t="shared" si="351"/>
        <v>8571245.4000000004</v>
      </c>
      <c r="AU98" s="366">
        <f t="shared" si="351"/>
        <v>3893589.6500000004</v>
      </c>
      <c r="AV98" s="366">
        <f t="shared" si="351"/>
        <v>11699553.039999999</v>
      </c>
      <c r="AW98" s="366">
        <f t="shared" si="351"/>
        <v>2637920.65</v>
      </c>
      <c r="AX98" s="366">
        <f t="shared" si="351"/>
        <v>80070.219999999987</v>
      </c>
      <c r="AY98" s="366">
        <f t="shared" si="351"/>
        <v>0</v>
      </c>
      <c r="AZ98" s="366">
        <f t="shared" si="351"/>
        <v>299348.12</v>
      </c>
      <c r="BA98" s="366">
        <f t="shared" si="351"/>
        <v>373558.44</v>
      </c>
      <c r="BB98" s="366">
        <f t="shared" si="351"/>
        <v>90256.93</v>
      </c>
      <c r="BC98" s="366">
        <f t="shared" si="351"/>
        <v>180828165.43000007</v>
      </c>
      <c r="BD98" s="366">
        <f t="shared" si="351"/>
        <v>182924124.10999995</v>
      </c>
      <c r="BE98" s="366">
        <f t="shared" si="351"/>
        <v>-2095958.6800000062</v>
      </c>
      <c r="BF98" s="366">
        <f t="shared" si="351"/>
        <v>2344083.2899999996</v>
      </c>
      <c r="BG98" s="366">
        <f t="shared" si="351"/>
        <v>248124.60999999376</v>
      </c>
      <c r="BH98" s="366">
        <f t="shared" si="351"/>
        <v>21801.5</v>
      </c>
      <c r="BI98" s="366">
        <f t="shared" si="351"/>
        <v>148139817.78999999</v>
      </c>
      <c r="BJ98" t="s">
        <v>190</v>
      </c>
      <c r="BK98" s="379">
        <f t="shared" ref="BK98:CP98" si="352">BK79</f>
        <v>0.75537544438460313</v>
      </c>
      <c r="BL98" s="380">
        <f t="shared" si="352"/>
        <v>6311.9520230077169</v>
      </c>
      <c r="BM98" s="381">
        <f t="shared" si="352"/>
        <v>0</v>
      </c>
      <c r="BN98" s="382">
        <f t="shared" si="352"/>
        <v>0</v>
      </c>
      <c r="BO98" s="379">
        <f t="shared" si="352"/>
        <v>6.2668675623086631E-2</v>
      </c>
      <c r="BP98" s="380">
        <f t="shared" si="352"/>
        <v>552.86376772372455</v>
      </c>
      <c r="BQ98" s="381">
        <f t="shared" si="352"/>
        <v>0</v>
      </c>
      <c r="BR98" s="382">
        <f t="shared" si="352"/>
        <v>0</v>
      </c>
      <c r="BS98" s="379">
        <f t="shared" si="352"/>
        <v>3.5766608568264503E-2</v>
      </c>
      <c r="BT98" s="380">
        <f t="shared" si="352"/>
        <v>304.27453700468561</v>
      </c>
      <c r="BU98" s="381">
        <f t="shared" si="352"/>
        <v>5.0127186464251688E-3</v>
      </c>
      <c r="BV98" s="382">
        <f t="shared" si="352"/>
        <v>44.382798772149116</v>
      </c>
      <c r="BW98" s="379">
        <f t="shared" si="352"/>
        <v>3.5119076468359954E-2</v>
      </c>
      <c r="BX98" s="380">
        <f t="shared" si="352"/>
        <v>290.85100605357991</v>
      </c>
      <c r="BY98" s="381">
        <f t="shared" si="352"/>
        <v>2.5541930645542041E-2</v>
      </c>
      <c r="BZ98" s="382">
        <f t="shared" si="352"/>
        <v>212.93419469301514</v>
      </c>
      <c r="CA98" s="383">
        <f t="shared" si="352"/>
        <v>1.9001996193765205E-2</v>
      </c>
      <c r="CB98" s="384">
        <f t="shared" si="352"/>
        <v>159.64298089513045</v>
      </c>
      <c r="CC98" s="381">
        <f t="shared" si="352"/>
        <v>2.8914768023999109E-2</v>
      </c>
      <c r="CD98" s="382">
        <f t="shared" si="352"/>
        <v>266.47711499717389</v>
      </c>
      <c r="CE98" s="383">
        <f t="shared" si="352"/>
        <v>0.57252611813033194</v>
      </c>
      <c r="CF98" s="385">
        <f t="shared" si="352"/>
        <v>0.4655054294987242</v>
      </c>
      <c r="CG98" s="385">
        <f t="shared" si="352"/>
        <v>0.45841397769737191</v>
      </c>
      <c r="CH98" s="384">
        <f t="shared" si="352"/>
        <v>3888.2202672324884</v>
      </c>
      <c r="CI98" s="381">
        <f t="shared" si="352"/>
        <v>0.24361930049152808</v>
      </c>
      <c r="CJ98" s="386">
        <f t="shared" si="352"/>
        <v>0.19722868734584373</v>
      </c>
      <c r="CK98" s="386">
        <f t="shared" si="352"/>
        <v>0.19389640320024057</v>
      </c>
      <c r="CL98" s="387">
        <f t="shared" si="352"/>
        <v>1698.2587150633126</v>
      </c>
      <c r="CM98" s="383">
        <f t="shared" si="352"/>
        <v>2.7965829688443734E-2</v>
      </c>
      <c r="CN98" s="385">
        <f t="shared" si="352"/>
        <v>2.2946201125579293E-2</v>
      </c>
      <c r="CO98" s="385">
        <f t="shared" si="352"/>
        <v>2.2668084792574691E-2</v>
      </c>
      <c r="CP98" s="384">
        <f t="shared" si="352"/>
        <v>193.08226545229402</v>
      </c>
      <c r="CQ98" s="381">
        <f t="shared" ref="CQ98:EA98" si="353">CQ79</f>
        <v>5.0131611346254157E-2</v>
      </c>
      <c r="CR98" s="386">
        <f t="shared" si="353"/>
        <v>4.0369386984384602E-2</v>
      </c>
      <c r="CS98" s="386">
        <f t="shared" si="353"/>
        <v>3.9832092300316264E-2</v>
      </c>
      <c r="CT98" s="382">
        <f t="shared" si="353"/>
        <v>339.4215299218165</v>
      </c>
      <c r="CU98" s="383">
        <f t="shared" si="353"/>
        <v>0.89537095181237358</v>
      </c>
      <c r="CV98" s="385">
        <f t="shared" si="353"/>
        <v>0.7268683391891585</v>
      </c>
      <c r="CW98" s="385">
        <f t="shared" si="353"/>
        <v>0.71558280602515267</v>
      </c>
      <c r="CX98" s="384">
        <f t="shared" si="353"/>
        <v>6128.5364810285173</v>
      </c>
      <c r="CY98" s="381">
        <f t="shared" si="353"/>
        <v>1.5896158636355115E-2</v>
      </c>
      <c r="CZ98" s="386">
        <f t="shared" si="353"/>
        <v>1.2648027083811329E-2</v>
      </c>
      <c r="DA98" s="382">
        <f t="shared" si="353"/>
        <v>107.35541373950097</v>
      </c>
      <c r="DB98" s="383">
        <f t="shared" si="353"/>
        <v>2.4637270746676381E-3</v>
      </c>
      <c r="DC98" s="384">
        <f t="shared" si="353"/>
        <v>21.555400048607439</v>
      </c>
      <c r="DD98" s="381">
        <f t="shared" si="353"/>
        <v>2.3689304570839859E-2</v>
      </c>
      <c r="DE98" s="386">
        <f t="shared" si="353"/>
        <v>1.8938420607484997E-2</v>
      </c>
      <c r="DF98" s="382">
        <f t="shared" si="353"/>
        <v>162.24465232019608</v>
      </c>
      <c r="DG98" s="383">
        <f t="shared" si="353"/>
        <v>1.1317526997010895E-2</v>
      </c>
      <c r="DH98" s="385">
        <f t="shared" si="353"/>
        <v>8.5006910260643134E-3</v>
      </c>
      <c r="DI98" s="384">
        <f t="shared" si="353"/>
        <v>74.595488148207238</v>
      </c>
      <c r="DJ98" s="381">
        <f t="shared" si="353"/>
        <v>4.1354136123243131E-2</v>
      </c>
      <c r="DK98" s="386">
        <f t="shared" si="353"/>
        <v>3.3167133962219424E-2</v>
      </c>
      <c r="DL98" s="386">
        <f t="shared" si="353"/>
        <v>3.2702647091814571E-2</v>
      </c>
      <c r="DM98" s="382">
        <f t="shared" si="353"/>
        <v>275.31723870758259</v>
      </c>
      <c r="DN98" s="383">
        <f t="shared" si="353"/>
        <v>5.6233513096601937E-3</v>
      </c>
      <c r="DO98" s="385">
        <f t="shared" si="353"/>
        <v>4.4484547592961539E-3</v>
      </c>
      <c r="DP98" s="384">
        <f t="shared" si="353"/>
        <v>38.597299620269794</v>
      </c>
      <c r="DQ98" s="381">
        <f t="shared" si="353"/>
        <v>7.9860908934980393E-2</v>
      </c>
      <c r="DR98" s="386">
        <f t="shared" si="353"/>
        <v>6.4340693557689524E-2</v>
      </c>
      <c r="DS98" s="382">
        <f t="shared" si="353"/>
        <v>555.17548916160979</v>
      </c>
      <c r="DT98" s="388">
        <f t="shared" si="353"/>
        <v>4.7353965662246755E-2</v>
      </c>
      <c r="DU98" s="384">
        <f t="shared" si="353"/>
        <v>396.10639164341859</v>
      </c>
      <c r="DV98" s="389">
        <f t="shared" ref="DV98:DW98" si="354">DV79</f>
        <v>1.3461847451226618E-2</v>
      </c>
      <c r="DW98" s="382">
        <f t="shared" si="354"/>
        <v>114.81206319087622</v>
      </c>
      <c r="DX98" s="381">
        <f t="shared" si="353"/>
        <v>2.7303084551923791E-5</v>
      </c>
      <c r="DY98" s="386">
        <f t="shared" si="353"/>
        <v>2.2860412365333579E-5</v>
      </c>
      <c r="DZ98" s="386">
        <f t="shared" si="353"/>
        <v>2.2491057877361078E-5</v>
      </c>
      <c r="EA98" s="382">
        <f t="shared" si="353"/>
        <v>0.1943931593064146</v>
      </c>
      <c r="EB98" s="390">
        <f>SUM(EB9:EB78)</f>
        <v>4440</v>
      </c>
      <c r="EC98" s="366">
        <f>SUM(EC9:EC78)</f>
        <v>440227.60000000009</v>
      </c>
      <c r="ED98" s="366">
        <f>SUM(ED9:ED78)</f>
        <v>4803609.91</v>
      </c>
    </row>
    <row r="99" spans="1:228">
      <c r="B99" s="15" t="s">
        <v>337</v>
      </c>
      <c r="C99" s="27" t="s">
        <v>475</v>
      </c>
      <c r="D99" s="366">
        <f>D81</f>
        <v>10354041.59</v>
      </c>
      <c r="E99" s="366">
        <f t="shared" ref="E99:CD99" si="355">E81</f>
        <v>719920.31</v>
      </c>
      <c r="F99" s="366">
        <f t="shared" si="355"/>
        <v>400867</v>
      </c>
      <c r="G99" s="366">
        <f t="shared" si="355"/>
        <v>0</v>
      </c>
      <c r="H99" s="366">
        <f t="shared" si="355"/>
        <v>510957</v>
      </c>
      <c r="I99" s="366">
        <f t="shared" si="355"/>
        <v>3000</v>
      </c>
      <c r="J99" s="366">
        <f t="shared" si="355"/>
        <v>260188.47</v>
      </c>
      <c r="K99" s="366">
        <f t="shared" si="355"/>
        <v>77695.98</v>
      </c>
      <c r="L99" s="366">
        <f t="shared" si="355"/>
        <v>75073.73</v>
      </c>
      <c r="M99" s="366">
        <f t="shared" si="355"/>
        <v>204706.51</v>
      </c>
      <c r="N99" s="366">
        <f t="shared" si="355"/>
        <v>0</v>
      </c>
      <c r="O99" s="366">
        <f t="shared" si="355"/>
        <v>0</v>
      </c>
      <c r="P99" s="366">
        <f t="shared" si="355"/>
        <v>251153.32</v>
      </c>
      <c r="Q99" s="366">
        <f t="shared" si="355"/>
        <v>196454.25</v>
      </c>
      <c r="R99" s="366">
        <f t="shared" si="355"/>
        <v>0</v>
      </c>
      <c r="S99" s="366">
        <f t="shared" si="355"/>
        <v>0</v>
      </c>
      <c r="T99" s="366">
        <f t="shared" si="355"/>
        <v>0</v>
      </c>
      <c r="U99" s="366">
        <f t="shared" si="355"/>
        <v>200926.85</v>
      </c>
      <c r="V99" s="366">
        <f t="shared" si="355"/>
        <v>6898852.5700000003</v>
      </c>
      <c r="W99" s="366">
        <f t="shared" si="355"/>
        <v>0</v>
      </c>
      <c r="X99" s="366">
        <f t="shared" si="355"/>
        <v>1379451.17</v>
      </c>
      <c r="Y99" s="366">
        <f t="shared" si="355"/>
        <v>262308.96999999997</v>
      </c>
      <c r="Z99" s="366">
        <f t="shared" si="355"/>
        <v>917109.21</v>
      </c>
      <c r="AA99" s="366">
        <f t="shared" si="355"/>
        <v>0</v>
      </c>
      <c r="AB99" s="366">
        <f t="shared" si="355"/>
        <v>128072.95</v>
      </c>
      <c r="AC99" s="366">
        <f t="shared" si="355"/>
        <v>126521.67</v>
      </c>
      <c r="AD99" s="366">
        <f t="shared" si="355"/>
        <v>23928.25</v>
      </c>
      <c r="AE99" s="366">
        <f t="shared" si="355"/>
        <v>0</v>
      </c>
      <c r="AF99" s="366">
        <f t="shared" si="355"/>
        <v>0</v>
      </c>
      <c r="AG99" s="366">
        <f t="shared" si="355"/>
        <v>114615.03999999999</v>
      </c>
      <c r="AH99" s="366">
        <f t="shared" si="355"/>
        <v>17206.5</v>
      </c>
      <c r="AI99" s="366">
        <f t="shared" si="355"/>
        <v>198537.83</v>
      </c>
      <c r="AJ99" s="366">
        <f t="shared" si="355"/>
        <v>30752.720000000001</v>
      </c>
      <c r="AK99" s="366">
        <f t="shared" si="355"/>
        <v>235131.7</v>
      </c>
      <c r="AL99" s="366">
        <f t="shared" si="355"/>
        <v>-32813.120000000003</v>
      </c>
      <c r="AM99" s="366">
        <f t="shared" si="355"/>
        <v>41586.44</v>
      </c>
      <c r="AN99" s="366">
        <f t="shared" si="355"/>
        <v>472138.07</v>
      </c>
      <c r="AO99" s="366">
        <f t="shared" si="355"/>
        <v>78028.990000000005</v>
      </c>
      <c r="AP99" s="366">
        <f t="shared" si="355"/>
        <v>97737.27</v>
      </c>
      <c r="AQ99" s="366">
        <f t="shared" si="355"/>
        <v>123957.67</v>
      </c>
      <c r="AR99" s="366">
        <f t="shared" si="355"/>
        <v>44593.84</v>
      </c>
      <c r="AS99" s="366">
        <f t="shared" si="355"/>
        <v>21986.19</v>
      </c>
      <c r="AT99" s="366">
        <f t="shared" si="355"/>
        <v>647125.93999999994</v>
      </c>
      <c r="AU99" s="366">
        <f t="shared" si="355"/>
        <v>308709.89</v>
      </c>
      <c r="AV99" s="366">
        <f t="shared" si="355"/>
        <v>861396.02</v>
      </c>
      <c r="AW99" s="366">
        <f t="shared" si="355"/>
        <v>262592.08</v>
      </c>
      <c r="AX99" s="366">
        <f t="shared" si="355"/>
        <v>0</v>
      </c>
      <c r="AY99" s="366">
        <f t="shared" si="355"/>
        <v>0</v>
      </c>
      <c r="AZ99" s="366">
        <f t="shared" si="355"/>
        <v>0</v>
      </c>
      <c r="BA99" s="366">
        <f t="shared" si="355"/>
        <v>0</v>
      </c>
      <c r="BB99" s="366">
        <f t="shared" si="355"/>
        <v>0</v>
      </c>
      <c r="BC99" s="366">
        <f t="shared" si="355"/>
        <v>13254985.010000002</v>
      </c>
      <c r="BD99" s="366">
        <f t="shared" si="355"/>
        <v>13259527.859999999</v>
      </c>
      <c r="BE99" s="366">
        <f t="shared" si="355"/>
        <v>-4542.8499999977648</v>
      </c>
      <c r="BF99" s="366">
        <f t="shared" si="355"/>
        <v>1474540.85</v>
      </c>
      <c r="BG99" s="366">
        <f t="shared" si="355"/>
        <v>1469998.0000000023</v>
      </c>
      <c r="BH99" s="366">
        <f t="shared" si="355"/>
        <v>1492</v>
      </c>
      <c r="BI99" s="366">
        <f t="shared" si="355"/>
        <v>11474828.9</v>
      </c>
      <c r="BJ99" s="391" t="str">
        <f t="shared" si="355"/>
        <v>A</v>
      </c>
      <c r="BK99" s="392">
        <f>BK81</f>
        <v>0.78114321383151819</v>
      </c>
      <c r="BL99" s="384">
        <f t="shared" si="355"/>
        <v>6939.7061595174264</v>
      </c>
      <c r="BM99" s="393">
        <f>BM81</f>
        <v>5.4313174210070266E-2</v>
      </c>
      <c r="BN99" s="382">
        <f t="shared" si="355"/>
        <v>482.52031501340485</v>
      </c>
      <c r="BO99" s="392">
        <f>BO81</f>
        <v>3.0242735068924831E-2</v>
      </c>
      <c r="BP99" s="384">
        <f t="shared" si="355"/>
        <v>268.67761394101876</v>
      </c>
      <c r="BQ99" s="393">
        <f>BQ81</f>
        <v>0</v>
      </c>
      <c r="BR99" s="382">
        <f t="shared" si="355"/>
        <v>0</v>
      </c>
      <c r="BS99" s="392">
        <f>BS81</f>
        <v>3.8548289538955872E-2</v>
      </c>
      <c r="BT99" s="384">
        <f t="shared" si="355"/>
        <v>342.46447721179624</v>
      </c>
      <c r="BU99" s="393">
        <f>BU81</f>
        <v>2.2632994286577465E-4</v>
      </c>
      <c r="BV99" s="382">
        <f t="shared" si="355"/>
        <v>2.0107238605898123</v>
      </c>
      <c r="BW99" s="392">
        <f>BW81</f>
        <v>1.9629480516477775E-2</v>
      </c>
      <c r="BX99" s="384">
        <f t="shared" si="355"/>
        <v>174.38905495978551</v>
      </c>
      <c r="BY99" s="393">
        <f>BY81</f>
        <v>1.1525453245306988E-2</v>
      </c>
      <c r="BZ99" s="382">
        <f t="shared" si="355"/>
        <v>102.39256702412868</v>
      </c>
      <c r="CA99" s="392">
        <f>CA81</f>
        <v>1.8947838855383207E-2</v>
      </c>
      <c r="CB99" s="384">
        <f t="shared" si="355"/>
        <v>168.33332439678284</v>
      </c>
      <c r="CC99" s="393">
        <f>CC81</f>
        <v>1.4821159726079537E-2</v>
      </c>
      <c r="CD99" s="382">
        <f t="shared" si="355"/>
        <v>131.67174932975871</v>
      </c>
      <c r="CE99" s="392">
        <f t="shared" ref="CE99:EB99" si="356">CE81</f>
        <v>0.62811938398488887</v>
      </c>
      <c r="CF99" s="394">
        <f t="shared" si="356"/>
        <v>0.54376239992443409</v>
      </c>
      <c r="CG99" s="394">
        <f t="shared" si="356"/>
        <v>0.5435761013590118</v>
      </c>
      <c r="CH99" s="384">
        <f t="shared" si="356"/>
        <v>4830.8059383378013</v>
      </c>
      <c r="CI99" s="393">
        <f t="shared" si="356"/>
        <v>0.12021540207889286</v>
      </c>
      <c r="CJ99" s="395">
        <f t="shared" si="356"/>
        <v>0.10407036816407533</v>
      </c>
      <c r="CK99" s="395">
        <f t="shared" si="356"/>
        <v>0.10403471259043759</v>
      </c>
      <c r="CL99" s="387">
        <f t="shared" si="356"/>
        <v>924.56512734584442</v>
      </c>
      <c r="CM99" s="392">
        <f t="shared" si="356"/>
        <v>2.2859510349648872E-2</v>
      </c>
      <c r="CN99" s="394">
        <f t="shared" si="356"/>
        <v>1.9789458064426731E-2</v>
      </c>
      <c r="CO99" s="394">
        <f t="shared" si="356"/>
        <v>1.9782677993483246E-2</v>
      </c>
      <c r="CP99" s="384">
        <f t="shared" si="356"/>
        <v>175.81030160857907</v>
      </c>
      <c r="CQ99" s="393">
        <f t="shared" si="356"/>
        <v>7.9923562956132607E-2</v>
      </c>
      <c r="CR99" s="395">
        <f t="shared" si="356"/>
        <v>6.9189758366991913E-2</v>
      </c>
      <c r="CS99" s="395">
        <f t="shared" si="356"/>
        <v>6.9166053247389156E-2</v>
      </c>
      <c r="CT99" s="382">
        <f t="shared" si="356"/>
        <v>614.68445710455762</v>
      </c>
      <c r="CU99" s="392">
        <f t="shared" si="356"/>
        <v>0.83537584338185655</v>
      </c>
      <c r="CV99" s="394">
        <f t="shared" si="356"/>
        <v>0.72318413508337875</v>
      </c>
      <c r="CW99" s="394">
        <f t="shared" si="356"/>
        <v>0.72293636479451551</v>
      </c>
      <c r="CX99" s="384">
        <f t="shared" si="356"/>
        <v>6424.79548927614</v>
      </c>
      <c r="CY99" s="393">
        <f t="shared" si="356"/>
        <v>9.9883877135632047E-3</v>
      </c>
      <c r="CZ99" s="395">
        <f t="shared" si="356"/>
        <v>8.6439759552645185E-3</v>
      </c>
      <c r="DA99" s="382">
        <f t="shared" si="356"/>
        <v>76.819731903485248</v>
      </c>
      <c r="DB99" s="392">
        <f t="shared" si="356"/>
        <v>2.3192922345879065E-3</v>
      </c>
      <c r="DC99" s="384">
        <f t="shared" si="356"/>
        <v>20.611742627345844</v>
      </c>
      <c r="DD99" s="393">
        <f t="shared" si="356"/>
        <v>2.0491085492351003E-2</v>
      </c>
      <c r="DE99" s="395">
        <f t="shared" si="356"/>
        <v>1.7733037139981544E-2</v>
      </c>
      <c r="DF99" s="382">
        <f t="shared" si="356"/>
        <v>157.59497319034853</v>
      </c>
      <c r="DG99" s="392">
        <f t="shared" si="356"/>
        <v>3.6241446702529917E-3</v>
      </c>
      <c r="DH99" s="394">
        <f t="shared" si="356"/>
        <v>3.1363439512393019E-3</v>
      </c>
      <c r="DI99" s="384">
        <f t="shared" si="356"/>
        <v>27.872949061662201</v>
      </c>
      <c r="DJ99" s="393">
        <f t="shared" si="356"/>
        <v>4.1145543355334907E-2</v>
      </c>
      <c r="DK99" s="395">
        <f t="shared" si="356"/>
        <v>3.5619660802619038E-2</v>
      </c>
      <c r="DL99" s="395">
        <f t="shared" si="356"/>
        <v>3.5607457142142918E-2</v>
      </c>
      <c r="DM99" s="382">
        <f t="shared" si="356"/>
        <v>316.44642761394101</v>
      </c>
      <c r="DN99" s="392">
        <f t="shared" si="356"/>
        <v>1.0802572402626413E-2</v>
      </c>
      <c r="DO99" s="394">
        <f t="shared" si="356"/>
        <v>9.348573441588591E-3</v>
      </c>
      <c r="DP99" s="384">
        <f t="shared" si="356"/>
        <v>83.08154825737266</v>
      </c>
      <c r="DQ99" s="393">
        <f t="shared" si="356"/>
        <v>7.50683106046139E-2</v>
      </c>
      <c r="DR99" s="395">
        <f t="shared" si="356"/>
        <v>6.49643055993398E-2</v>
      </c>
      <c r="DS99" s="382">
        <f t="shared" si="356"/>
        <v>577.34317694369975</v>
      </c>
      <c r="DT99" s="392">
        <f t="shared" si="356"/>
        <v>4.8804598989695851E-2</v>
      </c>
      <c r="DU99" s="384">
        <f t="shared" si="356"/>
        <v>433.7305227882037</v>
      </c>
      <c r="DV99" s="393">
        <f t="shared" ref="DV99:DW99" si="357">DV81</f>
        <v>1.4973220170148653E-2</v>
      </c>
      <c r="DW99" s="382">
        <f t="shared" si="357"/>
        <v>133.06825067024127</v>
      </c>
      <c r="DX99" s="393">
        <f t="shared" si="356"/>
        <v>3.6514705678966593E-5</v>
      </c>
      <c r="DY99" s="395">
        <f t="shared" si="356"/>
        <v>3.1610748686919864E-5</v>
      </c>
      <c r="DZ99" s="395">
        <f t="shared" si="356"/>
        <v>3.1599918520779069E-5</v>
      </c>
      <c r="EA99" s="382">
        <f t="shared" si="356"/>
        <v>0.28083109919571048</v>
      </c>
      <c r="EB99" s="390">
        <f t="shared" si="356"/>
        <v>419</v>
      </c>
      <c r="EC99" s="366">
        <f>EC81</f>
        <v>51470</v>
      </c>
      <c r="ED99" s="366">
        <f>ED81</f>
        <v>149456.85</v>
      </c>
    </row>
    <row r="100" spans="1:228">
      <c r="B100" t="s">
        <v>192</v>
      </c>
      <c r="C100" s="27" t="s">
        <v>323</v>
      </c>
      <c r="D100" s="366">
        <f t="shared" ref="D100:AJ100" si="358">SUM(D82:D87)</f>
        <v>35742823.920000002</v>
      </c>
      <c r="E100" s="366">
        <f t="shared" si="358"/>
        <v>7050466.75</v>
      </c>
      <c r="F100" s="366">
        <f t="shared" si="358"/>
        <v>2713129.43</v>
      </c>
      <c r="G100" s="366">
        <f t="shared" si="358"/>
        <v>0</v>
      </c>
      <c r="H100" s="366">
        <f t="shared" si="358"/>
        <v>968556</v>
      </c>
      <c r="I100" s="366">
        <f t="shared" si="358"/>
        <v>278808.65000000002</v>
      </c>
      <c r="J100" s="366">
        <f t="shared" si="358"/>
        <v>32995.270000000004</v>
      </c>
      <c r="K100" s="366">
        <f>SUM(K82:K87)</f>
        <v>53321.619999999995</v>
      </c>
      <c r="L100" s="366">
        <f t="shared" si="358"/>
        <v>117402.11</v>
      </c>
      <c r="M100" s="366">
        <f t="shared" si="358"/>
        <v>847717.59999999986</v>
      </c>
      <c r="N100" s="366">
        <f t="shared" si="358"/>
        <v>0</v>
      </c>
      <c r="O100" s="366">
        <f t="shared" si="358"/>
        <v>5275.83</v>
      </c>
      <c r="P100" s="366">
        <f t="shared" si="358"/>
        <v>1623844.3599999999</v>
      </c>
      <c r="Q100" s="366">
        <f t="shared" si="358"/>
        <v>3189948.93</v>
      </c>
      <c r="R100" s="366">
        <f t="shared" si="358"/>
        <v>0</v>
      </c>
      <c r="S100" s="366">
        <f t="shared" si="358"/>
        <v>0</v>
      </c>
      <c r="T100" s="366">
        <f t="shared" si="358"/>
        <v>0</v>
      </c>
      <c r="U100" s="366">
        <f t="shared" si="358"/>
        <v>152890</v>
      </c>
      <c r="V100" s="366">
        <f t="shared" si="358"/>
        <v>30993669.710000001</v>
      </c>
      <c r="W100" s="366">
        <f t="shared" si="358"/>
        <v>17998.900000000001</v>
      </c>
      <c r="X100" s="366">
        <f t="shared" si="358"/>
        <v>5991145.3899999997</v>
      </c>
      <c r="Y100" s="366">
        <f t="shared" si="358"/>
        <v>734383.87</v>
      </c>
      <c r="Z100" s="366">
        <f t="shared" si="358"/>
        <v>3231795.04</v>
      </c>
      <c r="AA100" s="366">
        <f t="shared" si="358"/>
        <v>264481.15000000002</v>
      </c>
      <c r="AB100" s="366">
        <f t="shared" si="358"/>
        <v>293797.81</v>
      </c>
      <c r="AC100" s="366">
        <f t="shared" si="358"/>
        <v>453312.38</v>
      </c>
      <c r="AD100" s="366">
        <f t="shared" si="358"/>
        <v>94019.91</v>
      </c>
      <c r="AE100" s="366">
        <f t="shared" si="358"/>
        <v>4334.76</v>
      </c>
      <c r="AF100" s="366">
        <f t="shared" si="358"/>
        <v>4800</v>
      </c>
      <c r="AG100" s="366">
        <f t="shared" si="358"/>
        <v>721008.32</v>
      </c>
      <c r="AH100" s="366">
        <f t="shared" si="358"/>
        <v>92556.13</v>
      </c>
      <c r="AI100" s="366">
        <f t="shared" si="358"/>
        <v>869344.05999999994</v>
      </c>
      <c r="AJ100" s="366">
        <f t="shared" si="358"/>
        <v>66054.06</v>
      </c>
      <c r="AK100" s="366">
        <f t="shared" ref="AK100:BI100" si="359">SUM(AK82:AK87)</f>
        <v>1066744.31</v>
      </c>
      <c r="AL100" s="366">
        <f t="shared" si="359"/>
        <v>170237.64</v>
      </c>
      <c r="AM100" s="366">
        <f t="shared" si="359"/>
        <v>520252.87</v>
      </c>
      <c r="AN100" s="366">
        <f t="shared" si="359"/>
        <v>1165081.23</v>
      </c>
      <c r="AO100" s="366">
        <f t="shared" si="359"/>
        <v>659314.75</v>
      </c>
      <c r="AP100" s="366">
        <f t="shared" si="359"/>
        <v>851541.73</v>
      </c>
      <c r="AQ100" s="366">
        <f t="shared" si="359"/>
        <v>413479.93999999994</v>
      </c>
      <c r="AR100" s="366">
        <f t="shared" si="359"/>
        <v>223533.59000000003</v>
      </c>
      <c r="AS100" s="366">
        <f t="shared" si="359"/>
        <v>10863.48</v>
      </c>
      <c r="AT100" s="366">
        <f t="shared" si="359"/>
        <v>825968.84000000008</v>
      </c>
      <c r="AU100" s="366">
        <f t="shared" si="359"/>
        <v>611960.37</v>
      </c>
      <c r="AV100" s="366">
        <f t="shared" si="359"/>
        <v>1241336.1400000001</v>
      </c>
      <c r="AW100" s="366">
        <f t="shared" si="359"/>
        <v>1376586.05</v>
      </c>
      <c r="AX100" s="366">
        <f>SUM(AX82:AX87)</f>
        <v>55593.689999999995</v>
      </c>
      <c r="AY100" s="366">
        <f t="shared" si="359"/>
        <v>0</v>
      </c>
      <c r="AZ100" s="366">
        <f t="shared" si="359"/>
        <v>51460</v>
      </c>
      <c r="BA100" s="366">
        <f t="shared" si="359"/>
        <v>0</v>
      </c>
      <c r="BB100" s="366">
        <f t="shared" si="359"/>
        <v>0</v>
      </c>
      <c r="BC100" s="366">
        <f t="shared" si="359"/>
        <v>52777180.469999999</v>
      </c>
      <c r="BD100" s="366">
        <f t="shared" si="359"/>
        <v>53076656.11999999</v>
      </c>
      <c r="BE100" s="366">
        <f t="shared" si="359"/>
        <v>-299475.64999999804</v>
      </c>
      <c r="BF100" s="366">
        <f t="shared" si="359"/>
        <v>2180722.4899999998</v>
      </c>
      <c r="BG100" s="366">
        <f t="shared" si="359"/>
        <v>1881246.8400000017</v>
      </c>
      <c r="BH100" s="396">
        <f t="shared" si="359"/>
        <v>4636</v>
      </c>
      <c r="BI100" s="366">
        <f t="shared" si="359"/>
        <v>45506420.100000001</v>
      </c>
      <c r="BJ100" t="s">
        <v>192</v>
      </c>
      <c r="BK100" s="379">
        <f t="shared" ref="BK100:CP100" si="360">BK88</f>
        <v>0.69220193769434102</v>
      </c>
      <c r="BL100" s="380">
        <f t="shared" si="360"/>
        <v>7647.4049369676477</v>
      </c>
      <c r="BM100" s="381">
        <f t="shared" si="360"/>
        <v>0.13264910598831539</v>
      </c>
      <c r="BN100" s="382">
        <f t="shared" si="360"/>
        <v>1513.5173626605163</v>
      </c>
      <c r="BO100" s="379">
        <f t="shared" si="360"/>
        <v>4.2433242004143591E-2</v>
      </c>
      <c r="BP100" s="380">
        <f t="shared" si="360"/>
        <v>528.05996922896691</v>
      </c>
      <c r="BQ100" s="381">
        <f t="shared" si="360"/>
        <v>0</v>
      </c>
      <c r="BR100" s="382">
        <f t="shared" si="360"/>
        <v>0</v>
      </c>
      <c r="BS100" s="379">
        <f t="shared" si="360"/>
        <v>1.8562958581625575E-2</v>
      </c>
      <c r="BT100" s="380">
        <f t="shared" si="360"/>
        <v>192.32552693523567</v>
      </c>
      <c r="BU100" s="381">
        <f t="shared" si="360"/>
        <v>5.6342501429177362E-3</v>
      </c>
      <c r="BV100" s="382">
        <f t="shared" si="360"/>
        <v>71.187942328953639</v>
      </c>
      <c r="BW100" s="379">
        <f t="shared" si="360"/>
        <v>5.1856123218079234E-4</v>
      </c>
      <c r="BX100" s="380">
        <f t="shared" si="360"/>
        <v>6.2982795785627106</v>
      </c>
      <c r="BY100" s="381">
        <f t="shared" si="360"/>
        <v>2.915783712175787E-3</v>
      </c>
      <c r="BZ100" s="382">
        <f t="shared" si="360"/>
        <v>32.299716956531419</v>
      </c>
      <c r="CA100" s="383">
        <f t="shared" si="360"/>
        <v>1.9955885042300801E-2</v>
      </c>
      <c r="CB100" s="384">
        <f t="shared" si="360"/>
        <v>282.53066397145022</v>
      </c>
      <c r="CC100" s="381">
        <f t="shared" si="360"/>
        <v>6.5121837487690515E-2</v>
      </c>
      <c r="CD100" s="382">
        <f t="shared" si="360"/>
        <v>816.61604614556757</v>
      </c>
      <c r="CE100" s="383">
        <f t="shared" si="360"/>
        <v>0.71850295571996969</v>
      </c>
      <c r="CF100" s="385">
        <f t="shared" si="360"/>
        <v>0.61838577064708244</v>
      </c>
      <c r="CG100" s="385">
        <f t="shared" si="360"/>
        <v>0.61305910830891575</v>
      </c>
      <c r="CH100" s="384">
        <f t="shared" si="360"/>
        <v>6958.256273204127</v>
      </c>
      <c r="CI100" s="381">
        <f t="shared" si="360"/>
        <v>0.12319108094786541</v>
      </c>
      <c r="CJ100" s="386">
        <f t="shared" si="360"/>
        <v>0.10615946171935596</v>
      </c>
      <c r="CK100" s="386">
        <f t="shared" si="360"/>
        <v>0.10551695359623771</v>
      </c>
      <c r="CL100" s="387">
        <f t="shared" si="360"/>
        <v>1213.0075359556454</v>
      </c>
      <c r="CM100" s="383">
        <f t="shared" si="360"/>
        <v>1.634957027839562E-2</v>
      </c>
      <c r="CN100" s="385">
        <f t="shared" si="360"/>
        <v>1.4108236578216993E-2</v>
      </c>
      <c r="CO100" s="385">
        <f t="shared" si="360"/>
        <v>1.3987834310232971E-2</v>
      </c>
      <c r="CP100" s="384">
        <f t="shared" si="360"/>
        <v>158.52177940936588</v>
      </c>
      <c r="CQ100" s="381">
        <f t="shared" ref="CQ100:EA100" si="361">CQ88</f>
        <v>7.0244440971584707E-2</v>
      </c>
      <c r="CR100" s="386">
        <f t="shared" si="361"/>
        <v>6.0654037042570629E-2</v>
      </c>
      <c r="CS100" s="386">
        <f t="shared" si="361"/>
        <v>6.0244620776386558E-2</v>
      </c>
      <c r="CT100" s="382">
        <f t="shared" si="361"/>
        <v>686.868964253846</v>
      </c>
      <c r="CU100" s="383">
        <f t="shared" si="361"/>
        <v>0.92779409820797853</v>
      </c>
      <c r="CV100" s="385">
        <f t="shared" si="361"/>
        <v>0.79855009980695657</v>
      </c>
      <c r="CW100" s="385">
        <f t="shared" si="361"/>
        <v>0.79205857552703007</v>
      </c>
      <c r="CX100" s="384">
        <f t="shared" si="361"/>
        <v>9015.5434091810112</v>
      </c>
      <c r="CY100" s="381">
        <f t="shared" si="361"/>
        <v>1.6579163461535412E-2</v>
      </c>
      <c r="CZ100" s="386">
        <f t="shared" si="361"/>
        <v>1.3959705581997143E-2</v>
      </c>
      <c r="DA100" s="382">
        <f t="shared" si="361"/>
        <v>161.99400271931879</v>
      </c>
      <c r="DB100" s="383">
        <f t="shared" si="361"/>
        <v>1.1929332393603017E-3</v>
      </c>
      <c r="DC100" s="384">
        <f t="shared" si="361"/>
        <v>13.551081802034998</v>
      </c>
      <c r="DD100" s="381">
        <f t="shared" si="361"/>
        <v>2.2150482228672445E-2</v>
      </c>
      <c r="DE100" s="386">
        <f t="shared" si="361"/>
        <v>1.9459954179586063E-2</v>
      </c>
      <c r="DF100" s="382">
        <f t="shared" si="361"/>
        <v>213.20069284440999</v>
      </c>
      <c r="DG100" s="383">
        <f t="shared" si="361"/>
        <v>1.3673102481031721E-2</v>
      </c>
      <c r="DH100" s="385">
        <f t="shared" si="361"/>
        <v>1.1200346467407175E-2</v>
      </c>
      <c r="DI100" s="384">
        <f t="shared" si="361"/>
        <v>131.8113536464233</v>
      </c>
      <c r="DJ100" s="381">
        <f t="shared" si="361"/>
        <v>2.421697541904004E-2</v>
      </c>
      <c r="DK100" s="386">
        <f t="shared" si="361"/>
        <v>2.0935904823661398E-2</v>
      </c>
      <c r="DL100" s="386">
        <f t="shared" si="361"/>
        <v>2.0797903849660706E-2</v>
      </c>
      <c r="DM100" s="382">
        <f t="shared" si="361"/>
        <v>237.99736955981913</v>
      </c>
      <c r="DN100" s="383">
        <f>DN88</f>
        <v>8.94371543238205E-3</v>
      </c>
      <c r="DO100" s="385">
        <f>DO88</f>
        <v>7.754360538906436E-3</v>
      </c>
      <c r="DP100" s="384">
        <f>DP88</f>
        <v>85.059554036003206</v>
      </c>
      <c r="DQ100" s="381">
        <f t="shared" si="361"/>
        <v>2.3394693305028053E-2</v>
      </c>
      <c r="DR100" s="386">
        <f t="shared" si="361"/>
        <v>2.0225001202847408E-2</v>
      </c>
      <c r="DS100" s="382">
        <f t="shared" si="361"/>
        <v>231.8919586235385</v>
      </c>
      <c r="DT100" s="388">
        <f t="shared" si="361"/>
        <v>1.6126485801003319E-2</v>
      </c>
      <c r="DU100" s="384">
        <f t="shared" si="361"/>
        <v>170.33987696061271</v>
      </c>
      <c r="DV100" s="389">
        <f t="shared" ref="DV100:DW100" si="362">DV88</f>
        <v>1.6794847390638429E-2</v>
      </c>
      <c r="DW100" s="382">
        <f t="shared" si="362"/>
        <v>188.33328576933968</v>
      </c>
      <c r="DX100" s="381">
        <f t="shared" si="361"/>
        <v>1.8718289263542423E-5</v>
      </c>
      <c r="DY100" s="386">
        <f t="shared" si="361"/>
        <v>1.7031001553253199E-5</v>
      </c>
      <c r="DZ100" s="386">
        <f t="shared" si="361"/>
        <v>1.6939145871775384E-5</v>
      </c>
      <c r="EA100" s="382">
        <f t="shared" si="361"/>
        <v>0.17580081309983053</v>
      </c>
      <c r="EB100" s="390">
        <f>SUM(EB82:EB87)</f>
        <v>885</v>
      </c>
      <c r="EC100" s="366">
        <f>SUM(EC82:EC87)</f>
        <v>152890</v>
      </c>
      <c r="ED100" s="366">
        <f>SUM(ED82:ED87)</f>
        <v>0</v>
      </c>
    </row>
    <row r="101" spans="1:228">
      <c r="B101" t="s">
        <v>194</v>
      </c>
      <c r="C101" s="27" t="s">
        <v>324</v>
      </c>
      <c r="D101" s="366">
        <f t="shared" ref="D101:AJ101" si="363">SUM(D89:D91)</f>
        <v>5223207.33</v>
      </c>
      <c r="E101" s="366">
        <f>SUM(E89:E91)</f>
        <v>410000</v>
      </c>
      <c r="F101" s="366">
        <f t="shared" si="363"/>
        <v>8193981.3799999999</v>
      </c>
      <c r="G101" s="366">
        <f t="shared" si="363"/>
        <v>0</v>
      </c>
      <c r="H101" s="366">
        <f t="shared" si="363"/>
        <v>231438.58000000002</v>
      </c>
      <c r="I101" s="366">
        <f t="shared" si="363"/>
        <v>82079.81</v>
      </c>
      <c r="J101" s="366">
        <f t="shared" si="363"/>
        <v>77154.53</v>
      </c>
      <c r="K101" s="366">
        <f>SUM(K89:K91)</f>
        <v>47643.31</v>
      </c>
      <c r="L101" s="366">
        <f t="shared" si="363"/>
        <v>723255.84</v>
      </c>
      <c r="M101" s="366">
        <f t="shared" si="363"/>
        <v>14806.04</v>
      </c>
      <c r="N101" s="366">
        <f t="shared" si="363"/>
        <v>0</v>
      </c>
      <c r="O101" s="366">
        <f t="shared" si="363"/>
        <v>2177</v>
      </c>
      <c r="P101" s="366">
        <f t="shared" si="363"/>
        <v>1827.45</v>
      </c>
      <c r="Q101" s="366">
        <f t="shared" si="363"/>
        <v>16898.16</v>
      </c>
      <c r="R101" s="366">
        <f t="shared" si="363"/>
        <v>0</v>
      </c>
      <c r="S101" s="366">
        <f t="shared" si="363"/>
        <v>0</v>
      </c>
      <c r="T101" s="366">
        <f t="shared" si="363"/>
        <v>0</v>
      </c>
      <c r="U101" s="366">
        <f t="shared" si="363"/>
        <v>117114.88</v>
      </c>
      <c r="V101" s="366">
        <f t="shared" si="363"/>
        <v>5335659.9399999995</v>
      </c>
      <c r="W101" s="366">
        <f t="shared" si="363"/>
        <v>4310.46</v>
      </c>
      <c r="X101" s="366">
        <f t="shared" si="363"/>
        <v>5485892.8599999994</v>
      </c>
      <c r="Y101" s="366">
        <f t="shared" si="363"/>
        <v>201798.18</v>
      </c>
      <c r="Z101" s="366">
        <f t="shared" si="363"/>
        <v>521011.45</v>
      </c>
      <c r="AA101" s="366">
        <f t="shared" si="363"/>
        <v>0</v>
      </c>
      <c r="AB101" s="366">
        <f t="shared" si="363"/>
        <v>222400.39</v>
      </c>
      <c r="AC101" s="366">
        <f t="shared" si="363"/>
        <v>79531.09</v>
      </c>
      <c r="AD101" s="366">
        <f t="shared" si="363"/>
        <v>53488.79</v>
      </c>
      <c r="AE101" s="366">
        <f t="shared" si="363"/>
        <v>0</v>
      </c>
      <c r="AF101" s="366">
        <f t="shared" si="363"/>
        <v>0</v>
      </c>
      <c r="AG101" s="366">
        <f t="shared" si="363"/>
        <v>160327.93</v>
      </c>
      <c r="AH101" s="366">
        <f t="shared" si="363"/>
        <v>21220.37</v>
      </c>
      <c r="AI101" s="366">
        <f t="shared" si="363"/>
        <v>112281.57999999999</v>
      </c>
      <c r="AJ101" s="366">
        <f t="shared" si="363"/>
        <v>23799.96</v>
      </c>
      <c r="AK101" s="366">
        <f t="shared" ref="AK101:BI101" si="364">SUM(AK89:AK91)</f>
        <v>214550.74</v>
      </c>
      <c r="AL101" s="366">
        <f t="shared" si="364"/>
        <v>0</v>
      </c>
      <c r="AM101" s="366">
        <f t="shared" si="364"/>
        <v>72000.66</v>
      </c>
      <c r="AN101" s="366">
        <f t="shared" si="364"/>
        <v>173249.37</v>
      </c>
      <c r="AO101" s="366">
        <f t="shared" si="364"/>
        <v>135171.47</v>
      </c>
      <c r="AP101" s="366">
        <f t="shared" si="364"/>
        <v>1128</v>
      </c>
      <c r="AQ101" s="366">
        <f t="shared" si="364"/>
        <v>27124.510000000002</v>
      </c>
      <c r="AR101" s="366">
        <f t="shared" si="364"/>
        <v>29752.780000000002</v>
      </c>
      <c r="AS101" s="366">
        <f t="shared" si="364"/>
        <v>155462.12</v>
      </c>
      <c r="AT101" s="366">
        <f t="shared" si="364"/>
        <v>141194.72</v>
      </c>
      <c r="AU101" s="366">
        <f t="shared" si="364"/>
        <v>61490.33</v>
      </c>
      <c r="AV101" s="366">
        <f t="shared" si="364"/>
        <v>1783281.08</v>
      </c>
      <c r="AW101" s="366">
        <f t="shared" si="364"/>
        <v>132765.35</v>
      </c>
      <c r="AX101" s="366">
        <f>SUM(AX89:AX91)</f>
        <v>0</v>
      </c>
      <c r="AY101" s="366">
        <f t="shared" si="364"/>
        <v>0</v>
      </c>
      <c r="AZ101" s="366">
        <f t="shared" si="364"/>
        <v>0</v>
      </c>
      <c r="BA101" s="366">
        <f t="shared" si="364"/>
        <v>0</v>
      </c>
      <c r="BB101" s="366">
        <f t="shared" si="364"/>
        <v>0</v>
      </c>
      <c r="BC101" s="366">
        <f t="shared" si="364"/>
        <v>15141584.309999999</v>
      </c>
      <c r="BD101" s="366">
        <f t="shared" si="364"/>
        <v>15148894.129999999</v>
      </c>
      <c r="BE101" s="366">
        <f t="shared" si="364"/>
        <v>-7309.8199999993667</v>
      </c>
      <c r="BF101" s="366">
        <f t="shared" si="364"/>
        <v>598329.37</v>
      </c>
      <c r="BG101" s="366">
        <f t="shared" si="364"/>
        <v>591019.55000000063</v>
      </c>
      <c r="BH101" s="396">
        <f t="shared" si="364"/>
        <v>358</v>
      </c>
      <c r="BI101" s="366">
        <f t="shared" si="364"/>
        <v>13827188.710000001</v>
      </c>
      <c r="BJ101" t="s">
        <v>194</v>
      </c>
      <c r="BK101" s="379">
        <f t="shared" ref="BK101:CP101" si="365">BK92</f>
        <v>0.34543961631733477</v>
      </c>
      <c r="BL101" s="380">
        <f t="shared" si="365"/>
        <v>14881.366867521368</v>
      </c>
      <c r="BM101" s="381">
        <f t="shared" si="365"/>
        <v>2.9925833289170829E-2</v>
      </c>
      <c r="BN101" s="382">
        <f t="shared" si="365"/>
        <v>1898.148148148148</v>
      </c>
      <c r="BO101" s="379">
        <f t="shared" si="365"/>
        <v>0.54391094455928812</v>
      </c>
      <c r="BP101" s="380">
        <f t="shared" si="365"/>
        <v>25781.246319800568</v>
      </c>
      <c r="BQ101" s="381">
        <f t="shared" si="365"/>
        <v>0</v>
      </c>
      <c r="BR101" s="382">
        <f t="shared" si="365"/>
        <v>0</v>
      </c>
      <c r="BS101" s="379">
        <f t="shared" si="365"/>
        <v>1.4993766568647428E-2</v>
      </c>
      <c r="BT101" s="380">
        <f t="shared" si="365"/>
        <v>630.96017663817668</v>
      </c>
      <c r="BU101" s="381">
        <f t="shared" si="365"/>
        <v>5.971308338113975E-3</v>
      </c>
      <c r="BV101" s="382">
        <f t="shared" si="365"/>
        <v>377.02191239316238</v>
      </c>
      <c r="BW101" s="379">
        <f t="shared" si="365"/>
        <v>5.1406862970654688E-3</v>
      </c>
      <c r="BX101" s="380">
        <f t="shared" si="365"/>
        <v>242.86978846153849</v>
      </c>
      <c r="BY101" s="381">
        <f t="shared" si="365"/>
        <v>4.4469534140662563E-2</v>
      </c>
      <c r="BZ101" s="382">
        <f t="shared" si="365"/>
        <v>1962.5916666666665</v>
      </c>
      <c r="CA101" s="383">
        <f t="shared" si="365"/>
        <v>1.2115474498040457E-4</v>
      </c>
      <c r="CB101" s="384">
        <f t="shared" si="365"/>
        <v>6.1653703703703711</v>
      </c>
      <c r="CC101" s="381">
        <f t="shared" si="365"/>
        <v>1.0986689903337669E-3</v>
      </c>
      <c r="CD101" s="382">
        <f t="shared" si="365"/>
        <v>54.05237535612536</v>
      </c>
      <c r="CE101" s="383">
        <f t="shared" si="365"/>
        <v>0.38875594160806431</v>
      </c>
      <c r="CF101" s="385">
        <f t="shared" si="365"/>
        <v>0.35502172816097693</v>
      </c>
      <c r="CG101" s="385">
        <f t="shared" si="365"/>
        <v>0.35458868018244694</v>
      </c>
      <c r="CH101" s="384">
        <f t="shared" si="365"/>
        <v>16655.25475925926</v>
      </c>
      <c r="CI101" s="381">
        <f t="shared" si="365"/>
        <v>0.39599157031345333</v>
      </c>
      <c r="CJ101" s="386">
        <f t="shared" si="365"/>
        <v>0.36253868642101494</v>
      </c>
      <c r="CK101" s="386">
        <f t="shared" si="365"/>
        <v>0.36183057250248057</v>
      </c>
      <c r="CL101" s="387">
        <f t="shared" si="365"/>
        <v>17375.910163817662</v>
      </c>
      <c r="CM101" s="383">
        <f t="shared" si="365"/>
        <v>1.4844118692198455E-2</v>
      </c>
      <c r="CN101" s="385">
        <f t="shared" si="365"/>
        <v>1.3870442048210183E-2</v>
      </c>
      <c r="CO101" s="385">
        <f t="shared" si="365"/>
        <v>1.3805160909328254E-2</v>
      </c>
      <c r="CP101" s="384">
        <f t="shared" si="365"/>
        <v>693.91804131054141</v>
      </c>
      <c r="CQ101" s="381">
        <f t="shared" ref="CQ101:EA101" si="366">CQ92</f>
        <v>3.8106127589794182E-2</v>
      </c>
      <c r="CR101" s="386">
        <f t="shared" si="366"/>
        <v>3.555612462704235E-2</v>
      </c>
      <c r="CS101" s="386">
        <f t="shared" si="366"/>
        <v>3.5484562471616569E-2</v>
      </c>
      <c r="CT101" s="382">
        <f t="shared" si="366"/>
        <v>1601.9765712250712</v>
      </c>
      <c r="CU101" s="383">
        <f t="shared" si="366"/>
        <v>0.84887704097310535</v>
      </c>
      <c r="CV101" s="385">
        <f t="shared" si="366"/>
        <v>0.77672499635792003</v>
      </c>
      <c r="CW101" s="385">
        <f t="shared" si="366"/>
        <v>0.77546531591733825</v>
      </c>
      <c r="CX101" s="384">
        <f t="shared" si="366"/>
        <v>36800.66438319088</v>
      </c>
      <c r="CY101" s="381">
        <f t="shared" si="366"/>
        <v>1.1692796204017704E-2</v>
      </c>
      <c r="CZ101" s="386">
        <f t="shared" si="366"/>
        <v>1.0766456424143282E-2</v>
      </c>
      <c r="DA101" s="397">
        <f t="shared" si="366"/>
        <v>545.19096225071223</v>
      </c>
      <c r="DB101" s="383">
        <f t="shared" si="366"/>
        <v>1.6203973198203822E-3</v>
      </c>
      <c r="DC101" s="398">
        <f t="shared" si="366"/>
        <v>69.069126780626789</v>
      </c>
      <c r="DD101" s="381">
        <f t="shared" si="366"/>
        <v>1.560035041798905E-2</v>
      </c>
      <c r="DE101" s="386">
        <f t="shared" si="366"/>
        <v>1.452088307652491E-2</v>
      </c>
      <c r="DF101" s="397">
        <f t="shared" si="366"/>
        <v>596.35408831908831</v>
      </c>
      <c r="DG101" s="383">
        <f t="shared" si="366"/>
        <v>5.1662460013947526E-3</v>
      </c>
      <c r="DH101" s="385">
        <f t="shared" si="366"/>
        <v>4.6946333908670984E-3</v>
      </c>
      <c r="DI101" s="398">
        <f t="shared" si="366"/>
        <v>221.26654772079772</v>
      </c>
      <c r="DJ101" s="381">
        <f t="shared" si="366"/>
        <v>1.2533348016073672E-2</v>
      </c>
      <c r="DK101" s="386">
        <f t="shared" si="366"/>
        <v>1.1535047850090581E-2</v>
      </c>
      <c r="DL101" s="386">
        <f t="shared" si="366"/>
        <v>1.1521723851078048E-2</v>
      </c>
      <c r="DM101" s="397">
        <f t="shared" si="366"/>
        <v>525.49744586894587</v>
      </c>
      <c r="DN101" s="383">
        <f>DN92</f>
        <v>1.9025216293579756E-3</v>
      </c>
      <c r="DO101" s="385">
        <f>DO92</f>
        <v>1.6775757679059102E-3</v>
      </c>
      <c r="DP101" s="398">
        <f>DP92</f>
        <v>82.903495726495734</v>
      </c>
      <c r="DQ101" s="381">
        <f t="shared" si="366"/>
        <v>0.12825929250903145</v>
      </c>
      <c r="DR101" s="386">
        <f t="shared" si="366"/>
        <v>0.11816063478697947</v>
      </c>
      <c r="DS101" s="397">
        <f t="shared" si="366"/>
        <v>4694.4942984330492</v>
      </c>
      <c r="DT101" s="383">
        <f t="shared" si="366"/>
        <v>9.5398491821643925E-3</v>
      </c>
      <c r="DU101" s="398">
        <f t="shared" si="366"/>
        <v>412.53968945868945</v>
      </c>
      <c r="DV101" s="381">
        <f t="shared" ref="DV101:DW101" si="367">DV92</f>
        <v>7.499725561774459E-3</v>
      </c>
      <c r="DW101" s="397">
        <f t="shared" si="367"/>
        <v>268.51786823361823</v>
      </c>
      <c r="DX101" s="381">
        <f t="shared" si="366"/>
        <v>1.1976121997341552E-5</v>
      </c>
      <c r="DY101" s="386">
        <f t="shared" si="366"/>
        <v>1.0930467975250658E-5</v>
      </c>
      <c r="DZ101" s="386">
        <f t="shared" si="366"/>
        <v>1.0937999231530718E-5</v>
      </c>
      <c r="EA101" s="382">
        <f t="shared" si="366"/>
        <v>0.47357549857549852</v>
      </c>
      <c r="EB101" s="390">
        <f>SUM(EB89:EB91)</f>
        <v>167</v>
      </c>
      <c r="EC101" s="366">
        <f>SUM(EC89:EC91)</f>
        <v>56897.88</v>
      </c>
      <c r="ED101" s="366">
        <f>SUM(ED89:ED91)</f>
        <v>60217</v>
      </c>
    </row>
    <row r="102" spans="1:228">
      <c r="B102" s="15" t="s">
        <v>347</v>
      </c>
      <c r="C102" s="27" t="s">
        <v>344</v>
      </c>
      <c r="D102" s="366">
        <f t="shared" ref="D102:AJ102" si="368">SUM(D93:D94)</f>
        <v>2679651.6</v>
      </c>
      <c r="E102" s="366">
        <f t="shared" si="368"/>
        <v>0</v>
      </c>
      <c r="F102" s="366">
        <f t="shared" si="368"/>
        <v>1139327.79</v>
      </c>
      <c r="G102" s="366">
        <f t="shared" si="368"/>
        <v>0</v>
      </c>
      <c r="H102" s="366">
        <f t="shared" si="368"/>
        <v>35710</v>
      </c>
      <c r="I102" s="366">
        <f t="shared" si="368"/>
        <v>0</v>
      </c>
      <c r="J102" s="366">
        <f t="shared" si="368"/>
        <v>139459.60999999999</v>
      </c>
      <c r="K102" s="366">
        <f>SUM(K93:K94)</f>
        <v>392310.7</v>
      </c>
      <c r="L102" s="366">
        <f t="shared" si="368"/>
        <v>279963.12</v>
      </c>
      <c r="M102" s="366">
        <f t="shared" si="368"/>
        <v>2156.34</v>
      </c>
      <c r="N102" s="366">
        <f t="shared" si="368"/>
        <v>0</v>
      </c>
      <c r="O102" s="366">
        <f t="shared" si="368"/>
        <v>0</v>
      </c>
      <c r="P102" s="366">
        <f t="shared" si="368"/>
        <v>1312.5</v>
      </c>
      <c r="Q102" s="366">
        <f t="shared" si="368"/>
        <v>5454</v>
      </c>
      <c r="R102" s="366">
        <f t="shared" si="368"/>
        <v>0</v>
      </c>
      <c r="S102" s="366">
        <f t="shared" si="368"/>
        <v>0</v>
      </c>
      <c r="T102" s="366">
        <f t="shared" si="368"/>
        <v>0</v>
      </c>
      <c r="U102" s="366">
        <f t="shared" si="368"/>
        <v>14003.619999999999</v>
      </c>
      <c r="V102" s="366">
        <f t="shared" si="368"/>
        <v>2572104.0699999998</v>
      </c>
      <c r="W102" s="366">
        <f t="shared" si="368"/>
        <v>147061.81</v>
      </c>
      <c r="X102" s="366">
        <f t="shared" si="368"/>
        <v>543599.91</v>
      </c>
      <c r="Y102" s="366">
        <f>SUM(Y93:Y94)</f>
        <v>50994.21</v>
      </c>
      <c r="Z102" s="366">
        <f t="shared" si="368"/>
        <v>236970.88</v>
      </c>
      <c r="AA102" s="366">
        <f t="shared" si="368"/>
        <v>0</v>
      </c>
      <c r="AB102" s="366">
        <f t="shared" si="368"/>
        <v>6647.83</v>
      </c>
      <c r="AC102" s="366">
        <f t="shared" si="368"/>
        <v>26730.09</v>
      </c>
      <c r="AD102" s="366">
        <f t="shared" si="368"/>
        <v>50760.07</v>
      </c>
      <c r="AE102" s="366">
        <f t="shared" si="368"/>
        <v>0</v>
      </c>
      <c r="AF102" s="366">
        <f t="shared" si="368"/>
        <v>0</v>
      </c>
      <c r="AG102" s="366">
        <f t="shared" si="368"/>
        <v>5472.56</v>
      </c>
      <c r="AH102" s="366">
        <f t="shared" si="368"/>
        <v>2410</v>
      </c>
      <c r="AI102" s="366">
        <f t="shared" si="368"/>
        <v>36827.949999999997</v>
      </c>
      <c r="AJ102" s="366">
        <f t="shared" si="368"/>
        <v>1147.26</v>
      </c>
      <c r="AK102" s="366">
        <f t="shared" ref="AK102:BI102" si="369">SUM(AK93:AK94)</f>
        <v>53541.61</v>
      </c>
      <c r="AL102" s="366">
        <f t="shared" si="369"/>
        <v>0</v>
      </c>
      <c r="AM102" s="366">
        <f t="shared" si="369"/>
        <v>368632.14</v>
      </c>
      <c r="AN102" s="366">
        <f t="shared" si="369"/>
        <v>55535.810000000005</v>
      </c>
      <c r="AO102" s="366">
        <f t="shared" si="369"/>
        <v>54587.15</v>
      </c>
      <c r="AP102" s="366">
        <f t="shared" si="369"/>
        <v>18436.919999999998</v>
      </c>
      <c r="AQ102" s="366">
        <f t="shared" si="369"/>
        <v>35411.01</v>
      </c>
      <c r="AR102" s="366">
        <f t="shared" si="369"/>
        <v>7061.82</v>
      </c>
      <c r="AS102" s="366">
        <f t="shared" si="369"/>
        <v>3210.23</v>
      </c>
      <c r="AT102" s="366">
        <f t="shared" si="369"/>
        <v>26702.68</v>
      </c>
      <c r="AU102" s="366">
        <f t="shared" si="369"/>
        <v>160239.77000000002</v>
      </c>
      <c r="AV102" s="366">
        <f t="shared" si="369"/>
        <v>192903.45</v>
      </c>
      <c r="AW102" s="366">
        <f t="shared" si="369"/>
        <v>80574.559999999998</v>
      </c>
      <c r="AX102" s="366">
        <f>SUM(AX93:AX94)</f>
        <v>0</v>
      </c>
      <c r="AY102" s="366">
        <f t="shared" si="369"/>
        <v>0</v>
      </c>
      <c r="AZ102" s="366">
        <f t="shared" si="369"/>
        <v>0</v>
      </c>
      <c r="BA102" s="366">
        <f t="shared" si="369"/>
        <v>0</v>
      </c>
      <c r="BB102" s="366">
        <f t="shared" si="369"/>
        <v>0</v>
      </c>
      <c r="BC102" s="366">
        <f t="shared" si="369"/>
        <v>4689349.28</v>
      </c>
      <c r="BD102" s="366">
        <f t="shared" si="369"/>
        <v>4737563.7899999991</v>
      </c>
      <c r="BE102" s="366">
        <f t="shared" si="369"/>
        <v>-48214.509999999078</v>
      </c>
      <c r="BF102" s="366">
        <f t="shared" si="369"/>
        <v>404419.12</v>
      </c>
      <c r="BG102" s="366">
        <f t="shared" si="369"/>
        <v>356204.61000000092</v>
      </c>
      <c r="BH102" s="396">
        <f t="shared" si="369"/>
        <v>53</v>
      </c>
      <c r="BI102" s="366">
        <f t="shared" si="369"/>
        <v>3818979.3899999997</v>
      </c>
      <c r="BJ102" s="15" t="s">
        <v>347</v>
      </c>
      <c r="BK102" s="399">
        <f>+BK95</f>
        <v>0.56137564662689055</v>
      </c>
      <c r="BL102" s="400">
        <f t="shared" ref="BL102:DZ102" si="370">+BL95</f>
        <v>58805.395499999999</v>
      </c>
      <c r="BM102" s="401">
        <f t="shared" si="370"/>
        <v>0</v>
      </c>
      <c r="BN102" s="402">
        <f t="shared" si="370"/>
        <v>0</v>
      </c>
      <c r="BO102" s="399">
        <f t="shared" si="370"/>
        <v>0.16872806715151367</v>
      </c>
      <c r="BP102" s="400">
        <f t="shared" si="370"/>
        <v>14547.620111111111</v>
      </c>
      <c r="BQ102" s="401">
        <f t="shared" si="370"/>
        <v>0</v>
      </c>
      <c r="BR102" s="402">
        <f t="shared" si="370"/>
        <v>0</v>
      </c>
      <c r="BS102" s="399">
        <f t="shared" si="370"/>
        <v>7.2632468427012101E-3</v>
      </c>
      <c r="BT102" s="400">
        <f t="shared" si="370"/>
        <v>751.10416666666674</v>
      </c>
      <c r="BU102" s="401">
        <f t="shared" si="370"/>
        <v>0</v>
      </c>
      <c r="BV102" s="402">
        <f t="shared" si="370"/>
        <v>0</v>
      </c>
      <c r="BW102" s="399">
        <f t="shared" si="370"/>
        <v>3.5983148475694865E-2</v>
      </c>
      <c r="BX102" s="400">
        <f t="shared" si="370"/>
        <v>4071.799597222222</v>
      </c>
      <c r="BY102" s="401">
        <f t="shared" si="370"/>
        <v>0.22224383576469384</v>
      </c>
      <c r="BZ102" s="402">
        <f t="shared" si="370"/>
        <v>26919.36036111111</v>
      </c>
      <c r="CA102" s="403">
        <f t="shared" si="370"/>
        <v>2.365527070363958E-4</v>
      </c>
      <c r="CB102" s="404">
        <f t="shared" si="370"/>
        <v>23.0625</v>
      </c>
      <c r="CC102" s="401">
        <f t="shared" si="370"/>
        <v>7.4721967491494254E-4</v>
      </c>
      <c r="CD102" s="402">
        <f t="shared" si="370"/>
        <v>60.6</v>
      </c>
      <c r="CE102" s="403">
        <f t="shared" si="370"/>
        <v>0.85915123942070237</v>
      </c>
      <c r="CF102" s="405">
        <f t="shared" si="370"/>
        <v>0.60400993884566967</v>
      </c>
      <c r="CG102" s="405">
        <f t="shared" si="370"/>
        <v>0.58135439468639927</v>
      </c>
      <c r="CH102" s="404">
        <f t="shared" si="370"/>
        <v>63306.599916666666</v>
      </c>
      <c r="CI102" s="401">
        <f t="shared" si="370"/>
        <v>0.1153741883836526</v>
      </c>
      <c r="CJ102" s="406">
        <f t="shared" si="370"/>
        <v>9.0198804325080817E-2</v>
      </c>
      <c r="CK102" s="406">
        <f t="shared" si="370"/>
        <v>8.9269636873592517E-2</v>
      </c>
      <c r="CL102" s="407">
        <f t="shared" si="370"/>
        <v>8389.903430555556</v>
      </c>
      <c r="CM102" s="403">
        <f t="shared" si="370"/>
        <v>7.925014004701211E-3</v>
      </c>
      <c r="CN102" s="405">
        <f t="shared" si="370"/>
        <v>6.9864094277125614E-3</v>
      </c>
      <c r="CO102" s="405">
        <f t="shared" si="370"/>
        <v>7.1064579727319688E-3</v>
      </c>
      <c r="CP102" s="404">
        <f t="shared" si="370"/>
        <v>566.60233333333338</v>
      </c>
      <c r="CQ102" s="401">
        <f t="shared" si="370"/>
        <v>5.7275092154876098E-2</v>
      </c>
      <c r="CR102" s="406">
        <f t="shared" si="370"/>
        <v>4.2872882656872266E-2</v>
      </c>
      <c r="CS102" s="406">
        <f t="shared" si="370"/>
        <v>4.1968746372250496E-2</v>
      </c>
      <c r="CT102" s="402">
        <f t="shared" si="370"/>
        <v>4188.3479444444438</v>
      </c>
      <c r="CU102" s="403">
        <f t="shared" si="370"/>
        <v>1.0194754271287829</v>
      </c>
      <c r="CV102" s="405">
        <f t="shared" si="370"/>
        <v>0.72486757613082964</v>
      </c>
      <c r="CW102" s="405">
        <f t="shared" si="370"/>
        <v>0.69987839111314876</v>
      </c>
      <c r="CX102" s="404">
        <f t="shared" si="370"/>
        <v>75020.204305555555</v>
      </c>
      <c r="CY102" s="401">
        <f t="shared" si="370"/>
        <v>1.6517202736417965E-3</v>
      </c>
      <c r="CZ102" s="406">
        <f t="shared" si="370"/>
        <v>1.1131512898498569E-3</v>
      </c>
      <c r="DA102" s="408">
        <f t="shared" si="370"/>
        <v>121.75190277777779</v>
      </c>
      <c r="DB102" s="403">
        <f t="shared" si="370"/>
        <v>1.5988001331516811E-4</v>
      </c>
      <c r="DC102" s="409">
        <f t="shared" si="370"/>
        <v>12.747333333333334</v>
      </c>
      <c r="DD102" s="401">
        <f t="shared" si="370"/>
        <v>8.3209056299578012E-3</v>
      </c>
      <c r="DE102" s="406">
        <f t="shared" si="370"/>
        <v>7.4614588843989488E-3</v>
      </c>
      <c r="DF102" s="408">
        <f t="shared" si="370"/>
        <v>594.90677777777773</v>
      </c>
      <c r="DG102" s="403">
        <f t="shared" si="370"/>
        <v>0.29833350534622444</v>
      </c>
      <c r="DH102" s="405">
        <f t="shared" si="370"/>
        <v>0.15681908013998105</v>
      </c>
      <c r="DI102" s="409">
        <f t="shared" si="370"/>
        <v>22431.003666666667</v>
      </c>
      <c r="DJ102" s="401">
        <f t="shared" si="370"/>
        <v>1.3328572313154308E-2</v>
      </c>
      <c r="DK102" s="406">
        <f t="shared" si="370"/>
        <v>9.9995939286736946E-3</v>
      </c>
      <c r="DL102" s="406">
        <f t="shared" si="370"/>
        <v>9.7944422838461276E-3</v>
      </c>
      <c r="DM102" s="408">
        <f t="shared" si="370"/>
        <v>974.39976388888886</v>
      </c>
      <c r="DN102" s="403">
        <f>+DN95</f>
        <v>1.1333412879086768E-2</v>
      </c>
      <c r="DO102" s="405">
        <f>+DO95</f>
        <v>7.4852833611175331E-3</v>
      </c>
      <c r="DP102" s="409">
        <f>+DP95</f>
        <v>836.92995833333339</v>
      </c>
      <c r="DQ102" s="401">
        <f t="shared" si="370"/>
        <v>4.6880688847983888E-2</v>
      </c>
      <c r="DR102" s="406">
        <f t="shared" si="370"/>
        <v>3.4276411617959121E-2</v>
      </c>
      <c r="DS102" s="408">
        <f t="shared" si="370"/>
        <v>3428.9916527777777</v>
      </c>
      <c r="DT102" s="403">
        <f t="shared" si="370"/>
        <v>3.9083116495243651E-3</v>
      </c>
      <c r="DU102" s="409">
        <f t="shared" si="370"/>
        <v>329.22509722222219</v>
      </c>
      <c r="DV102" s="401">
        <f t="shared" ref="DV102:DW102" si="371">+DV95</f>
        <v>5.1408303869296011E-3</v>
      </c>
      <c r="DW102" s="408">
        <f t="shared" si="371"/>
        <v>410.68715277777778</v>
      </c>
      <c r="DX102" s="401">
        <f t="shared" si="370"/>
        <v>6.6890718498345162E-6</v>
      </c>
      <c r="DY102" s="406">
        <f t="shared" si="370"/>
        <v>5.1416645146524518E-6</v>
      </c>
      <c r="DZ102" s="406">
        <f t="shared" si="370"/>
        <v>5.0673740599928192E-6</v>
      </c>
      <c r="EA102" s="402">
        <f>+EA95</f>
        <v>0.48749999999999999</v>
      </c>
      <c r="EB102" s="410">
        <f>SUM(EB93:EB94)</f>
        <v>30</v>
      </c>
      <c r="EC102" s="366">
        <f>SUM(EC93:EC94)</f>
        <v>3514.06</v>
      </c>
      <c r="ED102" s="366">
        <f>SUM(ED93:ED94)</f>
        <v>10489.56</v>
      </c>
    </row>
    <row r="103" spans="1:228" ht="13.8" thickBot="1">
      <c r="D103" s="411">
        <f>SUM(D97:D102)</f>
        <v>193351937.79000002</v>
      </c>
      <c r="E103" s="411">
        <f t="shared" ref="E103:BI103" si="372">SUM(E97:E102)</f>
        <v>8180387.0600000005</v>
      </c>
      <c r="F103" s="411">
        <f t="shared" si="372"/>
        <v>24263605.309999995</v>
      </c>
      <c r="G103" s="411">
        <f t="shared" si="372"/>
        <v>0</v>
      </c>
      <c r="H103" s="411">
        <f t="shared" si="372"/>
        <v>8679044.5999999996</v>
      </c>
      <c r="I103" s="411">
        <f t="shared" si="372"/>
        <v>1189795.3700000001</v>
      </c>
      <c r="J103" s="411">
        <f t="shared" si="372"/>
        <v>6609154.0300000031</v>
      </c>
      <c r="K103" s="411">
        <f>SUM(K97:K102)</f>
        <v>2304694.8500000006</v>
      </c>
      <c r="L103" s="411">
        <f t="shared" si="372"/>
        <v>4172435.2099999995</v>
      </c>
      <c r="M103" s="411">
        <f t="shared" si="372"/>
        <v>1420928.35</v>
      </c>
      <c r="N103" s="411">
        <f t="shared" si="372"/>
        <v>64048.959999999999</v>
      </c>
      <c r="O103" s="411">
        <f t="shared" si="372"/>
        <v>103898.49</v>
      </c>
      <c r="P103" s="411">
        <f t="shared" si="372"/>
        <v>6151212.2399999993</v>
      </c>
      <c r="Q103" s="411">
        <f t="shared" si="372"/>
        <v>8524355.4400000013</v>
      </c>
      <c r="R103" s="411">
        <f t="shared" si="372"/>
        <v>0</v>
      </c>
      <c r="S103" s="411">
        <f t="shared" si="372"/>
        <v>785181.92</v>
      </c>
      <c r="T103" s="411">
        <f t="shared" si="372"/>
        <v>5608.99</v>
      </c>
      <c r="U103" s="411">
        <f t="shared" si="372"/>
        <v>5728772.8599999975</v>
      </c>
      <c r="V103" s="411">
        <f t="shared" si="372"/>
        <v>125220771.38999999</v>
      </c>
      <c r="W103" s="411">
        <f t="shared" si="372"/>
        <v>368327.36</v>
      </c>
      <c r="X103" s="411">
        <f t="shared" si="372"/>
        <v>52028548.669999994</v>
      </c>
      <c r="Y103" s="411">
        <f t="shared" si="372"/>
        <v>5584330.9100000001</v>
      </c>
      <c r="Z103" s="411">
        <f t="shared" si="372"/>
        <v>12204797.970000001</v>
      </c>
      <c r="AA103" s="411">
        <f t="shared" si="372"/>
        <v>563658.81000000006</v>
      </c>
      <c r="AB103" s="411">
        <f t="shared" si="372"/>
        <v>4944740.84</v>
      </c>
      <c r="AC103" s="411">
        <f t="shared" si="372"/>
        <v>1610196.5000000005</v>
      </c>
      <c r="AD103" s="411">
        <f t="shared" si="372"/>
        <v>545510.35999999987</v>
      </c>
      <c r="AE103" s="411">
        <f t="shared" si="372"/>
        <v>190076.20000000004</v>
      </c>
      <c r="AF103" s="411">
        <f t="shared" si="372"/>
        <v>60946.860000000008</v>
      </c>
      <c r="AG103" s="411">
        <f t="shared" si="372"/>
        <v>3284153.75</v>
      </c>
      <c r="AH103" s="411">
        <f t="shared" si="372"/>
        <v>480682.36000000004</v>
      </c>
      <c r="AI103" s="411">
        <f t="shared" si="372"/>
        <v>3666883.2000000007</v>
      </c>
      <c r="AJ103" s="411">
        <f t="shared" si="372"/>
        <v>578777.20000000019</v>
      </c>
      <c r="AK103" s="411">
        <f t="shared" si="372"/>
        <v>5095927.9900000012</v>
      </c>
      <c r="AL103" s="411">
        <f t="shared" si="372"/>
        <v>2035870.1000000006</v>
      </c>
      <c r="AM103" s="411">
        <f t="shared" si="372"/>
        <v>2539046.1000000006</v>
      </c>
      <c r="AN103" s="411">
        <f t="shared" si="372"/>
        <v>7740112.4299999997</v>
      </c>
      <c r="AO103" s="411">
        <f t="shared" si="372"/>
        <v>3052195.42</v>
      </c>
      <c r="AP103" s="411">
        <f t="shared" si="372"/>
        <v>968843.92</v>
      </c>
      <c r="AQ103" s="411">
        <f t="shared" si="372"/>
        <v>1488591.4400000002</v>
      </c>
      <c r="AR103" s="411">
        <f t="shared" si="372"/>
        <v>1198314.3900000001</v>
      </c>
      <c r="AS103" s="411">
        <f t="shared" si="372"/>
        <v>1137250.0499999996</v>
      </c>
      <c r="AT103" s="411">
        <f t="shared" si="372"/>
        <v>10242534.35</v>
      </c>
      <c r="AU103" s="411">
        <f t="shared" si="372"/>
        <v>5050301.59</v>
      </c>
      <c r="AV103" s="411">
        <f t="shared" si="372"/>
        <v>15824188.819999998</v>
      </c>
      <c r="AW103" s="411">
        <f t="shared" si="372"/>
        <v>4546032.9699999988</v>
      </c>
      <c r="AX103" s="411">
        <f>SUM(AX97:AX102)</f>
        <v>135663.90999999997</v>
      </c>
      <c r="AY103" s="411">
        <f t="shared" si="372"/>
        <v>0</v>
      </c>
      <c r="AZ103" s="411">
        <f t="shared" si="372"/>
        <v>350808.12</v>
      </c>
      <c r="BA103" s="411">
        <f t="shared" si="372"/>
        <v>519908.4</v>
      </c>
      <c r="BB103" s="411">
        <f t="shared" si="372"/>
        <v>114250.17</v>
      </c>
      <c r="BC103" s="411">
        <f t="shared" si="372"/>
        <v>270744270.56000006</v>
      </c>
      <c r="BD103" s="411">
        <f t="shared" si="372"/>
        <v>272738083.97999996</v>
      </c>
      <c r="BE103" s="411">
        <f t="shared" si="372"/>
        <v>-1993813.4200000011</v>
      </c>
      <c r="BF103" s="411">
        <f t="shared" si="372"/>
        <v>6626354.0299999993</v>
      </c>
      <c r="BG103" s="411">
        <f t="shared" si="372"/>
        <v>4632540.6099999994</v>
      </c>
      <c r="BH103" s="411">
        <f t="shared" si="372"/>
        <v>28614.5</v>
      </c>
      <c r="BI103" s="412">
        <f t="shared" si="372"/>
        <v>225795930.16</v>
      </c>
      <c r="EB103" s="413">
        <f>SUM(EB97:EB102)</f>
        <v>5941</v>
      </c>
      <c r="EC103" s="411">
        <f>SUM(EC97:EC102)</f>
        <v>704999.54000000015</v>
      </c>
      <c r="ED103" s="411">
        <f>SUM(ED97:ED102)</f>
        <v>5023773.3199999994</v>
      </c>
    </row>
    <row r="104" spans="1:228" ht="15.6" thickTop="1"/>
    <row r="105" spans="1:228" s="28" customFormat="1" ht="16.2" thickBot="1">
      <c r="A105" s="414"/>
      <c r="B105" s="415"/>
      <c r="C105" s="416" t="s">
        <v>332</v>
      </c>
      <c r="D105" s="417">
        <f>CFR20242025_BenchMarkDataReport!T88</f>
        <v>193351937.78999999</v>
      </c>
      <c r="E105" s="417">
        <f>CFR20242025_BenchMarkDataReport!U88</f>
        <v>8180387.0599999987</v>
      </c>
      <c r="F105" s="417">
        <f>CFR20242025_BenchMarkDataReport!V88</f>
        <v>24263605.309999999</v>
      </c>
      <c r="G105" s="417">
        <f>CFR20242025_BenchMarkDataReport!W88</f>
        <v>0</v>
      </c>
      <c r="H105" s="417">
        <f>CFR20242025_BenchMarkDataReport!X88</f>
        <v>8679044.5999999996</v>
      </c>
      <c r="I105" s="417">
        <f>CFR20242025_BenchMarkDataReport!Y88</f>
        <v>1189795.3700000001</v>
      </c>
      <c r="J105" s="417">
        <f>CFR20242025_BenchMarkDataReport!Z88</f>
        <v>6609154.0300000003</v>
      </c>
      <c r="K105" s="417">
        <f>CFR20242025_BenchMarkDataReport!AA88</f>
        <v>2304694.85</v>
      </c>
      <c r="L105" s="417">
        <f>CFR20242025_BenchMarkDataReport!AB88</f>
        <v>4172435.2099999995</v>
      </c>
      <c r="M105" s="417">
        <f>CFR20242025_BenchMarkDataReport!AC88</f>
        <v>1420928.35</v>
      </c>
      <c r="N105" s="417">
        <f>CFR20242025_BenchMarkDataReport!AD88</f>
        <v>64048.959999999999</v>
      </c>
      <c r="O105" s="417">
        <f>CFR20242025_BenchMarkDataReport!AE88</f>
        <v>103898.48999999999</v>
      </c>
      <c r="P105" s="417">
        <f>CFR20242025_BenchMarkDataReport!AF88</f>
        <v>6151212.2399999993</v>
      </c>
      <c r="Q105" s="417">
        <f>CFR20242025_BenchMarkDataReport!AG88</f>
        <v>8524355.4399999995</v>
      </c>
      <c r="R105" s="417">
        <f>CFR20242025_BenchMarkDataReport!AH88</f>
        <v>0</v>
      </c>
      <c r="S105" s="417">
        <f>CFR20242025_BenchMarkDataReport!AI88</f>
        <v>785181.92</v>
      </c>
      <c r="T105" s="417">
        <f>CFR20242025_BenchMarkDataReport!AJ88</f>
        <v>5608.99</v>
      </c>
      <c r="U105" s="417">
        <f>CFR20242025_BenchMarkDataReport!AM88</f>
        <v>5728772.8599999975</v>
      </c>
      <c r="V105" s="417">
        <f>CFR20242025_BenchMarkDataReport!AN88</f>
        <v>125220771.38999997</v>
      </c>
      <c r="W105" s="417">
        <f>CFR20242025_BenchMarkDataReport!AO88</f>
        <v>368327.36000000004</v>
      </c>
      <c r="X105" s="417">
        <f>CFR20242025_BenchMarkDataReport!AP88</f>
        <v>52028548.670000017</v>
      </c>
      <c r="Y105" s="417">
        <f>CFR20242025_BenchMarkDataReport!AQ88</f>
        <v>5584330.910000002</v>
      </c>
      <c r="Z105" s="417">
        <f>CFR20242025_BenchMarkDataReport!AR88</f>
        <v>12204797.970000003</v>
      </c>
      <c r="AA105" s="417">
        <f>CFR20242025_BenchMarkDataReport!AS88</f>
        <v>563658.81000000006</v>
      </c>
      <c r="AB105" s="417">
        <f>CFR20242025_BenchMarkDataReport!AT88</f>
        <v>4944740.8400000026</v>
      </c>
      <c r="AC105" s="417">
        <f>CFR20242025_BenchMarkDataReport!AU88</f>
        <v>1610196.5</v>
      </c>
      <c r="AD105" s="417">
        <f>CFR20242025_BenchMarkDataReport!AV88</f>
        <v>545510.35999999987</v>
      </c>
      <c r="AE105" s="417">
        <f>CFR20242025_BenchMarkDataReport!AW88</f>
        <v>190076.19999999998</v>
      </c>
      <c r="AF105" s="417">
        <f>CFR20242025_BenchMarkDataReport!AX88</f>
        <v>60946.860000000008</v>
      </c>
      <c r="AG105" s="417">
        <f>CFR20242025_BenchMarkDataReport!AY88</f>
        <v>3284153.7499999991</v>
      </c>
      <c r="AH105" s="417">
        <f>CFR20242025_BenchMarkDataReport!AZ88</f>
        <v>480682.3600000001</v>
      </c>
      <c r="AI105" s="417">
        <f>CFR20242025_BenchMarkDataReport!BA88</f>
        <v>3666883.1999999988</v>
      </c>
      <c r="AJ105" s="417">
        <f>CFR20242025_BenchMarkDataReport!BB88</f>
        <v>578777.20000000007</v>
      </c>
      <c r="AK105" s="417">
        <f>CFR20242025_BenchMarkDataReport!BC88</f>
        <v>5095927.9900000012</v>
      </c>
      <c r="AL105" s="417">
        <f>CFR20242025_BenchMarkDataReport!BD88</f>
        <v>2035870.1000000006</v>
      </c>
      <c r="AM105" s="417">
        <f>CFR20242025_BenchMarkDataReport!BE88</f>
        <v>2539046.0999999996</v>
      </c>
      <c r="AN105" s="417">
        <f>CFR20242025_BenchMarkDataReport!BF88</f>
        <v>7740112.4300000016</v>
      </c>
      <c r="AO105" s="417">
        <f>CFR20242025_BenchMarkDataReport!BN88</f>
        <v>3052195.42</v>
      </c>
      <c r="AP105" s="417">
        <f>CFR20242025_BenchMarkDataReport!BO88</f>
        <v>968843.91999999993</v>
      </c>
      <c r="AQ105" s="417">
        <f>CFR20242025_BenchMarkDataReport!BP88</f>
        <v>1488591.44</v>
      </c>
      <c r="AR105" s="417">
        <f>CFR20242025_BenchMarkDataReport!BQ88</f>
        <v>1198314.3899999997</v>
      </c>
      <c r="AS105" s="417">
        <f>CFR20242025_BenchMarkDataReport!BR88</f>
        <v>1137250.05</v>
      </c>
      <c r="AT105" s="417">
        <f>CFR20242025_BenchMarkDataReport!BS88</f>
        <v>10242534.349999998</v>
      </c>
      <c r="AU105" s="417">
        <f>CFR20242025_BenchMarkDataReport!BT88</f>
        <v>5050301.5900000026</v>
      </c>
      <c r="AV105" s="417">
        <f>CFR20242025_BenchMarkDataReport!BU88</f>
        <v>15824188.820000002</v>
      </c>
      <c r="AW105" s="417">
        <f>CFR20242025_BenchMarkDataReport!BV88</f>
        <v>4546032.9700000007</v>
      </c>
      <c r="AX105" s="417">
        <f>CFR20242025_BenchMarkDataReport!BW88</f>
        <v>135663.91</v>
      </c>
      <c r="AY105" s="417">
        <f>CFR20242025_BenchMarkDataReport!BX88</f>
        <v>0</v>
      </c>
      <c r="AZ105" s="417">
        <f>CFR20242025_BenchMarkDataReport!BY88</f>
        <v>350808.12</v>
      </c>
      <c r="BA105" s="417">
        <f>CFR20242025_BenchMarkDataReport!BZ88</f>
        <v>519908.4</v>
      </c>
      <c r="BB105" s="417">
        <f>CFR20242025_BenchMarkDataReport!CA88</f>
        <v>114250.17000000001</v>
      </c>
      <c r="BC105" s="417">
        <f>CFR20242025_BenchMarkDataReport!CX88</f>
        <v>270744270.55999994</v>
      </c>
      <c r="BD105" s="417">
        <f>CFR20242025_BenchMarkDataReport!CY88</f>
        <v>272738083.97999996</v>
      </c>
      <c r="BE105" s="419">
        <f>CFR20242025_BenchMarkDataReport!DA88</f>
        <v>-1993813.4200000034</v>
      </c>
      <c r="BF105" s="417">
        <f>CFR20242025_BenchMarkDataReport!Q88</f>
        <v>6626354.0300000021</v>
      </c>
      <c r="BG105" s="418">
        <f>CFR20242025_BenchMarkDataReport!CO88+CFR20242025_BenchMarkDataReport!CN88</f>
        <v>4632540.6100000003</v>
      </c>
      <c r="BH105" s="418"/>
      <c r="BI105" s="420">
        <f>CFR20242025_BenchMarkDataReport!CZ88</f>
        <v>225795930.16000003</v>
      </c>
      <c r="BJ105" s="29"/>
      <c r="BK105" s="421"/>
      <c r="BL105" s="421"/>
      <c r="BM105" s="422"/>
      <c r="BN105" s="422"/>
      <c r="BO105" s="421"/>
      <c r="BP105" s="421"/>
      <c r="BQ105" s="422"/>
      <c r="BR105" s="422"/>
      <c r="BS105" s="421"/>
      <c r="BT105" s="421"/>
      <c r="BU105" s="422"/>
      <c r="BV105" s="422"/>
      <c r="BW105" s="421"/>
      <c r="BX105" s="421"/>
      <c r="BY105" s="422"/>
      <c r="BZ105" s="422"/>
      <c r="CA105" s="423"/>
      <c r="CB105" s="424"/>
      <c r="CC105" s="422"/>
      <c r="CD105" s="425"/>
      <c r="CE105" s="423"/>
      <c r="CF105" s="423"/>
      <c r="CG105" s="423"/>
      <c r="CH105" s="424"/>
      <c r="CI105" s="422"/>
      <c r="CJ105" s="422"/>
      <c r="CK105" s="422"/>
      <c r="CL105" s="425"/>
      <c r="CM105" s="423"/>
      <c r="CN105" s="423"/>
      <c r="CO105" s="423"/>
      <c r="CP105" s="424"/>
      <c r="CQ105" s="422"/>
      <c r="CR105" s="422"/>
      <c r="CS105" s="422"/>
      <c r="CT105" s="425"/>
      <c r="CU105" s="423"/>
      <c r="CV105" s="423"/>
      <c r="CW105" s="423"/>
      <c r="CX105" s="424"/>
      <c r="CY105" s="422"/>
      <c r="CZ105" s="422"/>
      <c r="DA105" s="425"/>
      <c r="DB105" s="423"/>
      <c r="DC105" s="424"/>
      <c r="DD105" s="422"/>
      <c r="DE105" s="422"/>
      <c r="DF105" s="425"/>
      <c r="DG105" s="423"/>
      <c r="DH105" s="423"/>
      <c r="DI105" s="423"/>
      <c r="DJ105" s="422"/>
      <c r="DK105" s="422"/>
      <c r="DL105" s="422"/>
      <c r="DM105" s="425"/>
      <c r="DN105" s="423"/>
      <c r="DO105" s="423"/>
      <c r="DP105" s="424"/>
      <c r="DQ105" s="422"/>
      <c r="DR105" s="422"/>
      <c r="DS105" s="425"/>
      <c r="DT105" s="426"/>
      <c r="DU105" s="424"/>
      <c r="DV105" s="427"/>
      <c r="DW105" s="428"/>
      <c r="DX105" s="422"/>
      <c r="DY105" s="422"/>
      <c r="DZ105" s="422"/>
      <c r="EA105" s="422"/>
      <c r="EB105" s="429"/>
      <c r="EC105" s="417">
        <f>CFR20242025_BenchMarkDataReport!AK88</f>
        <v>704999.54000000015</v>
      </c>
      <c r="ED105" s="417">
        <f>CFR20242025_BenchMarkDataReport!AL88</f>
        <v>5023773.3199999984</v>
      </c>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c r="FH105" s="29"/>
      <c r="FI105" s="29"/>
      <c r="FJ105" s="29"/>
      <c r="FK105" s="29"/>
      <c r="FL105" s="29"/>
      <c r="FM105" s="29"/>
      <c r="FN105" s="29"/>
      <c r="FO105" s="29"/>
      <c r="FP105" s="29"/>
      <c r="FQ105" s="29"/>
      <c r="FR105" s="29"/>
      <c r="FS105" s="29"/>
      <c r="FT105" s="29"/>
      <c r="FU105" s="29"/>
      <c r="FV105" s="29"/>
      <c r="FW105" s="29"/>
      <c r="FX105" s="29"/>
      <c r="FY105" s="29"/>
      <c r="FZ105" s="29"/>
      <c r="GA105" s="29"/>
      <c r="GB105" s="29"/>
      <c r="GC105" s="29"/>
      <c r="GD105" s="29"/>
      <c r="GE105" s="29"/>
      <c r="GF105" s="29"/>
      <c r="GG105" s="29"/>
      <c r="GH105" s="29"/>
      <c r="GI105" s="29"/>
      <c r="GJ105" s="29"/>
      <c r="GK105" s="29"/>
      <c r="GL105" s="29"/>
      <c r="GM105" s="29"/>
      <c r="GN105" s="29"/>
      <c r="GO105" s="29"/>
      <c r="GP105" s="29"/>
      <c r="GQ105" s="29"/>
      <c r="GR105" s="29"/>
      <c r="GS105" s="29"/>
      <c r="GT105" s="29"/>
      <c r="GU105" s="29"/>
      <c r="GV105" s="29"/>
      <c r="GW105" s="29"/>
      <c r="GX105" s="29"/>
      <c r="GY105" s="29"/>
      <c r="GZ105" s="29"/>
      <c r="HA105" s="29"/>
      <c r="HB105" s="29"/>
      <c r="HC105" s="29"/>
      <c r="HD105" s="29"/>
      <c r="HE105" s="29"/>
      <c r="HF105" s="29"/>
      <c r="HG105" s="29"/>
      <c r="HH105" s="29"/>
      <c r="HI105" s="29"/>
      <c r="HJ105" s="29"/>
      <c r="HK105" s="29"/>
      <c r="HL105" s="29"/>
      <c r="HM105" s="29"/>
      <c r="HN105" s="29"/>
      <c r="HO105" s="29"/>
      <c r="HP105" s="29"/>
      <c r="HQ105" s="29"/>
      <c r="HR105" s="29"/>
      <c r="HS105" s="29"/>
      <c r="HT105" s="29"/>
    </row>
    <row r="106" spans="1:228" ht="15.6" thickTop="1">
      <c r="BC106" s="430"/>
      <c r="EC106" s="484"/>
      <c r="ED106" s="484"/>
    </row>
    <row r="107" spans="1:228">
      <c r="C107" s="15" t="s">
        <v>434</v>
      </c>
      <c r="D107" s="431">
        <f t="shared" ref="D107:AI107" si="373">D103-D105</f>
        <v>0</v>
      </c>
      <c r="E107" s="431">
        <f t="shared" si="373"/>
        <v>0</v>
      </c>
      <c r="F107" s="431">
        <f t="shared" si="373"/>
        <v>0</v>
      </c>
      <c r="G107" s="431">
        <f t="shared" si="373"/>
        <v>0</v>
      </c>
      <c r="H107" s="431">
        <f t="shared" si="373"/>
        <v>0</v>
      </c>
      <c r="I107" s="431">
        <f t="shared" si="373"/>
        <v>0</v>
      </c>
      <c r="J107" s="431">
        <f t="shared" si="373"/>
        <v>0</v>
      </c>
      <c r="K107" s="431">
        <f t="shared" si="373"/>
        <v>0</v>
      </c>
      <c r="L107" s="431">
        <f t="shared" si="373"/>
        <v>0</v>
      </c>
      <c r="M107" s="431">
        <f t="shared" si="373"/>
        <v>0</v>
      </c>
      <c r="N107" s="431">
        <f t="shared" si="373"/>
        <v>0</v>
      </c>
      <c r="O107" s="431">
        <f t="shared" si="373"/>
        <v>0</v>
      </c>
      <c r="P107" s="431">
        <f t="shared" si="373"/>
        <v>0</v>
      </c>
      <c r="Q107" s="431">
        <f t="shared" si="373"/>
        <v>0</v>
      </c>
      <c r="R107" s="431">
        <f t="shared" si="373"/>
        <v>0</v>
      </c>
      <c r="S107" s="431">
        <f t="shared" si="373"/>
        <v>0</v>
      </c>
      <c r="T107" s="431">
        <f t="shared" si="373"/>
        <v>0</v>
      </c>
      <c r="U107" s="431">
        <f t="shared" si="373"/>
        <v>0</v>
      </c>
      <c r="V107" s="431">
        <f t="shared" si="373"/>
        <v>0</v>
      </c>
      <c r="W107" s="431">
        <f t="shared" si="373"/>
        <v>0</v>
      </c>
      <c r="X107" s="431">
        <f t="shared" si="373"/>
        <v>0</v>
      </c>
      <c r="Y107" s="431">
        <f t="shared" si="373"/>
        <v>0</v>
      </c>
      <c r="Z107" s="431">
        <f t="shared" si="373"/>
        <v>0</v>
      </c>
      <c r="AA107" s="431">
        <f t="shared" si="373"/>
        <v>0</v>
      </c>
      <c r="AB107" s="431">
        <f t="shared" si="373"/>
        <v>0</v>
      </c>
      <c r="AC107" s="431">
        <f t="shared" si="373"/>
        <v>0</v>
      </c>
      <c r="AD107" s="431">
        <f t="shared" si="373"/>
        <v>0</v>
      </c>
      <c r="AE107" s="431">
        <f t="shared" si="373"/>
        <v>0</v>
      </c>
      <c r="AF107" s="431">
        <f t="shared" si="373"/>
        <v>0</v>
      </c>
      <c r="AG107" s="431">
        <f t="shared" si="373"/>
        <v>0</v>
      </c>
      <c r="AH107" s="431">
        <f t="shared" si="373"/>
        <v>0</v>
      </c>
      <c r="AI107" s="431">
        <f t="shared" si="373"/>
        <v>0</v>
      </c>
      <c r="AJ107" s="431">
        <f t="shared" ref="AJ107:BI107" si="374">AJ103-AJ105</f>
        <v>0</v>
      </c>
      <c r="AK107" s="431">
        <f t="shared" si="374"/>
        <v>0</v>
      </c>
      <c r="AL107" s="431">
        <f t="shared" si="374"/>
        <v>0</v>
      </c>
      <c r="AM107" s="431">
        <f t="shared" si="374"/>
        <v>0</v>
      </c>
      <c r="AN107" s="431">
        <f t="shared" si="374"/>
        <v>0</v>
      </c>
      <c r="AO107" s="431">
        <f t="shared" si="374"/>
        <v>0</v>
      </c>
      <c r="AP107" s="431">
        <f t="shared" si="374"/>
        <v>0</v>
      </c>
      <c r="AQ107" s="431">
        <f t="shared" si="374"/>
        <v>0</v>
      </c>
      <c r="AR107" s="431">
        <f t="shared" si="374"/>
        <v>0</v>
      </c>
      <c r="AS107" s="431">
        <f t="shared" si="374"/>
        <v>0</v>
      </c>
      <c r="AT107" s="431">
        <f t="shared" si="374"/>
        <v>0</v>
      </c>
      <c r="AU107" s="431">
        <f t="shared" si="374"/>
        <v>0</v>
      </c>
      <c r="AV107" s="431">
        <f t="shared" si="374"/>
        <v>0</v>
      </c>
      <c r="AW107" s="431">
        <f t="shared" si="374"/>
        <v>0</v>
      </c>
      <c r="AX107" s="431">
        <f t="shared" si="374"/>
        <v>0</v>
      </c>
      <c r="AY107" s="431">
        <f t="shared" si="374"/>
        <v>0</v>
      </c>
      <c r="AZ107" s="431">
        <f t="shared" si="374"/>
        <v>0</v>
      </c>
      <c r="BA107" s="431">
        <f t="shared" si="374"/>
        <v>0</v>
      </c>
      <c r="BB107" s="431">
        <f>BB103-BB105</f>
        <v>0</v>
      </c>
      <c r="BC107" s="431">
        <f t="shared" si="374"/>
        <v>0</v>
      </c>
      <c r="BD107" s="431">
        <f t="shared" si="374"/>
        <v>0</v>
      </c>
      <c r="BE107" s="431">
        <f>BE103-BE105</f>
        <v>2.3283064365386963E-9</v>
      </c>
      <c r="BF107" s="431">
        <f t="shared" si="374"/>
        <v>0</v>
      </c>
      <c r="BG107" s="431">
        <f t="shared" si="374"/>
        <v>0</v>
      </c>
      <c r="BH107" s="431"/>
      <c r="BI107" s="26">
        <f t="shared" si="374"/>
        <v>0</v>
      </c>
      <c r="EC107" s="431">
        <f t="shared" ref="EC107:ED107" si="375">EC103-EC105</f>
        <v>0</v>
      </c>
      <c r="ED107" s="431">
        <f t="shared" si="375"/>
        <v>0</v>
      </c>
    </row>
  </sheetData>
  <sheetProtection algorithmName="SHA-512" hashValue="NbXmYLUYZX2SlcdyddNw9QgYbf6mFaDlEhZ8fe8uxw4RxGF19JPR86Kbbc85wW1uv+TFWkA2Esn/EX0ozB7dUg==" saltValue="KExdob+Y1aj1d2gGMatIZw==" spinCount="100000" sheet="1" objects="1" scenarios="1"/>
  <mergeCells count="25">
    <mergeCell ref="DV2:DW2"/>
    <mergeCell ref="DN2:DP2"/>
    <mergeCell ref="DQ2:DS2"/>
    <mergeCell ref="CU2:CX2"/>
    <mergeCell ref="DD2:DF2"/>
    <mergeCell ref="DJ2:DM2"/>
    <mergeCell ref="DG2:DI2"/>
    <mergeCell ref="CY2:DA2"/>
    <mergeCell ref="DB2:DC2"/>
    <mergeCell ref="DX2:EA2"/>
    <mergeCell ref="BK2:BL2"/>
    <mergeCell ref="BM2:BN2"/>
    <mergeCell ref="BO2:BP2"/>
    <mergeCell ref="BQ2:BR2"/>
    <mergeCell ref="BS2:BT2"/>
    <mergeCell ref="BU2:BV2"/>
    <mergeCell ref="BW2:BX2"/>
    <mergeCell ref="BY2:BZ2"/>
    <mergeCell ref="CE2:CH2"/>
    <mergeCell ref="CA2:CB2"/>
    <mergeCell ref="CC2:CD2"/>
    <mergeCell ref="DT2:DU2"/>
    <mergeCell ref="CI2:CL2"/>
    <mergeCell ref="CM2:CP2"/>
    <mergeCell ref="CQ2:CT2"/>
  </mergeCells>
  <phoneticPr fontId="6" type="noConversion"/>
  <pageMargins left="0.75" right="0.75" top="1" bottom="1" header="0.5" footer="0.5"/>
  <pageSetup paperSize="9" orientation="portrait" r:id="rId1"/>
  <headerFooter alignWithMargins="0"/>
  <ignoredErrors>
    <ignoredError sqref="BK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296DA-6C61-4B9D-83EE-D82E7C5D8727}">
  <dimension ref="A1:CP93"/>
  <sheetViews>
    <sheetView showGridLines="0" zoomScale="90" zoomScaleNormal="90" workbookViewId="0">
      <pane xSplit="16" ySplit="3" topLeftCell="Q23" activePane="bottomRight" state="frozen"/>
      <selection pane="topRight" activeCell="Q1" sqref="Q1"/>
      <selection pane="bottomLeft" activeCell="A4" sqref="A4"/>
      <selection pane="bottomRight" activeCell="T50" sqref="T50"/>
    </sheetView>
  </sheetViews>
  <sheetFormatPr defaultColWidth="9.109375" defaultRowHeight="13.8"/>
  <cols>
    <col min="1" max="1" width="10.33203125" style="485" customWidth="1"/>
    <col min="2" max="2" width="12" style="485" customWidth="1"/>
    <col min="3" max="3" width="32.6640625" style="496" customWidth="1"/>
    <col min="4" max="4" width="16.6640625" style="485" hidden="1" customWidth="1"/>
    <col min="5" max="5" width="20.33203125" style="485" hidden="1" customWidth="1"/>
    <col min="6" max="6" width="13.6640625" style="485" hidden="1" customWidth="1"/>
    <col min="7" max="7" width="8.33203125" style="485" hidden="1" customWidth="1"/>
    <col min="8" max="8" width="9.88671875" style="485" hidden="1" customWidth="1"/>
    <col min="9" max="9" width="17.44140625" style="485" hidden="1" customWidth="1"/>
    <col min="10" max="10" width="13" style="485" hidden="1" customWidth="1"/>
    <col min="11" max="11" width="10.44140625" style="485" hidden="1" customWidth="1"/>
    <col min="12" max="12" width="13.109375" style="485" hidden="1" customWidth="1"/>
    <col min="13" max="13" width="8.5546875" style="485" hidden="1" customWidth="1"/>
    <col min="14" max="14" width="14.5546875" style="485" hidden="1" customWidth="1"/>
    <col min="15" max="15" width="11.5546875" style="485" hidden="1" customWidth="1"/>
    <col min="16" max="16" width="13.6640625" style="485" hidden="1" customWidth="1"/>
    <col min="17" max="17" width="16.44140625" style="485" bestFit="1" customWidth="1"/>
    <col min="18" max="18" width="14.33203125" style="485" bestFit="1" customWidth="1"/>
    <col min="19" max="19" width="16.44140625" style="485" bestFit="1" customWidth="1"/>
    <col min="20" max="20" width="19.44140625" style="485" bestFit="1" customWidth="1"/>
    <col min="21" max="21" width="16.44140625" style="485" bestFit="1" customWidth="1"/>
    <col min="22" max="22" width="18" style="485" bestFit="1" customWidth="1"/>
    <col min="23" max="23" width="6.33203125" style="485" bestFit="1" customWidth="1"/>
    <col min="24" max="29" width="16.44140625" style="485" bestFit="1" customWidth="1"/>
    <col min="30" max="31" width="14.33203125" style="485" bestFit="1" customWidth="1"/>
    <col min="32" max="33" width="16.44140625" style="485" bestFit="1" customWidth="1"/>
    <col min="34" max="34" width="6.33203125" style="485" bestFit="1" customWidth="1"/>
    <col min="35" max="35" width="14.33203125" style="485" bestFit="1" customWidth="1"/>
    <col min="36" max="36" width="12.6640625" style="485" bestFit="1" customWidth="1"/>
    <col min="37" max="38" width="6.44140625" style="485" bestFit="1" customWidth="1"/>
    <col min="39" max="40" width="16.44140625" style="485" bestFit="1" customWidth="1"/>
    <col min="41" max="41" width="19.44140625" style="485" bestFit="1" customWidth="1"/>
    <col min="42" max="42" width="14.33203125" style="485" bestFit="1" customWidth="1"/>
    <col min="43" max="43" width="18" style="485" bestFit="1" customWidth="1"/>
    <col min="44" max="44" width="16.44140625" style="485" bestFit="1" customWidth="1"/>
    <col min="45" max="45" width="18" style="485" bestFit="1" customWidth="1"/>
    <col min="46" max="46" width="14.33203125" style="485" bestFit="1" customWidth="1"/>
    <col min="47" max="48" width="16.44140625" style="485" bestFit="1" customWidth="1"/>
    <col min="49" max="50" width="14.33203125" style="485" bestFit="1" customWidth="1"/>
    <col min="51" max="51" width="12.6640625" style="485" bestFit="1" customWidth="1"/>
    <col min="52" max="52" width="16.44140625" style="485" bestFit="1" customWidth="1"/>
    <col min="53" max="53" width="14.33203125" style="485" bestFit="1" customWidth="1"/>
    <col min="54" max="54" width="16.44140625" style="485" bestFit="1" customWidth="1"/>
    <col min="55" max="55" width="14.33203125" style="485" bestFit="1" customWidth="1"/>
    <col min="56" max="60" width="16.44140625" style="485" bestFit="1" customWidth="1"/>
    <col min="61" max="61" width="14.33203125" style="485" bestFit="1" customWidth="1"/>
    <col min="62" max="66" width="16.44140625" style="485" bestFit="1" customWidth="1"/>
    <col min="67" max="67" width="18" style="485" bestFit="1" customWidth="1"/>
    <col min="68" max="68" width="16.44140625" style="485" bestFit="1" customWidth="1"/>
    <col min="69" max="69" width="14.33203125" style="485" bestFit="1" customWidth="1"/>
    <col min="70" max="70" width="6.33203125" style="485" bestFit="1" customWidth="1"/>
    <col min="71" max="77" width="14.33203125" style="485" bestFit="1" customWidth="1"/>
    <col min="78" max="78" width="6.88671875" style="485" bestFit="1" customWidth="1"/>
    <col min="79" max="81" width="14.33203125" style="485" bestFit="1" customWidth="1"/>
    <col min="82" max="82" width="6.33203125" style="485" bestFit="1" customWidth="1"/>
    <col min="83" max="83" width="16.44140625" style="485" bestFit="1" customWidth="1"/>
    <col min="84" max="84" width="14.33203125" style="485" bestFit="1" customWidth="1"/>
    <col min="85" max="85" width="6.33203125" style="485" bestFit="1" customWidth="1"/>
    <col min="86" max="86" width="14.33203125" style="485" bestFit="1" customWidth="1"/>
    <col min="87" max="87" width="6.33203125" style="485" bestFit="1" customWidth="1"/>
    <col min="88" max="88" width="16.44140625" style="485" bestFit="1" customWidth="1"/>
    <col min="89" max="89" width="14.33203125" style="485" bestFit="1" customWidth="1"/>
    <col min="90" max="90" width="16.44140625" style="485" bestFit="1" customWidth="1"/>
    <col min="91" max="93" width="19.44140625" style="485" bestFit="1" customWidth="1"/>
    <col min="94" max="94" width="18.5546875" style="485" bestFit="1" customWidth="1"/>
    <col min="95" max="16384" width="9.109375" style="485"/>
  </cols>
  <sheetData>
    <row r="1" spans="1:94">
      <c r="B1" s="486">
        <v>1</v>
      </c>
      <c r="C1" s="486">
        <v>2</v>
      </c>
      <c r="D1" s="486">
        <v>3</v>
      </c>
      <c r="E1" s="486">
        <v>4</v>
      </c>
      <c r="F1" s="486">
        <v>5</v>
      </c>
      <c r="G1" s="486">
        <v>6</v>
      </c>
      <c r="H1" s="486">
        <v>7</v>
      </c>
      <c r="I1" s="486">
        <v>8</v>
      </c>
      <c r="J1" s="486">
        <v>9</v>
      </c>
      <c r="K1" s="486">
        <v>10</v>
      </c>
      <c r="L1" s="486">
        <v>11</v>
      </c>
      <c r="M1" s="486">
        <v>12</v>
      </c>
      <c r="N1" s="486">
        <v>13</v>
      </c>
      <c r="O1" s="486">
        <v>14</v>
      </c>
      <c r="P1" s="486">
        <v>15</v>
      </c>
      <c r="Q1" s="486">
        <v>16</v>
      </c>
      <c r="R1" s="486">
        <v>17</v>
      </c>
      <c r="S1" s="486">
        <v>18</v>
      </c>
      <c r="T1" s="486">
        <v>19</v>
      </c>
      <c r="U1" s="486">
        <v>20</v>
      </c>
      <c r="V1" s="486">
        <v>21</v>
      </c>
      <c r="W1" s="486">
        <v>22</v>
      </c>
      <c r="X1" s="486">
        <v>23</v>
      </c>
      <c r="Y1" s="486">
        <v>24</v>
      </c>
      <c r="Z1" s="486">
        <v>25</v>
      </c>
      <c r="AA1" s="486">
        <v>26</v>
      </c>
      <c r="AB1" s="486">
        <v>27</v>
      </c>
      <c r="AC1" s="486">
        <v>28</v>
      </c>
      <c r="AD1" s="486">
        <v>29</v>
      </c>
      <c r="AE1" s="486">
        <v>30</v>
      </c>
      <c r="AF1" s="486">
        <v>31</v>
      </c>
      <c r="AG1" s="486">
        <v>32</v>
      </c>
      <c r="AH1" s="486">
        <v>33</v>
      </c>
      <c r="AI1" s="486">
        <v>34</v>
      </c>
      <c r="AJ1" s="486">
        <v>35</v>
      </c>
      <c r="AK1" s="486">
        <v>36</v>
      </c>
      <c r="AL1" s="486">
        <v>37</v>
      </c>
      <c r="AM1" s="486">
        <v>38</v>
      </c>
      <c r="AN1" s="486">
        <v>39</v>
      </c>
      <c r="AO1" s="486">
        <v>40</v>
      </c>
      <c r="AP1" s="486">
        <v>41</v>
      </c>
      <c r="AQ1" s="486">
        <v>42</v>
      </c>
      <c r="AR1" s="486">
        <v>43</v>
      </c>
      <c r="AS1" s="486">
        <v>44</v>
      </c>
      <c r="AT1" s="486">
        <v>45</v>
      </c>
      <c r="AU1" s="486">
        <v>46</v>
      </c>
      <c r="AV1" s="486">
        <v>47</v>
      </c>
      <c r="AW1" s="486">
        <v>48</v>
      </c>
      <c r="AX1" s="486">
        <v>49</v>
      </c>
      <c r="AY1" s="486">
        <v>50</v>
      </c>
      <c r="AZ1" s="486">
        <v>51</v>
      </c>
      <c r="BA1" s="486">
        <v>52</v>
      </c>
      <c r="BB1" s="486">
        <v>53</v>
      </c>
      <c r="BC1" s="486">
        <v>54</v>
      </c>
      <c r="BD1" s="486">
        <v>55</v>
      </c>
      <c r="BE1" s="486">
        <v>56</v>
      </c>
      <c r="BF1" s="486">
        <v>57</v>
      </c>
      <c r="BG1" s="486">
        <v>58</v>
      </c>
      <c r="BH1" s="486">
        <v>59</v>
      </c>
      <c r="BI1" s="486">
        <v>60</v>
      </c>
      <c r="BJ1" s="486">
        <v>61</v>
      </c>
      <c r="BK1" s="486">
        <v>62</v>
      </c>
      <c r="BL1" s="486">
        <v>63</v>
      </c>
      <c r="BM1" s="486">
        <v>64</v>
      </c>
      <c r="BN1" s="486">
        <v>65</v>
      </c>
      <c r="BO1" s="486">
        <v>66</v>
      </c>
      <c r="BP1" s="486">
        <v>67</v>
      </c>
      <c r="BQ1" s="486">
        <v>68</v>
      </c>
      <c r="BR1" s="486">
        <v>69</v>
      </c>
      <c r="BS1" s="486">
        <v>70</v>
      </c>
      <c r="BT1" s="486">
        <v>71</v>
      </c>
      <c r="BU1" s="486">
        <v>72</v>
      </c>
      <c r="BV1" s="486">
        <v>73</v>
      </c>
      <c r="BW1" s="486">
        <v>74</v>
      </c>
      <c r="BX1" s="486">
        <v>75</v>
      </c>
      <c r="BY1" s="486">
        <v>76</v>
      </c>
      <c r="BZ1" s="486">
        <v>77</v>
      </c>
      <c r="CA1" s="486">
        <v>78</v>
      </c>
      <c r="CB1" s="486">
        <v>79</v>
      </c>
      <c r="CC1" s="486">
        <v>80</v>
      </c>
      <c r="CD1" s="486">
        <v>81</v>
      </c>
      <c r="CE1" s="486">
        <v>82</v>
      </c>
      <c r="CF1" s="486">
        <v>83</v>
      </c>
      <c r="CG1" s="486">
        <v>84</v>
      </c>
      <c r="CH1" s="486">
        <v>85</v>
      </c>
      <c r="CI1" s="486">
        <v>86</v>
      </c>
      <c r="CJ1" s="486">
        <v>87</v>
      </c>
      <c r="CK1" s="486">
        <v>88</v>
      </c>
      <c r="CL1" s="486">
        <v>89</v>
      </c>
      <c r="CM1" s="486">
        <v>90</v>
      </c>
    </row>
    <row r="2" spans="1:94" ht="31.2" customHeight="1">
      <c r="A2" s="646" t="s">
        <v>716</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c r="AW2" s="647"/>
      <c r="AX2" s="647"/>
      <c r="AY2" s="647"/>
      <c r="AZ2" s="647"/>
      <c r="BA2" s="647"/>
      <c r="BB2" s="647"/>
      <c r="BC2" s="647"/>
      <c r="BD2" s="647"/>
      <c r="BE2" s="647"/>
      <c r="BF2" s="647"/>
      <c r="BG2" s="647"/>
      <c r="BH2" s="647"/>
      <c r="BI2" s="647"/>
      <c r="BJ2" s="647"/>
      <c r="BK2" s="647"/>
      <c r="BL2" s="647"/>
      <c r="BM2" s="647"/>
      <c r="BN2" s="647"/>
      <c r="BO2" s="647"/>
      <c r="BP2" s="647"/>
      <c r="BQ2" s="647"/>
      <c r="BR2" s="647"/>
      <c r="BS2" s="647"/>
      <c r="BT2" s="647"/>
      <c r="BU2" s="647"/>
      <c r="BV2" s="647"/>
      <c r="BW2" s="647"/>
      <c r="BX2" s="647"/>
      <c r="BY2" s="647"/>
      <c r="BZ2" s="647"/>
    </row>
    <row r="3" spans="1:94" s="490" customFormat="1" ht="57.6">
      <c r="A3" s="487" t="s">
        <v>556</v>
      </c>
      <c r="B3" s="487" t="s">
        <v>557</v>
      </c>
      <c r="C3" s="488" t="s">
        <v>128</v>
      </c>
      <c r="D3" s="487" t="s">
        <v>558</v>
      </c>
      <c r="E3" s="487" t="s">
        <v>559</v>
      </c>
      <c r="F3" s="487" t="s">
        <v>560</v>
      </c>
      <c r="G3" s="487" t="s">
        <v>561</v>
      </c>
      <c r="H3" s="487" t="s">
        <v>562</v>
      </c>
      <c r="I3" s="487" t="s">
        <v>563</v>
      </c>
      <c r="J3" s="487" t="s">
        <v>564</v>
      </c>
      <c r="K3" s="487" t="s">
        <v>565</v>
      </c>
      <c r="L3" s="487" t="s">
        <v>566</v>
      </c>
      <c r="M3" s="487" t="s">
        <v>567</v>
      </c>
      <c r="N3" s="487" t="s">
        <v>568</v>
      </c>
      <c r="O3" s="487" t="s">
        <v>569</v>
      </c>
      <c r="P3" s="487" t="s">
        <v>570</v>
      </c>
      <c r="Q3" s="487" t="s">
        <v>305</v>
      </c>
      <c r="R3" s="487" t="s">
        <v>306</v>
      </c>
      <c r="S3" s="487" t="s">
        <v>307</v>
      </c>
      <c r="T3" s="487" t="s">
        <v>200</v>
      </c>
      <c r="U3" s="487" t="s">
        <v>201</v>
      </c>
      <c r="V3" s="487" t="s">
        <v>202</v>
      </c>
      <c r="W3" s="487" t="s">
        <v>203</v>
      </c>
      <c r="X3" s="487" t="s">
        <v>204</v>
      </c>
      <c r="Y3" s="487" t="s">
        <v>205</v>
      </c>
      <c r="Z3" s="487" t="s">
        <v>206</v>
      </c>
      <c r="AA3" s="487" t="s">
        <v>571</v>
      </c>
      <c r="AB3" s="487" t="s">
        <v>572</v>
      </c>
      <c r="AC3" s="487" t="s">
        <v>208</v>
      </c>
      <c r="AD3" s="487" t="s">
        <v>209</v>
      </c>
      <c r="AE3" s="487" t="s">
        <v>210</v>
      </c>
      <c r="AF3" s="487" t="s">
        <v>211</v>
      </c>
      <c r="AG3" s="487" t="s">
        <v>212</v>
      </c>
      <c r="AH3" s="487" t="s">
        <v>213</v>
      </c>
      <c r="AI3" s="487" t="s">
        <v>214</v>
      </c>
      <c r="AJ3" s="487" t="s">
        <v>215</v>
      </c>
      <c r="AK3" s="487" t="s">
        <v>523</v>
      </c>
      <c r="AL3" s="487" t="s">
        <v>524</v>
      </c>
      <c r="AM3" s="487" t="s">
        <v>525</v>
      </c>
      <c r="AN3" s="487" t="s">
        <v>526</v>
      </c>
      <c r="AO3" s="487" t="s">
        <v>216</v>
      </c>
      <c r="AP3" s="487" t="s">
        <v>217</v>
      </c>
      <c r="AQ3" s="487" t="s">
        <v>218</v>
      </c>
      <c r="AR3" s="487" t="s">
        <v>219</v>
      </c>
      <c r="AS3" s="487" t="s">
        <v>220</v>
      </c>
      <c r="AT3" s="487" t="s">
        <v>221</v>
      </c>
      <c r="AU3" s="487" t="s">
        <v>222</v>
      </c>
      <c r="AV3" s="487" t="s">
        <v>223</v>
      </c>
      <c r="AW3" s="487" t="s">
        <v>224</v>
      </c>
      <c r="AX3" s="487" t="s">
        <v>225</v>
      </c>
      <c r="AY3" s="487" t="s">
        <v>226</v>
      </c>
      <c r="AZ3" s="487" t="s">
        <v>227</v>
      </c>
      <c r="BA3" s="487" t="s">
        <v>228</v>
      </c>
      <c r="BB3" s="487" t="s">
        <v>229</v>
      </c>
      <c r="BC3" s="487" t="s">
        <v>230</v>
      </c>
      <c r="BD3" s="487" t="s">
        <v>231</v>
      </c>
      <c r="BE3" s="487" t="s">
        <v>232</v>
      </c>
      <c r="BF3" s="487" t="s">
        <v>233</v>
      </c>
      <c r="BG3" s="487" t="s">
        <v>234</v>
      </c>
      <c r="BH3" s="487" t="s">
        <v>235</v>
      </c>
      <c r="BI3" s="487" t="s">
        <v>236</v>
      </c>
      <c r="BJ3" s="487" t="s">
        <v>237</v>
      </c>
      <c r="BK3" s="487" t="s">
        <v>238</v>
      </c>
      <c r="BL3" s="487" t="s">
        <v>239</v>
      </c>
      <c r="BM3" s="487" t="s">
        <v>240</v>
      </c>
      <c r="BN3" s="487" t="s">
        <v>241</v>
      </c>
      <c r="BO3" s="487" t="s">
        <v>242</v>
      </c>
      <c r="BP3" s="487" t="s">
        <v>573</v>
      </c>
      <c r="BQ3" s="487" t="s">
        <v>574</v>
      </c>
      <c r="BR3" s="487" t="s">
        <v>244</v>
      </c>
      <c r="BS3" s="487" t="s">
        <v>245</v>
      </c>
      <c r="BT3" s="487" t="s">
        <v>246</v>
      </c>
      <c r="BU3" s="487" t="s">
        <v>247</v>
      </c>
      <c r="BV3" s="489" t="s">
        <v>308</v>
      </c>
      <c r="BW3" s="487" t="s">
        <v>309</v>
      </c>
      <c r="BX3" s="487" t="s">
        <v>575</v>
      </c>
      <c r="BY3" s="487" t="s">
        <v>576</v>
      </c>
      <c r="BZ3" s="487" t="s">
        <v>311</v>
      </c>
      <c r="CA3" s="487" t="s">
        <v>312</v>
      </c>
      <c r="CB3" s="487" t="s">
        <v>313</v>
      </c>
      <c r="CC3" s="487" t="s">
        <v>314</v>
      </c>
      <c r="CD3" s="487" t="s">
        <v>577</v>
      </c>
      <c r="CE3" s="487" t="s">
        <v>578</v>
      </c>
      <c r="CF3" s="487" t="s">
        <v>579</v>
      </c>
      <c r="CG3" s="487" t="s">
        <v>580</v>
      </c>
      <c r="CH3" s="487" t="s">
        <v>581</v>
      </c>
      <c r="CI3" s="487" t="s">
        <v>582</v>
      </c>
      <c r="CJ3" s="108" t="s">
        <v>583</v>
      </c>
      <c r="CK3" s="108" t="s">
        <v>584</v>
      </c>
      <c r="CL3" s="108" t="s">
        <v>698</v>
      </c>
      <c r="CM3" s="108" t="s">
        <v>178</v>
      </c>
      <c r="CN3" s="108" t="s">
        <v>179</v>
      </c>
      <c r="CO3" s="108" t="s">
        <v>839</v>
      </c>
      <c r="CP3" s="574" t="s">
        <v>180</v>
      </c>
    </row>
    <row r="4" spans="1:94" ht="14.25" customHeight="1">
      <c r="A4" s="491">
        <v>302</v>
      </c>
      <c r="B4" s="491">
        <v>1000</v>
      </c>
      <c r="C4" s="492" t="s">
        <v>27</v>
      </c>
      <c r="D4" s="491" t="s">
        <v>586</v>
      </c>
      <c r="E4" s="491" t="s">
        <v>587</v>
      </c>
      <c r="F4" s="491" t="s">
        <v>588</v>
      </c>
      <c r="G4" s="491">
        <v>0</v>
      </c>
      <c r="H4" s="491">
        <v>1</v>
      </c>
      <c r="I4" s="491" t="s">
        <v>717</v>
      </c>
      <c r="J4" s="491" t="s">
        <v>718</v>
      </c>
      <c r="K4" s="491" t="s">
        <v>591</v>
      </c>
      <c r="L4" s="491" t="s">
        <v>592</v>
      </c>
      <c r="M4" s="491" t="s">
        <v>591</v>
      </c>
      <c r="N4" s="491" t="s">
        <v>593</v>
      </c>
      <c r="O4" s="491" t="s">
        <v>188</v>
      </c>
      <c r="P4" s="491" t="s">
        <v>188</v>
      </c>
      <c r="Q4" s="493">
        <v>-307438</v>
      </c>
      <c r="R4" s="493">
        <v>-35972.01</v>
      </c>
      <c r="S4" s="493">
        <v>103003</v>
      </c>
      <c r="T4" s="493">
        <v>1906588.73</v>
      </c>
      <c r="U4" s="493">
        <v>0</v>
      </c>
      <c r="V4" s="493">
        <v>154604.78</v>
      </c>
      <c r="W4" s="493">
        <v>0</v>
      </c>
      <c r="X4" s="493">
        <v>0</v>
      </c>
      <c r="Y4" s="493">
        <v>0</v>
      </c>
      <c r="Z4" s="493">
        <v>13560.89</v>
      </c>
      <c r="AA4" s="493">
        <v>0</v>
      </c>
      <c r="AB4" s="493">
        <v>26903.05</v>
      </c>
      <c r="AC4" s="493">
        <v>0</v>
      </c>
      <c r="AD4" s="493">
        <v>0</v>
      </c>
      <c r="AE4" s="493">
        <v>0</v>
      </c>
      <c r="AF4" s="493">
        <v>602709.4</v>
      </c>
      <c r="AG4" s="493">
        <v>3440.14</v>
      </c>
      <c r="AH4" s="493">
        <v>0</v>
      </c>
      <c r="AI4" s="493">
        <v>164223.41</v>
      </c>
      <c r="AJ4" s="493">
        <v>21073.67</v>
      </c>
      <c r="AK4" s="493">
        <v>0</v>
      </c>
      <c r="AL4" s="493">
        <v>0</v>
      </c>
      <c r="AM4" s="493">
        <v>0</v>
      </c>
      <c r="AN4" s="493">
        <v>0</v>
      </c>
      <c r="AO4" s="493">
        <v>440982.9</v>
      </c>
      <c r="AP4" s="493">
        <v>0</v>
      </c>
      <c r="AQ4" s="493">
        <v>1572158.85</v>
      </c>
      <c r="AR4" s="493">
        <v>65034.54</v>
      </c>
      <c r="AS4" s="493">
        <v>128440.3</v>
      </c>
      <c r="AT4" s="493">
        <v>0</v>
      </c>
      <c r="AU4" s="493">
        <v>76705.149999999994</v>
      </c>
      <c r="AV4" s="493">
        <v>12009.12</v>
      </c>
      <c r="AW4" s="493">
        <v>1696.79</v>
      </c>
      <c r="AX4" s="493">
        <v>0</v>
      </c>
      <c r="AY4" s="493">
        <v>0</v>
      </c>
      <c r="AZ4" s="493">
        <v>17508.95</v>
      </c>
      <c r="BA4" s="493">
        <v>5130</v>
      </c>
      <c r="BB4" s="493">
        <v>6771.51</v>
      </c>
      <c r="BC4" s="493">
        <v>5015.8999999999996</v>
      </c>
      <c r="BD4" s="493">
        <v>47138.85</v>
      </c>
      <c r="BE4" s="493">
        <v>98052.01</v>
      </c>
      <c r="BF4" s="493">
        <v>17539.2</v>
      </c>
      <c r="BG4" s="493">
        <v>37270.120000000003</v>
      </c>
      <c r="BH4" s="493">
        <v>13083.93</v>
      </c>
      <c r="BI4" s="493">
        <v>0</v>
      </c>
      <c r="BJ4" s="493">
        <v>35510.68</v>
      </c>
      <c r="BK4" s="493">
        <v>8993</v>
      </c>
      <c r="BL4" s="493">
        <v>0</v>
      </c>
      <c r="BM4" s="493">
        <v>6432.72</v>
      </c>
      <c r="BN4" s="493">
        <v>0</v>
      </c>
      <c r="BO4" s="493">
        <v>8241</v>
      </c>
      <c r="BP4" s="493">
        <v>49922.07</v>
      </c>
      <c r="BQ4" s="493">
        <v>0</v>
      </c>
      <c r="BR4" s="493">
        <v>0</v>
      </c>
      <c r="BS4" s="493">
        <v>0</v>
      </c>
      <c r="BT4" s="493">
        <v>146572.32999999999</v>
      </c>
      <c r="BU4" s="493">
        <v>25599.96</v>
      </c>
      <c r="BV4" s="494">
        <v>14633.85</v>
      </c>
      <c r="BW4" s="493">
        <v>0</v>
      </c>
      <c r="BX4" s="493">
        <v>0</v>
      </c>
      <c r="BY4" s="493">
        <v>6000</v>
      </c>
      <c r="BZ4" s="493">
        <v>0</v>
      </c>
      <c r="CA4" s="493">
        <v>46940.34</v>
      </c>
      <c r="CB4" s="493">
        <v>0</v>
      </c>
      <c r="CC4" s="493">
        <v>9680</v>
      </c>
      <c r="CD4" s="493">
        <v>0</v>
      </c>
      <c r="CE4" s="493">
        <v>-253268.6</v>
      </c>
      <c r="CF4" s="493">
        <v>61016.51</v>
      </c>
      <c r="CG4" s="493">
        <v>0</v>
      </c>
      <c r="CH4" s="493">
        <v>-22847.22</v>
      </c>
      <c r="CI4" s="493">
        <v>0</v>
      </c>
      <c r="CJ4" s="495">
        <f>CD4+CE4+CH4</f>
        <v>-276115.82</v>
      </c>
      <c r="CK4" s="495">
        <f>CF4+CG4+CI4</f>
        <v>61016.51</v>
      </c>
      <c r="CL4" s="495">
        <f>CD4+CE4</f>
        <v>-253268.6</v>
      </c>
      <c r="CM4" s="573">
        <f>SUM(T4:AH4)+SUM(AK4:AN4)</f>
        <v>2707806.9899999998</v>
      </c>
      <c r="CN4" s="573">
        <f>SUM(AO4:BS4)</f>
        <v>2653637.5900000003</v>
      </c>
      <c r="CO4" s="573">
        <f>T4+U4+V4</f>
        <v>2061193.51</v>
      </c>
      <c r="CP4" s="573">
        <f>CM4-CN4</f>
        <v>54169.399999999441</v>
      </c>
    </row>
    <row r="5" spans="1:94" ht="14.25" customHeight="1">
      <c r="A5" s="491">
        <v>302</v>
      </c>
      <c r="B5" s="491">
        <v>1002</v>
      </c>
      <c r="C5" s="492" t="s">
        <v>29</v>
      </c>
      <c r="D5" s="491" t="s">
        <v>594</v>
      </c>
      <c r="E5" s="491"/>
      <c r="F5" s="491" t="s">
        <v>588</v>
      </c>
      <c r="G5" s="491">
        <v>0</v>
      </c>
      <c r="H5" s="491">
        <v>2</v>
      </c>
      <c r="I5" s="491" t="s">
        <v>717</v>
      </c>
      <c r="J5" s="491" t="s">
        <v>718</v>
      </c>
      <c r="K5" s="491" t="s">
        <v>591</v>
      </c>
      <c r="L5" s="491" t="s">
        <v>592</v>
      </c>
      <c r="M5" s="491" t="s">
        <v>591</v>
      </c>
      <c r="N5" s="491" t="s">
        <v>593</v>
      </c>
      <c r="O5" s="491" t="s">
        <v>188</v>
      </c>
      <c r="P5" s="491" t="s">
        <v>188</v>
      </c>
      <c r="Q5" s="493">
        <v>-196121</v>
      </c>
      <c r="R5" s="493">
        <v>0</v>
      </c>
      <c r="S5" s="493">
        <v>27403</v>
      </c>
      <c r="T5" s="493">
        <v>573366</v>
      </c>
      <c r="U5" s="493">
        <v>0</v>
      </c>
      <c r="V5" s="493">
        <v>7363.01</v>
      </c>
      <c r="W5" s="493">
        <v>0</v>
      </c>
      <c r="X5" s="493">
        <v>0</v>
      </c>
      <c r="Y5" s="493">
        <v>0</v>
      </c>
      <c r="Z5" s="493">
        <v>9662.99</v>
      </c>
      <c r="AA5" s="493">
        <v>0</v>
      </c>
      <c r="AB5" s="493">
        <v>122.11</v>
      </c>
      <c r="AC5" s="493">
        <v>15908.14</v>
      </c>
      <c r="AD5" s="493">
        <v>0</v>
      </c>
      <c r="AE5" s="493">
        <v>0</v>
      </c>
      <c r="AF5" s="493">
        <v>294131.05</v>
      </c>
      <c r="AG5" s="493">
        <v>5928.39</v>
      </c>
      <c r="AH5" s="493">
        <v>0</v>
      </c>
      <c r="AI5" s="493">
        <v>0</v>
      </c>
      <c r="AJ5" s="493">
        <v>0</v>
      </c>
      <c r="AK5" s="493">
        <v>0</v>
      </c>
      <c r="AL5" s="493">
        <v>0</v>
      </c>
      <c r="AM5" s="493">
        <v>0</v>
      </c>
      <c r="AN5" s="493">
        <v>0</v>
      </c>
      <c r="AO5" s="493">
        <v>222128.15</v>
      </c>
      <c r="AP5" s="493">
        <v>0</v>
      </c>
      <c r="AQ5" s="493">
        <v>338099.47</v>
      </c>
      <c r="AR5" s="493">
        <v>42146.61</v>
      </c>
      <c r="AS5" s="493">
        <v>76945.02</v>
      </c>
      <c r="AT5" s="493">
        <v>0</v>
      </c>
      <c r="AU5" s="493">
        <v>45154.81</v>
      </c>
      <c r="AV5" s="493">
        <v>7488.61</v>
      </c>
      <c r="AW5" s="493">
        <v>3100.58</v>
      </c>
      <c r="AX5" s="493">
        <v>0</v>
      </c>
      <c r="AY5" s="493">
        <v>0</v>
      </c>
      <c r="AZ5" s="493">
        <v>9263.02</v>
      </c>
      <c r="BA5" s="493">
        <v>1544.25</v>
      </c>
      <c r="BB5" s="493">
        <v>2178.85</v>
      </c>
      <c r="BC5" s="493">
        <v>813.54</v>
      </c>
      <c r="BD5" s="493">
        <v>18161.84</v>
      </c>
      <c r="BE5" s="493">
        <v>0</v>
      </c>
      <c r="BF5" s="493">
        <v>3639.78</v>
      </c>
      <c r="BG5" s="493">
        <v>6753.72</v>
      </c>
      <c r="BH5" s="493">
        <v>7517.22</v>
      </c>
      <c r="BI5" s="493">
        <v>0</v>
      </c>
      <c r="BJ5" s="493">
        <v>8867.68</v>
      </c>
      <c r="BK5" s="493">
        <v>2070</v>
      </c>
      <c r="BL5" s="493">
        <v>2061.87</v>
      </c>
      <c r="BM5" s="493">
        <v>15908.14</v>
      </c>
      <c r="BN5" s="493">
        <v>640</v>
      </c>
      <c r="BO5" s="493">
        <v>3786.63</v>
      </c>
      <c r="BP5" s="493">
        <v>14563.39</v>
      </c>
      <c r="BQ5" s="493">
        <v>0</v>
      </c>
      <c r="BR5" s="493">
        <v>0</v>
      </c>
      <c r="BS5" s="493">
        <v>0</v>
      </c>
      <c r="BT5" s="493">
        <v>0</v>
      </c>
      <c r="BU5" s="493">
        <v>0</v>
      </c>
      <c r="BV5" s="494">
        <v>4850.5</v>
      </c>
      <c r="BW5" s="493">
        <v>0</v>
      </c>
      <c r="BX5" s="493">
        <v>0</v>
      </c>
      <c r="BY5" s="493">
        <v>6000</v>
      </c>
      <c r="BZ5" s="493">
        <v>0</v>
      </c>
      <c r="CA5" s="493">
        <v>0</v>
      </c>
      <c r="CB5" s="493">
        <v>0</v>
      </c>
      <c r="CC5" s="493">
        <v>0</v>
      </c>
      <c r="CD5" s="493">
        <v>0</v>
      </c>
      <c r="CE5" s="493">
        <v>-122472.49</v>
      </c>
      <c r="CF5" s="493">
        <v>32253.5</v>
      </c>
      <c r="CG5" s="493">
        <v>0</v>
      </c>
      <c r="CH5" s="493">
        <v>0</v>
      </c>
      <c r="CI5" s="493">
        <v>0</v>
      </c>
      <c r="CJ5" s="495">
        <f t="shared" ref="CJ5:CJ35" si="0">CD5+CE5+CH5</f>
        <v>-122472.49</v>
      </c>
      <c r="CK5" s="495">
        <f t="shared" ref="CK5:CK35" si="1">CF5+CG5+CI5</f>
        <v>32253.5</v>
      </c>
      <c r="CL5" s="495">
        <f t="shared" ref="CL5:CL35" si="2">CD5+CE5</f>
        <v>-122472.49</v>
      </c>
      <c r="CM5" s="573">
        <f t="shared" ref="CM5:CM68" si="3">SUM(T5:AH5)+SUM(AK5:AN5)</f>
        <v>906481.69000000006</v>
      </c>
      <c r="CN5" s="573">
        <f t="shared" ref="CN5:CN68" si="4">SUM(AO5:BS5)</f>
        <v>832833.18</v>
      </c>
      <c r="CO5" s="573">
        <f t="shared" ref="CO5:CO68" si="5">T5+U5+V5</f>
        <v>580729.01</v>
      </c>
      <c r="CP5" s="573">
        <f t="shared" ref="CP5:CP68" si="6">CM5-CN5</f>
        <v>73648.510000000009</v>
      </c>
    </row>
    <row r="6" spans="1:94" ht="14.25" customHeight="1">
      <c r="A6" s="491">
        <v>302</v>
      </c>
      <c r="B6" s="491">
        <v>1100</v>
      </c>
      <c r="C6" s="492" t="s">
        <v>327</v>
      </c>
      <c r="D6" s="491" t="s">
        <v>594</v>
      </c>
      <c r="E6" s="491"/>
      <c r="F6" s="491" t="s">
        <v>588</v>
      </c>
      <c r="G6" s="491">
        <v>0</v>
      </c>
      <c r="H6" s="491">
        <v>0</v>
      </c>
      <c r="I6" s="491" t="s">
        <v>717</v>
      </c>
      <c r="J6" s="491" t="s">
        <v>718</v>
      </c>
      <c r="K6" s="491" t="s">
        <v>591</v>
      </c>
      <c r="L6" s="491" t="s">
        <v>592</v>
      </c>
      <c r="M6" s="491" t="s">
        <v>591</v>
      </c>
      <c r="N6" s="491" t="s">
        <v>593</v>
      </c>
      <c r="O6" s="491" t="s">
        <v>188</v>
      </c>
      <c r="P6" s="491" t="s">
        <v>188</v>
      </c>
      <c r="Q6" s="493">
        <v>510786</v>
      </c>
      <c r="R6" s="493">
        <v>0</v>
      </c>
      <c r="S6" s="493">
        <v>56714</v>
      </c>
      <c r="T6" s="493">
        <v>1835544.02</v>
      </c>
      <c r="U6" s="493">
        <v>0</v>
      </c>
      <c r="V6" s="493">
        <v>1190293.82</v>
      </c>
      <c r="W6" s="493">
        <v>0</v>
      </c>
      <c r="X6" s="493">
        <v>24272.47</v>
      </c>
      <c r="Y6" s="493">
        <v>0</v>
      </c>
      <c r="Z6" s="493">
        <v>57026</v>
      </c>
      <c r="AA6" s="493">
        <v>309.38</v>
      </c>
      <c r="AB6" s="493">
        <v>273841.36</v>
      </c>
      <c r="AC6" s="493">
        <v>991.57</v>
      </c>
      <c r="AD6" s="493">
        <v>7958</v>
      </c>
      <c r="AE6" s="493">
        <v>3792</v>
      </c>
      <c r="AF6" s="493">
        <v>0</v>
      </c>
      <c r="AG6" s="493">
        <v>0</v>
      </c>
      <c r="AH6" s="493">
        <v>0</v>
      </c>
      <c r="AI6" s="493">
        <v>0</v>
      </c>
      <c r="AJ6" s="493">
        <v>0</v>
      </c>
      <c r="AK6" s="493">
        <v>0</v>
      </c>
      <c r="AL6" s="493">
        <v>0</v>
      </c>
      <c r="AM6" s="493">
        <v>0</v>
      </c>
      <c r="AN6" s="493">
        <v>30134.69</v>
      </c>
      <c r="AO6" s="493">
        <v>1903429.64</v>
      </c>
      <c r="AP6" s="493">
        <v>126551.11</v>
      </c>
      <c r="AQ6" s="493">
        <v>539656.18000000005</v>
      </c>
      <c r="AR6" s="493">
        <v>41100.080000000002</v>
      </c>
      <c r="AS6" s="493">
        <v>155353.62</v>
      </c>
      <c r="AT6" s="493">
        <v>0</v>
      </c>
      <c r="AU6" s="493">
        <v>0</v>
      </c>
      <c r="AV6" s="493">
        <v>29523.02</v>
      </c>
      <c r="AW6" s="493">
        <v>16121.1</v>
      </c>
      <c r="AX6" s="493">
        <v>38587.56</v>
      </c>
      <c r="AY6" s="493">
        <v>1794</v>
      </c>
      <c r="AZ6" s="493">
        <v>5443.55</v>
      </c>
      <c r="BA6" s="493">
        <v>316.16000000000003</v>
      </c>
      <c r="BB6" s="493">
        <v>45830.81</v>
      </c>
      <c r="BC6" s="493">
        <v>3071.47</v>
      </c>
      <c r="BD6" s="493">
        <v>37776.26</v>
      </c>
      <c r="BE6" s="493">
        <v>0</v>
      </c>
      <c r="BF6" s="493">
        <v>11051.83</v>
      </c>
      <c r="BG6" s="493">
        <v>50809.84</v>
      </c>
      <c r="BH6" s="493">
        <v>23092.86</v>
      </c>
      <c r="BI6" s="493">
        <v>8971.57</v>
      </c>
      <c r="BJ6" s="493">
        <v>31808.720000000001</v>
      </c>
      <c r="BK6" s="493">
        <v>5561</v>
      </c>
      <c r="BL6" s="493">
        <v>3158.41</v>
      </c>
      <c r="BM6" s="493">
        <v>24745.41</v>
      </c>
      <c r="BN6" s="493">
        <v>181824.58</v>
      </c>
      <c r="BO6" s="493">
        <v>160834.26999999999</v>
      </c>
      <c r="BP6" s="493">
        <v>46339.32</v>
      </c>
      <c r="BQ6" s="493">
        <v>0</v>
      </c>
      <c r="BR6" s="493">
        <v>0</v>
      </c>
      <c r="BS6" s="493">
        <v>0</v>
      </c>
      <c r="BT6" s="493">
        <v>0</v>
      </c>
      <c r="BU6" s="493">
        <v>0</v>
      </c>
      <c r="BV6" s="494">
        <v>7839.06</v>
      </c>
      <c r="BW6" s="493">
        <v>0</v>
      </c>
      <c r="BX6" s="493">
        <v>0</v>
      </c>
      <c r="BY6" s="493">
        <v>6000</v>
      </c>
      <c r="BZ6" s="493">
        <v>0</v>
      </c>
      <c r="CA6" s="493">
        <v>14250</v>
      </c>
      <c r="CB6" s="493">
        <v>0</v>
      </c>
      <c r="CC6" s="493">
        <v>0</v>
      </c>
      <c r="CD6" s="493">
        <v>0</v>
      </c>
      <c r="CE6" s="493">
        <v>442196.94</v>
      </c>
      <c r="CF6" s="493">
        <v>50303.06</v>
      </c>
      <c r="CG6" s="493">
        <v>0</v>
      </c>
      <c r="CH6" s="493">
        <v>0</v>
      </c>
      <c r="CI6" s="493">
        <v>0</v>
      </c>
      <c r="CJ6" s="495">
        <f t="shared" si="0"/>
        <v>442196.94</v>
      </c>
      <c r="CK6" s="495">
        <f t="shared" si="1"/>
        <v>50303.06</v>
      </c>
      <c r="CL6" s="495">
        <f t="shared" si="2"/>
        <v>442196.94</v>
      </c>
      <c r="CM6" s="573">
        <f t="shared" si="3"/>
        <v>3424163.3099999996</v>
      </c>
      <c r="CN6" s="573">
        <f t="shared" si="4"/>
        <v>3492752.3700000006</v>
      </c>
      <c r="CO6" s="573">
        <f t="shared" si="5"/>
        <v>3025837.84</v>
      </c>
      <c r="CP6" s="573">
        <f t="shared" si="6"/>
        <v>-68589.060000000987</v>
      </c>
    </row>
    <row r="7" spans="1:94" ht="14.25" customHeight="1">
      <c r="A7" s="491">
        <v>302</v>
      </c>
      <c r="B7" s="491">
        <v>1102</v>
      </c>
      <c r="C7" s="492" t="s">
        <v>348</v>
      </c>
      <c r="D7" s="491" t="s">
        <v>594</v>
      </c>
      <c r="E7" s="491"/>
      <c r="F7" s="491" t="s">
        <v>588</v>
      </c>
      <c r="G7" s="491">
        <v>0</v>
      </c>
      <c r="H7" s="491">
        <v>1</v>
      </c>
      <c r="I7" s="491" t="s">
        <v>717</v>
      </c>
      <c r="J7" s="491" t="s">
        <v>718</v>
      </c>
      <c r="K7" s="491" t="s">
        <v>591</v>
      </c>
      <c r="L7" s="491" t="s">
        <v>592</v>
      </c>
      <c r="M7" s="491" t="s">
        <v>591</v>
      </c>
      <c r="N7" s="491" t="s">
        <v>593</v>
      </c>
      <c r="O7" s="491" t="s">
        <v>188</v>
      </c>
      <c r="P7" s="491" t="s">
        <v>188</v>
      </c>
      <c r="Q7" s="493">
        <v>93584</v>
      </c>
      <c r="R7" s="493">
        <v>0</v>
      </c>
      <c r="S7" s="493">
        <v>16536</v>
      </c>
      <c r="T7" s="493">
        <v>512353.73</v>
      </c>
      <c r="U7" s="493">
        <v>0</v>
      </c>
      <c r="V7" s="493">
        <v>53743.74</v>
      </c>
      <c r="W7" s="493">
        <v>0</v>
      </c>
      <c r="X7" s="493">
        <v>7133.48</v>
      </c>
      <c r="Y7" s="493">
        <v>0</v>
      </c>
      <c r="Z7" s="493">
        <v>128613</v>
      </c>
      <c r="AA7" s="493">
        <v>0</v>
      </c>
      <c r="AB7" s="493">
        <v>107290.53</v>
      </c>
      <c r="AC7" s="493">
        <v>0</v>
      </c>
      <c r="AD7" s="493">
        <v>0</v>
      </c>
      <c r="AE7" s="493">
        <v>0</v>
      </c>
      <c r="AF7" s="493">
        <v>314</v>
      </c>
      <c r="AG7" s="493">
        <v>135</v>
      </c>
      <c r="AH7" s="493">
        <v>0</v>
      </c>
      <c r="AI7" s="493">
        <v>0</v>
      </c>
      <c r="AJ7" s="493">
        <v>0</v>
      </c>
      <c r="AK7" s="493">
        <v>0</v>
      </c>
      <c r="AL7" s="493">
        <v>0</v>
      </c>
      <c r="AM7" s="493">
        <v>7248.43</v>
      </c>
      <c r="AN7" s="493">
        <v>0</v>
      </c>
      <c r="AO7" s="493">
        <v>584477.06999999995</v>
      </c>
      <c r="AP7" s="493">
        <v>0</v>
      </c>
      <c r="AQ7" s="493">
        <v>42486.62</v>
      </c>
      <c r="AR7" s="493">
        <v>0</v>
      </c>
      <c r="AS7" s="493">
        <v>32211.88</v>
      </c>
      <c r="AT7" s="493">
        <v>0</v>
      </c>
      <c r="AU7" s="493">
        <v>8687.0300000000007</v>
      </c>
      <c r="AV7" s="493">
        <v>13433.85</v>
      </c>
      <c r="AW7" s="493">
        <v>7817.91</v>
      </c>
      <c r="AX7" s="493">
        <v>4202</v>
      </c>
      <c r="AY7" s="493">
        <v>0</v>
      </c>
      <c r="AZ7" s="493">
        <v>10667.39</v>
      </c>
      <c r="BA7" s="493">
        <v>0</v>
      </c>
      <c r="BB7" s="493">
        <v>8.49</v>
      </c>
      <c r="BC7" s="493">
        <v>0</v>
      </c>
      <c r="BD7" s="493">
        <v>0</v>
      </c>
      <c r="BE7" s="493">
        <v>0</v>
      </c>
      <c r="BF7" s="493">
        <v>118212.92</v>
      </c>
      <c r="BG7" s="493">
        <v>14418.29</v>
      </c>
      <c r="BH7" s="493">
        <v>11068.72</v>
      </c>
      <c r="BI7" s="493">
        <v>1331.74</v>
      </c>
      <c r="BJ7" s="493">
        <v>9298.2800000000007</v>
      </c>
      <c r="BK7" s="493">
        <v>621</v>
      </c>
      <c r="BL7" s="493">
        <v>167.5</v>
      </c>
      <c r="BM7" s="493">
        <v>1120.0999999999999</v>
      </c>
      <c r="BN7" s="493">
        <v>20700.5</v>
      </c>
      <c r="BO7" s="493">
        <v>24273.23</v>
      </c>
      <c r="BP7" s="493">
        <v>41317.769999999997</v>
      </c>
      <c r="BQ7" s="493">
        <v>1671.44</v>
      </c>
      <c r="BR7" s="493">
        <v>0</v>
      </c>
      <c r="BS7" s="493">
        <v>0</v>
      </c>
      <c r="BT7" s="493">
        <v>0</v>
      </c>
      <c r="BU7" s="493">
        <v>0</v>
      </c>
      <c r="BV7" s="494">
        <v>4978.75</v>
      </c>
      <c r="BW7" s="493">
        <v>0</v>
      </c>
      <c r="BX7" s="493">
        <v>0</v>
      </c>
      <c r="BY7" s="493">
        <v>6000</v>
      </c>
      <c r="BZ7" s="493">
        <v>0</v>
      </c>
      <c r="CA7" s="493">
        <v>0</v>
      </c>
      <c r="CB7" s="493">
        <v>0</v>
      </c>
      <c r="CC7" s="493">
        <v>0</v>
      </c>
      <c r="CD7" s="493">
        <v>0</v>
      </c>
      <c r="CE7" s="493">
        <v>-37777.82</v>
      </c>
      <c r="CF7" s="493">
        <v>21514.75</v>
      </c>
      <c r="CG7" s="493">
        <v>0</v>
      </c>
      <c r="CH7" s="493">
        <v>0</v>
      </c>
      <c r="CI7" s="493">
        <v>0</v>
      </c>
      <c r="CJ7" s="495">
        <f t="shared" si="0"/>
        <v>-37777.82</v>
      </c>
      <c r="CK7" s="495">
        <f t="shared" si="1"/>
        <v>21514.75</v>
      </c>
      <c r="CL7" s="495">
        <f t="shared" si="2"/>
        <v>-37777.82</v>
      </c>
      <c r="CM7" s="573">
        <f t="shared" si="3"/>
        <v>816831.91</v>
      </c>
      <c r="CN7" s="573">
        <f t="shared" si="4"/>
        <v>948193.73</v>
      </c>
      <c r="CO7" s="573">
        <f t="shared" si="5"/>
        <v>566097.47</v>
      </c>
      <c r="CP7" s="573">
        <f t="shared" si="6"/>
        <v>-131361.81999999995</v>
      </c>
    </row>
    <row r="8" spans="1:94" ht="14.25" customHeight="1">
      <c r="A8" s="491">
        <v>302</v>
      </c>
      <c r="B8" s="491">
        <v>2002</v>
      </c>
      <c r="C8" s="492" t="s">
        <v>258</v>
      </c>
      <c r="D8" s="491" t="s">
        <v>594</v>
      </c>
      <c r="E8" s="491"/>
      <c r="F8" s="491" t="s">
        <v>588</v>
      </c>
      <c r="G8" s="491">
        <v>0</v>
      </c>
      <c r="H8" s="491">
        <v>0</v>
      </c>
      <c r="I8" s="491" t="s">
        <v>717</v>
      </c>
      <c r="J8" s="491" t="s">
        <v>718</v>
      </c>
      <c r="K8" s="491" t="s">
        <v>591</v>
      </c>
      <c r="L8" s="491" t="s">
        <v>592</v>
      </c>
      <c r="M8" s="491" t="s">
        <v>591</v>
      </c>
      <c r="N8" s="491" t="s">
        <v>593</v>
      </c>
      <c r="O8" s="491" t="s">
        <v>188</v>
      </c>
      <c r="P8" s="491" t="s">
        <v>188</v>
      </c>
      <c r="Q8" s="493">
        <v>86163</v>
      </c>
      <c r="R8" s="493">
        <v>0</v>
      </c>
      <c r="S8" s="493">
        <v>0</v>
      </c>
      <c r="T8" s="493">
        <v>2515049.1</v>
      </c>
      <c r="U8" s="493">
        <v>0</v>
      </c>
      <c r="V8" s="493">
        <v>191510.54</v>
      </c>
      <c r="W8" s="493">
        <v>0</v>
      </c>
      <c r="X8" s="493">
        <v>123300.04</v>
      </c>
      <c r="Y8" s="493">
        <v>200</v>
      </c>
      <c r="Z8" s="493">
        <v>56742.58</v>
      </c>
      <c r="AA8" s="493">
        <v>20753.2</v>
      </c>
      <c r="AB8" s="493">
        <v>17345.66</v>
      </c>
      <c r="AC8" s="493">
        <v>9653.3700000000008</v>
      </c>
      <c r="AD8" s="493">
        <v>370</v>
      </c>
      <c r="AE8" s="493">
        <v>870</v>
      </c>
      <c r="AF8" s="493">
        <v>13280.51</v>
      </c>
      <c r="AG8" s="493">
        <v>4179.38</v>
      </c>
      <c r="AH8" s="493">
        <v>0</v>
      </c>
      <c r="AI8" s="493">
        <v>0</v>
      </c>
      <c r="AJ8" s="493">
        <v>0</v>
      </c>
      <c r="AK8" s="493">
        <v>0</v>
      </c>
      <c r="AL8" s="493">
        <v>0</v>
      </c>
      <c r="AM8" s="493">
        <v>23221.26</v>
      </c>
      <c r="AN8" s="493">
        <v>79272</v>
      </c>
      <c r="AO8" s="493">
        <v>1276952.3600000001</v>
      </c>
      <c r="AP8" s="493">
        <v>0</v>
      </c>
      <c r="AQ8" s="493">
        <v>623187.38</v>
      </c>
      <c r="AR8" s="493">
        <v>25785.81</v>
      </c>
      <c r="AS8" s="493">
        <v>132173.76000000001</v>
      </c>
      <c r="AT8" s="493">
        <v>0</v>
      </c>
      <c r="AU8" s="493">
        <v>45014.239999999998</v>
      </c>
      <c r="AV8" s="493">
        <v>17404.400000000001</v>
      </c>
      <c r="AW8" s="493">
        <v>4949.2</v>
      </c>
      <c r="AX8" s="493">
        <v>4916.8999999999996</v>
      </c>
      <c r="AY8" s="493">
        <v>0</v>
      </c>
      <c r="AZ8" s="493">
        <v>34712.050000000003</v>
      </c>
      <c r="BA8" s="493">
        <v>0</v>
      </c>
      <c r="BB8" s="493">
        <v>73031.039999999994</v>
      </c>
      <c r="BC8" s="493">
        <v>4372.67</v>
      </c>
      <c r="BD8" s="493">
        <v>84931.91</v>
      </c>
      <c r="BE8" s="493">
        <v>30250</v>
      </c>
      <c r="BF8" s="493">
        <v>17508.46</v>
      </c>
      <c r="BG8" s="493">
        <v>69183.3</v>
      </c>
      <c r="BH8" s="493">
        <v>12786.86</v>
      </c>
      <c r="BI8" s="493">
        <v>0</v>
      </c>
      <c r="BJ8" s="493">
        <v>25197.79</v>
      </c>
      <c r="BK8" s="493">
        <v>17087.810000000001</v>
      </c>
      <c r="BL8" s="493">
        <v>6300.35</v>
      </c>
      <c r="BM8" s="493">
        <v>140346.59</v>
      </c>
      <c r="BN8" s="493">
        <v>56506.080000000002</v>
      </c>
      <c r="BO8" s="493">
        <v>320137.61</v>
      </c>
      <c r="BP8" s="493">
        <v>74787.570000000007</v>
      </c>
      <c r="BQ8" s="493">
        <v>0</v>
      </c>
      <c r="BR8" s="493">
        <v>0</v>
      </c>
      <c r="BS8" s="493">
        <v>6092</v>
      </c>
      <c r="BT8" s="493">
        <v>0</v>
      </c>
      <c r="BU8" s="493">
        <v>0</v>
      </c>
      <c r="BV8" s="494">
        <v>8891.5</v>
      </c>
      <c r="BW8" s="493">
        <v>0</v>
      </c>
      <c r="BX8" s="493">
        <v>6092</v>
      </c>
      <c r="BY8" s="493">
        <v>6000</v>
      </c>
      <c r="BZ8" s="493">
        <v>0</v>
      </c>
      <c r="CA8" s="493">
        <v>0</v>
      </c>
      <c r="CB8" s="493">
        <v>14983.29</v>
      </c>
      <c r="CC8" s="493">
        <v>0</v>
      </c>
      <c r="CD8" s="493">
        <v>0</v>
      </c>
      <c r="CE8" s="493">
        <v>38294.5</v>
      </c>
      <c r="CF8" s="493">
        <v>0</v>
      </c>
      <c r="CG8" s="493">
        <v>0</v>
      </c>
      <c r="CH8" s="493">
        <v>0</v>
      </c>
      <c r="CI8" s="493">
        <v>0</v>
      </c>
      <c r="CJ8" s="495">
        <f t="shared" si="0"/>
        <v>38294.5</v>
      </c>
      <c r="CK8" s="495">
        <f t="shared" si="1"/>
        <v>0</v>
      </c>
      <c r="CL8" s="495">
        <f t="shared" si="2"/>
        <v>38294.5</v>
      </c>
      <c r="CM8" s="573">
        <f t="shared" si="3"/>
        <v>3055747.64</v>
      </c>
      <c r="CN8" s="573">
        <f t="shared" si="4"/>
        <v>3103616.1399999997</v>
      </c>
      <c r="CO8" s="573">
        <f t="shared" si="5"/>
        <v>2706559.64</v>
      </c>
      <c r="CP8" s="573">
        <f t="shared" si="6"/>
        <v>-47868.499999999534</v>
      </c>
    </row>
    <row r="9" spans="1:94" ht="14.25" customHeight="1">
      <c r="A9" s="491">
        <v>302</v>
      </c>
      <c r="B9" s="491">
        <v>2003</v>
      </c>
      <c r="C9" s="492" t="s">
        <v>260</v>
      </c>
      <c r="D9" s="491" t="s">
        <v>594</v>
      </c>
      <c r="E9" s="491"/>
      <c r="F9" s="491" t="s">
        <v>588</v>
      </c>
      <c r="G9" s="491">
        <v>0</v>
      </c>
      <c r="H9" s="491">
        <v>1</v>
      </c>
      <c r="I9" s="491" t="s">
        <v>717</v>
      </c>
      <c r="J9" s="491" t="s">
        <v>718</v>
      </c>
      <c r="K9" s="491" t="s">
        <v>591</v>
      </c>
      <c r="L9" s="491" t="s">
        <v>592</v>
      </c>
      <c r="M9" s="491" t="s">
        <v>591</v>
      </c>
      <c r="N9" s="491" t="s">
        <v>593</v>
      </c>
      <c r="O9" s="491" t="s">
        <v>188</v>
      </c>
      <c r="P9" s="491" t="s">
        <v>188</v>
      </c>
      <c r="Q9" s="493">
        <v>-205028</v>
      </c>
      <c r="R9" s="493">
        <v>105615</v>
      </c>
      <c r="S9" s="493">
        <v>26328</v>
      </c>
      <c r="T9" s="493">
        <v>2240084</v>
      </c>
      <c r="U9" s="493">
        <v>0</v>
      </c>
      <c r="V9" s="493">
        <v>184473</v>
      </c>
      <c r="W9" s="493">
        <v>0</v>
      </c>
      <c r="X9" s="493">
        <v>196130</v>
      </c>
      <c r="Y9" s="493">
        <v>3544</v>
      </c>
      <c r="Z9" s="493">
        <v>89448</v>
      </c>
      <c r="AA9" s="493">
        <v>1458</v>
      </c>
      <c r="AB9" s="493">
        <v>19822</v>
      </c>
      <c r="AC9" s="493">
        <v>0</v>
      </c>
      <c r="AD9" s="493">
        <v>0</v>
      </c>
      <c r="AE9" s="493">
        <v>0</v>
      </c>
      <c r="AF9" s="493">
        <v>13892</v>
      </c>
      <c r="AG9" s="493">
        <v>156</v>
      </c>
      <c r="AH9" s="493">
        <v>0</v>
      </c>
      <c r="AI9" s="493">
        <v>125964</v>
      </c>
      <c r="AJ9" s="493">
        <v>0</v>
      </c>
      <c r="AK9" s="493">
        <v>0</v>
      </c>
      <c r="AL9" s="493">
        <v>0</v>
      </c>
      <c r="AM9" s="493">
        <v>20264</v>
      </c>
      <c r="AN9" s="493">
        <v>61376</v>
      </c>
      <c r="AO9" s="493">
        <v>950161</v>
      </c>
      <c r="AP9" s="493">
        <v>0</v>
      </c>
      <c r="AQ9" s="493">
        <v>644657</v>
      </c>
      <c r="AR9" s="493">
        <v>60451</v>
      </c>
      <c r="AS9" s="493">
        <v>26518</v>
      </c>
      <c r="AT9" s="493">
        <v>0</v>
      </c>
      <c r="AU9" s="493">
        <v>128800</v>
      </c>
      <c r="AV9" s="493">
        <v>18849</v>
      </c>
      <c r="AW9" s="493">
        <v>6418</v>
      </c>
      <c r="AX9" s="493">
        <v>574</v>
      </c>
      <c r="AY9" s="493">
        <v>0</v>
      </c>
      <c r="AZ9" s="493">
        <v>14289</v>
      </c>
      <c r="BA9" s="493">
        <v>0</v>
      </c>
      <c r="BB9" s="493">
        <v>30162</v>
      </c>
      <c r="BC9" s="493">
        <v>11416</v>
      </c>
      <c r="BD9" s="493">
        <v>25235</v>
      </c>
      <c r="BE9" s="493">
        <v>26859</v>
      </c>
      <c r="BF9" s="493">
        <v>10712</v>
      </c>
      <c r="BG9" s="493">
        <v>74925</v>
      </c>
      <c r="BH9" s="493">
        <v>15347</v>
      </c>
      <c r="BI9" s="493">
        <v>0</v>
      </c>
      <c r="BJ9" s="493">
        <v>28415</v>
      </c>
      <c r="BK9" s="493">
        <v>11863</v>
      </c>
      <c r="BL9" s="493">
        <v>7523</v>
      </c>
      <c r="BM9" s="493">
        <v>127768</v>
      </c>
      <c r="BN9" s="493">
        <v>169168</v>
      </c>
      <c r="BO9" s="493">
        <v>336933</v>
      </c>
      <c r="BP9" s="493">
        <v>62771</v>
      </c>
      <c r="BQ9" s="493">
        <v>4585</v>
      </c>
      <c r="BR9" s="493">
        <v>0</v>
      </c>
      <c r="BS9" s="493">
        <v>0</v>
      </c>
      <c r="BT9" s="493">
        <v>114463</v>
      </c>
      <c r="BU9" s="493">
        <v>12887</v>
      </c>
      <c r="BV9" s="494">
        <v>8601</v>
      </c>
      <c r="BW9" s="493">
        <v>0</v>
      </c>
      <c r="BX9" s="493">
        <v>0</v>
      </c>
      <c r="BY9" s="493">
        <v>6000</v>
      </c>
      <c r="BZ9" s="493">
        <v>0</v>
      </c>
      <c r="CA9" s="493">
        <v>9867</v>
      </c>
      <c r="CB9" s="493">
        <v>0</v>
      </c>
      <c r="CC9" s="493">
        <v>0</v>
      </c>
      <c r="CD9" s="493">
        <v>0</v>
      </c>
      <c r="CE9" s="493">
        <v>-168780</v>
      </c>
      <c r="CF9" s="493">
        <v>25062</v>
      </c>
      <c r="CG9" s="493">
        <v>0</v>
      </c>
      <c r="CH9" s="493">
        <v>104229</v>
      </c>
      <c r="CI9" s="493">
        <v>0</v>
      </c>
      <c r="CJ9" s="495">
        <f t="shared" si="0"/>
        <v>-64551</v>
      </c>
      <c r="CK9" s="495">
        <f t="shared" si="1"/>
        <v>25062</v>
      </c>
      <c r="CL9" s="495">
        <f t="shared" si="2"/>
        <v>-168780</v>
      </c>
      <c r="CM9" s="573">
        <f t="shared" si="3"/>
        <v>2830647</v>
      </c>
      <c r="CN9" s="573">
        <f t="shared" si="4"/>
        <v>2794399</v>
      </c>
      <c r="CO9" s="573">
        <f t="shared" si="5"/>
        <v>2424557</v>
      </c>
      <c r="CP9" s="573">
        <f t="shared" si="6"/>
        <v>36248</v>
      </c>
    </row>
    <row r="10" spans="1:94" ht="14.25" customHeight="1">
      <c r="A10" s="491">
        <v>302</v>
      </c>
      <c r="B10" s="491">
        <v>2007</v>
      </c>
      <c r="C10" s="492" t="s">
        <v>42</v>
      </c>
      <c r="D10" s="491" t="s">
        <v>594</v>
      </c>
      <c r="E10" s="491"/>
      <c r="F10" s="491" t="s">
        <v>588</v>
      </c>
      <c r="G10" s="491">
        <v>0</v>
      </c>
      <c r="H10" s="491">
        <v>0</v>
      </c>
      <c r="I10" s="491" t="s">
        <v>717</v>
      </c>
      <c r="J10" s="491" t="s">
        <v>718</v>
      </c>
      <c r="K10" s="491" t="s">
        <v>591</v>
      </c>
      <c r="L10" s="491" t="s">
        <v>592</v>
      </c>
      <c r="M10" s="491" t="s">
        <v>591</v>
      </c>
      <c r="N10" s="491" t="s">
        <v>593</v>
      </c>
      <c r="O10" s="491" t="s">
        <v>188</v>
      </c>
      <c r="P10" s="491" t="s">
        <v>188</v>
      </c>
      <c r="Q10" s="493">
        <v>153847</v>
      </c>
      <c r="R10" s="493">
        <v>0</v>
      </c>
      <c r="S10" s="493">
        <v>7085</v>
      </c>
      <c r="T10" s="493">
        <v>1837322.77</v>
      </c>
      <c r="U10" s="493">
        <v>0</v>
      </c>
      <c r="V10" s="493">
        <v>166340.73000000001</v>
      </c>
      <c r="W10" s="493">
        <v>0</v>
      </c>
      <c r="X10" s="493">
        <v>111275.01</v>
      </c>
      <c r="Y10" s="493">
        <v>8461.2099999999991</v>
      </c>
      <c r="Z10" s="493">
        <v>109836.37</v>
      </c>
      <c r="AA10" s="493">
        <v>52986.99</v>
      </c>
      <c r="AB10" s="493">
        <v>58680.26</v>
      </c>
      <c r="AC10" s="493">
        <v>33510.949999999997</v>
      </c>
      <c r="AD10" s="493">
        <v>888</v>
      </c>
      <c r="AE10" s="493">
        <v>560</v>
      </c>
      <c r="AF10" s="493">
        <v>69818.91</v>
      </c>
      <c r="AG10" s="493">
        <v>80274.320000000007</v>
      </c>
      <c r="AH10" s="493">
        <v>0</v>
      </c>
      <c r="AI10" s="493">
        <v>0</v>
      </c>
      <c r="AJ10" s="493">
        <v>0</v>
      </c>
      <c r="AK10" s="493">
        <v>0</v>
      </c>
      <c r="AL10" s="493">
        <v>0</v>
      </c>
      <c r="AM10" s="493">
        <v>19726.88</v>
      </c>
      <c r="AN10" s="493">
        <v>19559</v>
      </c>
      <c r="AO10" s="493">
        <v>1051900.1100000001</v>
      </c>
      <c r="AP10" s="493">
        <v>0</v>
      </c>
      <c r="AQ10" s="493">
        <v>392131.06</v>
      </c>
      <c r="AR10" s="493">
        <v>60843</v>
      </c>
      <c r="AS10" s="493">
        <v>117461.62</v>
      </c>
      <c r="AT10" s="493">
        <v>0</v>
      </c>
      <c r="AU10" s="493">
        <v>61627.42</v>
      </c>
      <c r="AV10" s="493">
        <v>7855.11</v>
      </c>
      <c r="AW10" s="493">
        <v>5186</v>
      </c>
      <c r="AX10" s="493">
        <v>22671.200000000001</v>
      </c>
      <c r="AY10" s="493">
        <v>0</v>
      </c>
      <c r="AZ10" s="493">
        <v>42882.94</v>
      </c>
      <c r="BA10" s="493">
        <v>8727.4699999999993</v>
      </c>
      <c r="BB10" s="493">
        <v>34275.94</v>
      </c>
      <c r="BC10" s="493">
        <v>10256.94</v>
      </c>
      <c r="BD10" s="493">
        <v>70231.88</v>
      </c>
      <c r="BE10" s="493">
        <v>20083</v>
      </c>
      <c r="BF10" s="493">
        <v>11199.33</v>
      </c>
      <c r="BG10" s="493">
        <v>102699.65</v>
      </c>
      <c r="BH10" s="493">
        <v>22415.73</v>
      </c>
      <c r="BI10" s="493">
        <v>0</v>
      </c>
      <c r="BJ10" s="493">
        <v>22234.15</v>
      </c>
      <c r="BK10" s="493">
        <v>13961.51</v>
      </c>
      <c r="BL10" s="493">
        <v>10096.1</v>
      </c>
      <c r="BM10" s="493">
        <v>112561.67</v>
      </c>
      <c r="BN10" s="493">
        <v>78653.759999999995</v>
      </c>
      <c r="BO10" s="493">
        <v>251480.62</v>
      </c>
      <c r="BP10" s="493">
        <v>24246.1</v>
      </c>
      <c r="BQ10" s="493">
        <v>0</v>
      </c>
      <c r="BR10" s="493">
        <v>0</v>
      </c>
      <c r="BS10" s="493">
        <v>17116</v>
      </c>
      <c r="BT10" s="493">
        <v>0</v>
      </c>
      <c r="BU10" s="493">
        <v>0</v>
      </c>
      <c r="BV10" s="494">
        <v>7971.25</v>
      </c>
      <c r="BW10" s="493">
        <v>0</v>
      </c>
      <c r="BX10" s="493">
        <v>17116</v>
      </c>
      <c r="BY10" s="493">
        <v>6000</v>
      </c>
      <c r="BZ10" s="493">
        <v>0</v>
      </c>
      <c r="CA10" s="493">
        <v>19300</v>
      </c>
      <c r="CB10" s="493">
        <v>0</v>
      </c>
      <c r="CC10" s="493">
        <v>12872.25</v>
      </c>
      <c r="CD10" s="493">
        <v>0</v>
      </c>
      <c r="CE10" s="493">
        <v>150290.09</v>
      </c>
      <c r="CF10" s="493">
        <v>0</v>
      </c>
      <c r="CG10" s="493">
        <v>0</v>
      </c>
      <c r="CH10" s="493">
        <v>0</v>
      </c>
      <c r="CI10" s="493">
        <v>0</v>
      </c>
      <c r="CJ10" s="495">
        <f t="shared" si="0"/>
        <v>150290.09</v>
      </c>
      <c r="CK10" s="495">
        <f t="shared" si="1"/>
        <v>0</v>
      </c>
      <c r="CL10" s="495">
        <f t="shared" si="2"/>
        <v>150290.09</v>
      </c>
      <c r="CM10" s="573">
        <f t="shared" si="3"/>
        <v>2569241.4</v>
      </c>
      <c r="CN10" s="573">
        <f t="shared" si="4"/>
        <v>2572798.31</v>
      </c>
      <c r="CO10" s="573">
        <f t="shared" si="5"/>
        <v>2003663.5</v>
      </c>
      <c r="CP10" s="573">
        <f t="shared" si="6"/>
        <v>-3556.910000000149</v>
      </c>
    </row>
    <row r="11" spans="1:94" ht="27.6">
      <c r="A11" s="491">
        <v>302</v>
      </c>
      <c r="B11" s="491">
        <v>2008</v>
      </c>
      <c r="C11" s="492" t="s">
        <v>261</v>
      </c>
      <c r="D11" s="491" t="s">
        <v>594</v>
      </c>
      <c r="E11" s="491"/>
      <c r="F11" s="491" t="s">
        <v>588</v>
      </c>
      <c r="G11" s="491">
        <v>0</v>
      </c>
      <c r="H11" s="491">
        <v>0</v>
      </c>
      <c r="I11" s="491" t="s">
        <v>717</v>
      </c>
      <c r="J11" s="491" t="s">
        <v>718</v>
      </c>
      <c r="K11" s="491" t="s">
        <v>591</v>
      </c>
      <c r="L11" s="491" t="s">
        <v>592</v>
      </c>
      <c r="M11" s="491" t="s">
        <v>591</v>
      </c>
      <c r="N11" s="491" t="s">
        <v>593</v>
      </c>
      <c r="O11" s="491" t="s">
        <v>188</v>
      </c>
      <c r="P11" s="491" t="s">
        <v>188</v>
      </c>
      <c r="Q11" s="493">
        <v>44779</v>
      </c>
      <c r="R11" s="493">
        <v>0</v>
      </c>
      <c r="S11" s="493">
        <v>15293</v>
      </c>
      <c r="T11" s="493">
        <v>1704054.99</v>
      </c>
      <c r="U11" s="493">
        <v>0</v>
      </c>
      <c r="V11" s="493">
        <v>114226.11</v>
      </c>
      <c r="W11" s="493">
        <v>0</v>
      </c>
      <c r="X11" s="493">
        <v>60349.98</v>
      </c>
      <c r="Y11" s="493">
        <v>944.42</v>
      </c>
      <c r="Z11" s="493">
        <v>0</v>
      </c>
      <c r="AA11" s="493">
        <v>42197.86</v>
      </c>
      <c r="AB11" s="493">
        <v>12665.5</v>
      </c>
      <c r="AC11" s="493">
        <v>14254.56</v>
      </c>
      <c r="AD11" s="493">
        <v>13917</v>
      </c>
      <c r="AE11" s="493">
        <v>20755.150000000001</v>
      </c>
      <c r="AF11" s="493">
        <v>112300.91</v>
      </c>
      <c r="AG11" s="493">
        <v>38460.449999999997</v>
      </c>
      <c r="AH11" s="493">
        <v>0</v>
      </c>
      <c r="AI11" s="493">
        <v>0</v>
      </c>
      <c r="AJ11" s="493">
        <v>0</v>
      </c>
      <c r="AK11" s="493">
        <v>0</v>
      </c>
      <c r="AL11" s="493">
        <v>0</v>
      </c>
      <c r="AM11" s="493">
        <v>5944.76</v>
      </c>
      <c r="AN11" s="493">
        <v>124788</v>
      </c>
      <c r="AO11" s="493">
        <v>929022.52</v>
      </c>
      <c r="AP11" s="493">
        <v>0</v>
      </c>
      <c r="AQ11" s="493">
        <v>539133.65</v>
      </c>
      <c r="AR11" s="493">
        <v>55475.19</v>
      </c>
      <c r="AS11" s="493">
        <v>41088.199999999997</v>
      </c>
      <c r="AT11" s="493">
        <v>0</v>
      </c>
      <c r="AU11" s="493">
        <v>20860.419999999998</v>
      </c>
      <c r="AV11" s="493">
        <v>19745.41</v>
      </c>
      <c r="AW11" s="493">
        <v>2827.5</v>
      </c>
      <c r="AX11" s="493">
        <v>19397.990000000002</v>
      </c>
      <c r="AY11" s="493">
        <v>0</v>
      </c>
      <c r="AZ11" s="493">
        <v>19259.63</v>
      </c>
      <c r="BA11" s="493">
        <v>6019.5</v>
      </c>
      <c r="BB11" s="493">
        <v>23970.44</v>
      </c>
      <c r="BC11" s="493">
        <v>4896</v>
      </c>
      <c r="BD11" s="493">
        <v>53006.27</v>
      </c>
      <c r="BE11" s="493">
        <v>20083</v>
      </c>
      <c r="BF11" s="493">
        <v>9682.48</v>
      </c>
      <c r="BG11" s="493">
        <v>62646.81</v>
      </c>
      <c r="BH11" s="493">
        <v>14521.76</v>
      </c>
      <c r="BI11" s="493">
        <v>0</v>
      </c>
      <c r="BJ11" s="493">
        <v>9291.6200000000008</v>
      </c>
      <c r="BK11" s="493">
        <v>10499.9</v>
      </c>
      <c r="BL11" s="493">
        <v>13503.94</v>
      </c>
      <c r="BM11" s="493">
        <v>103963.67</v>
      </c>
      <c r="BN11" s="493">
        <v>52480.05</v>
      </c>
      <c r="BO11" s="493">
        <v>206968.42</v>
      </c>
      <c r="BP11" s="493">
        <v>37215.83</v>
      </c>
      <c r="BQ11" s="493">
        <v>0</v>
      </c>
      <c r="BR11" s="493">
        <v>0</v>
      </c>
      <c r="BS11" s="493">
        <v>0</v>
      </c>
      <c r="BT11" s="493">
        <v>0</v>
      </c>
      <c r="BU11" s="493">
        <v>0</v>
      </c>
      <c r="BV11" s="494">
        <v>7386.25</v>
      </c>
      <c r="BW11" s="493">
        <v>0</v>
      </c>
      <c r="BX11" s="493">
        <v>0</v>
      </c>
      <c r="BY11" s="493">
        <v>6000</v>
      </c>
      <c r="BZ11" s="493">
        <v>0</v>
      </c>
      <c r="CA11" s="493">
        <v>21921</v>
      </c>
      <c r="CB11" s="493">
        <v>0</v>
      </c>
      <c r="CC11" s="493">
        <v>0</v>
      </c>
      <c r="CD11" s="493">
        <v>0</v>
      </c>
      <c r="CE11" s="493">
        <v>34078.49</v>
      </c>
      <c r="CF11" s="493">
        <v>758.25</v>
      </c>
      <c r="CG11" s="493">
        <v>0</v>
      </c>
      <c r="CH11" s="493">
        <v>0</v>
      </c>
      <c r="CI11" s="493">
        <v>0</v>
      </c>
      <c r="CJ11" s="495">
        <f t="shared" si="0"/>
        <v>34078.49</v>
      </c>
      <c r="CK11" s="495">
        <f t="shared" si="1"/>
        <v>758.25</v>
      </c>
      <c r="CL11" s="495">
        <f t="shared" si="2"/>
        <v>34078.49</v>
      </c>
      <c r="CM11" s="573">
        <f t="shared" si="3"/>
        <v>2264859.69</v>
      </c>
      <c r="CN11" s="573">
        <f t="shared" si="4"/>
        <v>2275560.1999999997</v>
      </c>
      <c r="CO11" s="573">
        <f t="shared" si="5"/>
        <v>1818281.1</v>
      </c>
      <c r="CP11" s="573">
        <f t="shared" si="6"/>
        <v>-10700.509999999776</v>
      </c>
    </row>
    <row r="12" spans="1:94" ht="14.25" customHeight="1">
      <c r="A12" s="491">
        <v>302</v>
      </c>
      <c r="B12" s="491">
        <v>2009</v>
      </c>
      <c r="C12" s="492" t="s">
        <v>43</v>
      </c>
      <c r="D12" s="491" t="s">
        <v>586</v>
      </c>
      <c r="E12" s="491" t="s">
        <v>719</v>
      </c>
      <c r="F12" s="491" t="s">
        <v>588</v>
      </c>
      <c r="G12" s="491">
        <v>0</v>
      </c>
      <c r="H12" s="491">
        <v>2</v>
      </c>
      <c r="I12" s="491" t="s">
        <v>717</v>
      </c>
      <c r="J12" s="491" t="s">
        <v>718</v>
      </c>
      <c r="K12" s="491" t="s">
        <v>591</v>
      </c>
      <c r="L12" s="491" t="s">
        <v>592</v>
      </c>
      <c r="M12" s="491" t="s">
        <v>591</v>
      </c>
      <c r="N12" s="491" t="s">
        <v>593</v>
      </c>
      <c r="O12" s="491" t="s">
        <v>188</v>
      </c>
      <c r="P12" s="491" t="s">
        <v>188</v>
      </c>
      <c r="Q12" s="493">
        <v>-27544</v>
      </c>
      <c r="R12" s="493">
        <v>0</v>
      </c>
      <c r="S12" s="493">
        <v>15377</v>
      </c>
      <c r="T12" s="493">
        <v>2442711.52</v>
      </c>
      <c r="U12" s="493">
        <v>0</v>
      </c>
      <c r="V12" s="493">
        <v>213143.52</v>
      </c>
      <c r="W12" s="493">
        <v>0</v>
      </c>
      <c r="X12" s="493">
        <v>126900.25</v>
      </c>
      <c r="Y12" s="493">
        <v>2300</v>
      </c>
      <c r="Z12" s="493">
        <v>76337.25</v>
      </c>
      <c r="AA12" s="493">
        <v>9810</v>
      </c>
      <c r="AB12" s="493">
        <v>233047.56</v>
      </c>
      <c r="AC12" s="493">
        <v>14047.41</v>
      </c>
      <c r="AD12" s="493">
        <v>0</v>
      </c>
      <c r="AE12" s="493">
        <v>0</v>
      </c>
      <c r="AF12" s="493">
        <v>63440.65</v>
      </c>
      <c r="AG12" s="493">
        <v>12341.21</v>
      </c>
      <c r="AH12" s="493">
        <v>0</v>
      </c>
      <c r="AI12" s="493">
        <v>0</v>
      </c>
      <c r="AJ12" s="493">
        <v>0</v>
      </c>
      <c r="AK12" s="493">
        <v>0</v>
      </c>
      <c r="AL12" s="493">
        <v>0</v>
      </c>
      <c r="AM12" s="493">
        <v>13774.69</v>
      </c>
      <c r="AN12" s="493">
        <v>84774</v>
      </c>
      <c r="AO12" s="493">
        <v>1520070.33</v>
      </c>
      <c r="AP12" s="493">
        <v>0</v>
      </c>
      <c r="AQ12" s="493">
        <v>645476.41</v>
      </c>
      <c r="AR12" s="493">
        <v>47187.199999999997</v>
      </c>
      <c r="AS12" s="493">
        <v>128506.85</v>
      </c>
      <c r="AT12" s="493">
        <v>0</v>
      </c>
      <c r="AU12" s="493">
        <v>132162.95000000001</v>
      </c>
      <c r="AV12" s="493">
        <v>12865.01</v>
      </c>
      <c r="AW12" s="493">
        <v>10292.18</v>
      </c>
      <c r="AX12" s="493">
        <v>702.18</v>
      </c>
      <c r="AY12" s="493">
        <v>0</v>
      </c>
      <c r="AZ12" s="493">
        <v>22155.86</v>
      </c>
      <c r="BA12" s="493">
        <v>23881.84</v>
      </c>
      <c r="BB12" s="493">
        <v>48702.64</v>
      </c>
      <c r="BC12" s="493">
        <v>8467.65</v>
      </c>
      <c r="BD12" s="493">
        <v>50840.4</v>
      </c>
      <c r="BE12" s="493">
        <v>39900</v>
      </c>
      <c r="BF12" s="493">
        <v>19903.419999999998</v>
      </c>
      <c r="BG12" s="493">
        <v>111662.11</v>
      </c>
      <c r="BH12" s="493">
        <v>12782.84</v>
      </c>
      <c r="BI12" s="493">
        <v>0</v>
      </c>
      <c r="BJ12" s="493">
        <v>31335.759999999998</v>
      </c>
      <c r="BK12" s="493">
        <v>19215.27</v>
      </c>
      <c r="BL12" s="493">
        <v>32002.16</v>
      </c>
      <c r="BM12" s="493">
        <v>121055.88</v>
      </c>
      <c r="BN12" s="493">
        <v>73735.67</v>
      </c>
      <c r="BO12" s="493">
        <v>226293.05</v>
      </c>
      <c r="BP12" s="493">
        <v>34565.61</v>
      </c>
      <c r="BQ12" s="493">
        <v>0</v>
      </c>
      <c r="BR12" s="493">
        <v>0</v>
      </c>
      <c r="BS12" s="493">
        <v>4181</v>
      </c>
      <c r="BT12" s="493">
        <v>0</v>
      </c>
      <c r="BU12" s="493">
        <v>0</v>
      </c>
      <c r="BV12" s="494">
        <v>9053.58</v>
      </c>
      <c r="BW12" s="493">
        <v>0</v>
      </c>
      <c r="BX12" s="493">
        <v>4181</v>
      </c>
      <c r="BY12" s="493">
        <v>6000</v>
      </c>
      <c r="BZ12" s="493">
        <v>0</v>
      </c>
      <c r="CA12" s="493">
        <v>8650</v>
      </c>
      <c r="CB12" s="493">
        <v>0</v>
      </c>
      <c r="CC12" s="493">
        <v>19961.580000000002</v>
      </c>
      <c r="CD12" s="493">
        <v>0</v>
      </c>
      <c r="CE12" s="493">
        <v>-112860.21</v>
      </c>
      <c r="CF12" s="493">
        <v>0</v>
      </c>
      <c r="CG12" s="493">
        <v>0</v>
      </c>
      <c r="CH12" s="493">
        <v>0</v>
      </c>
      <c r="CI12" s="493">
        <v>0</v>
      </c>
      <c r="CJ12" s="495">
        <f t="shared" si="0"/>
        <v>-112860.21</v>
      </c>
      <c r="CK12" s="495">
        <f t="shared" si="1"/>
        <v>0</v>
      </c>
      <c r="CL12" s="495">
        <f t="shared" si="2"/>
        <v>-112860.21</v>
      </c>
      <c r="CM12" s="573">
        <f t="shared" si="3"/>
        <v>3292628.06</v>
      </c>
      <c r="CN12" s="573">
        <f t="shared" si="4"/>
        <v>3377944.2699999996</v>
      </c>
      <c r="CO12" s="573">
        <f t="shared" si="5"/>
        <v>2655855.04</v>
      </c>
      <c r="CP12" s="573">
        <f t="shared" si="6"/>
        <v>-85316.209999999497</v>
      </c>
    </row>
    <row r="13" spans="1:94" ht="14.25" customHeight="1">
      <c r="A13" s="491">
        <v>302</v>
      </c>
      <c r="B13" s="491">
        <v>2011</v>
      </c>
      <c r="C13" s="492" t="s">
        <v>47</v>
      </c>
      <c r="D13" s="491" t="s">
        <v>586</v>
      </c>
      <c r="E13" s="491" t="s">
        <v>720</v>
      </c>
      <c r="F13" s="491" t="s">
        <v>588</v>
      </c>
      <c r="G13" s="491">
        <v>0</v>
      </c>
      <c r="H13" s="491">
        <v>2</v>
      </c>
      <c r="I13" s="491" t="s">
        <v>717</v>
      </c>
      <c r="J13" s="491" t="s">
        <v>718</v>
      </c>
      <c r="K13" s="491" t="s">
        <v>591</v>
      </c>
      <c r="L13" s="491" t="s">
        <v>592</v>
      </c>
      <c r="M13" s="491" t="s">
        <v>591</v>
      </c>
      <c r="N13" s="491" t="s">
        <v>593</v>
      </c>
      <c r="O13" s="491" t="s">
        <v>188</v>
      </c>
      <c r="P13" s="491" t="s">
        <v>188</v>
      </c>
      <c r="Q13" s="493">
        <v>-166091</v>
      </c>
      <c r="R13" s="493">
        <v>0</v>
      </c>
      <c r="S13" s="493">
        <v>23401</v>
      </c>
      <c r="T13" s="493">
        <v>1161694.8600000001</v>
      </c>
      <c r="U13" s="493">
        <v>0</v>
      </c>
      <c r="V13" s="493">
        <v>58311.65</v>
      </c>
      <c r="W13" s="493">
        <v>0</v>
      </c>
      <c r="X13" s="493">
        <v>57524.99</v>
      </c>
      <c r="Y13" s="493">
        <v>4777.68</v>
      </c>
      <c r="Z13" s="493">
        <v>39451.879999999997</v>
      </c>
      <c r="AA13" s="493">
        <v>7060.63</v>
      </c>
      <c r="AB13" s="493">
        <v>65916.97</v>
      </c>
      <c r="AC13" s="493">
        <v>8725.91</v>
      </c>
      <c r="AD13" s="493">
        <v>0</v>
      </c>
      <c r="AE13" s="493">
        <v>0</v>
      </c>
      <c r="AF13" s="493">
        <v>26707.79</v>
      </c>
      <c r="AG13" s="493">
        <v>2177.3000000000002</v>
      </c>
      <c r="AH13" s="493">
        <v>0</v>
      </c>
      <c r="AI13" s="493">
        <v>0</v>
      </c>
      <c r="AJ13" s="493">
        <v>0</v>
      </c>
      <c r="AK13" s="493">
        <v>0</v>
      </c>
      <c r="AL13" s="493">
        <v>0</v>
      </c>
      <c r="AM13" s="493">
        <v>5183.75</v>
      </c>
      <c r="AN13" s="493">
        <v>51795</v>
      </c>
      <c r="AO13" s="493">
        <v>627064.88</v>
      </c>
      <c r="AP13" s="493">
        <v>0</v>
      </c>
      <c r="AQ13" s="493">
        <v>278563.26</v>
      </c>
      <c r="AR13" s="493">
        <v>49400.07</v>
      </c>
      <c r="AS13" s="493">
        <v>71018.960000000006</v>
      </c>
      <c r="AT13" s="493">
        <v>0</v>
      </c>
      <c r="AU13" s="493">
        <v>74198.2</v>
      </c>
      <c r="AV13" s="493">
        <v>8061.57</v>
      </c>
      <c r="AW13" s="493">
        <v>2919.03</v>
      </c>
      <c r="AX13" s="493">
        <v>350.26</v>
      </c>
      <c r="AY13" s="493">
        <v>0</v>
      </c>
      <c r="AZ13" s="493">
        <v>20184.68</v>
      </c>
      <c r="BA13" s="493">
        <v>5302.29</v>
      </c>
      <c r="BB13" s="493">
        <v>21848.47</v>
      </c>
      <c r="BC13" s="493">
        <v>2030.17</v>
      </c>
      <c r="BD13" s="493">
        <v>51631.3</v>
      </c>
      <c r="BE13" s="493">
        <v>21036.62</v>
      </c>
      <c r="BF13" s="493">
        <v>10178.959999999999</v>
      </c>
      <c r="BG13" s="493">
        <v>49645.75</v>
      </c>
      <c r="BH13" s="493">
        <v>7281.33</v>
      </c>
      <c r="BI13" s="493">
        <v>0</v>
      </c>
      <c r="BJ13" s="493">
        <v>14303.22</v>
      </c>
      <c r="BK13" s="493">
        <v>11124.69</v>
      </c>
      <c r="BL13" s="493">
        <v>18041.419999999998</v>
      </c>
      <c r="BM13" s="493">
        <v>66401.02</v>
      </c>
      <c r="BN13" s="493">
        <v>18907.97</v>
      </c>
      <c r="BO13" s="493">
        <v>43918.64</v>
      </c>
      <c r="BP13" s="493">
        <v>21820.11</v>
      </c>
      <c r="BQ13" s="493">
        <v>0</v>
      </c>
      <c r="BR13" s="493">
        <v>0</v>
      </c>
      <c r="BS13" s="493">
        <v>0</v>
      </c>
      <c r="BT13" s="493">
        <v>0</v>
      </c>
      <c r="BU13" s="493">
        <v>0</v>
      </c>
      <c r="BV13" s="494">
        <v>6362.5</v>
      </c>
      <c r="BW13" s="493">
        <v>7416.07</v>
      </c>
      <c r="BX13" s="493">
        <v>0</v>
      </c>
      <c r="BY13" s="493">
        <v>6000</v>
      </c>
      <c r="BZ13" s="493">
        <v>0</v>
      </c>
      <c r="CA13" s="493">
        <v>22706.880000000001</v>
      </c>
      <c r="CB13" s="493">
        <v>0</v>
      </c>
      <c r="CC13" s="493">
        <v>0</v>
      </c>
      <c r="CD13" s="493">
        <v>0</v>
      </c>
      <c r="CE13" s="493">
        <v>-171995.46</v>
      </c>
      <c r="CF13" s="493">
        <v>14472.69</v>
      </c>
      <c r="CG13" s="493">
        <v>0</v>
      </c>
      <c r="CH13" s="493">
        <v>0</v>
      </c>
      <c r="CI13" s="493">
        <v>0</v>
      </c>
      <c r="CJ13" s="495">
        <f t="shared" si="0"/>
        <v>-171995.46</v>
      </c>
      <c r="CK13" s="495">
        <f t="shared" si="1"/>
        <v>14472.69</v>
      </c>
      <c r="CL13" s="495">
        <f t="shared" si="2"/>
        <v>-171995.46</v>
      </c>
      <c r="CM13" s="573">
        <f t="shared" si="3"/>
        <v>1489328.4099999997</v>
      </c>
      <c r="CN13" s="573">
        <f t="shared" si="4"/>
        <v>1495232.8699999999</v>
      </c>
      <c r="CO13" s="573">
        <f t="shared" si="5"/>
        <v>1220006.51</v>
      </c>
      <c r="CP13" s="573">
        <f t="shared" si="6"/>
        <v>-5904.4600000001956</v>
      </c>
    </row>
    <row r="14" spans="1:94" ht="14.25" customHeight="1">
      <c r="A14" s="491">
        <v>302</v>
      </c>
      <c r="B14" s="491">
        <v>2014</v>
      </c>
      <c r="C14" s="492" t="s">
        <v>266</v>
      </c>
      <c r="D14" s="491" t="s">
        <v>594</v>
      </c>
      <c r="E14" s="491"/>
      <c r="F14" s="491" t="s">
        <v>588</v>
      </c>
      <c r="G14" s="491">
        <v>0</v>
      </c>
      <c r="H14" s="491">
        <v>0</v>
      </c>
      <c r="I14" s="491" t="s">
        <v>717</v>
      </c>
      <c r="J14" s="491" t="s">
        <v>718</v>
      </c>
      <c r="K14" s="491" t="s">
        <v>591</v>
      </c>
      <c r="L14" s="491" t="s">
        <v>592</v>
      </c>
      <c r="M14" s="491" t="s">
        <v>591</v>
      </c>
      <c r="N14" s="491" t="s">
        <v>593</v>
      </c>
      <c r="O14" s="491" t="s">
        <v>188</v>
      </c>
      <c r="P14" s="491" t="s">
        <v>188</v>
      </c>
      <c r="Q14" s="493">
        <v>196167</v>
      </c>
      <c r="R14" s="493">
        <v>0</v>
      </c>
      <c r="S14" s="493">
        <v>4140</v>
      </c>
      <c r="T14" s="493">
        <v>3871561.24</v>
      </c>
      <c r="U14" s="493">
        <v>0</v>
      </c>
      <c r="V14" s="493">
        <v>287539.99</v>
      </c>
      <c r="W14" s="493">
        <v>0</v>
      </c>
      <c r="X14" s="493">
        <v>276069.98</v>
      </c>
      <c r="Y14" s="493">
        <v>9770.4</v>
      </c>
      <c r="Z14" s="493">
        <v>76276.11</v>
      </c>
      <c r="AA14" s="493">
        <v>45804.79</v>
      </c>
      <c r="AB14" s="493">
        <v>18317</v>
      </c>
      <c r="AC14" s="493">
        <v>14635.96</v>
      </c>
      <c r="AD14" s="493">
        <v>0</v>
      </c>
      <c r="AE14" s="493">
        <v>0</v>
      </c>
      <c r="AF14" s="493">
        <v>91178.44</v>
      </c>
      <c r="AG14" s="493">
        <v>420</v>
      </c>
      <c r="AH14" s="493">
        <v>0</v>
      </c>
      <c r="AI14" s="493">
        <v>0</v>
      </c>
      <c r="AJ14" s="493">
        <v>0</v>
      </c>
      <c r="AK14" s="493">
        <v>0</v>
      </c>
      <c r="AL14" s="493">
        <v>0</v>
      </c>
      <c r="AM14" s="493">
        <v>50467.38</v>
      </c>
      <c r="AN14" s="493">
        <v>102212</v>
      </c>
      <c r="AO14" s="493">
        <v>2095662.94</v>
      </c>
      <c r="AP14" s="493">
        <v>0</v>
      </c>
      <c r="AQ14" s="493">
        <v>1135822.3600000001</v>
      </c>
      <c r="AR14" s="493">
        <v>131537.14000000001</v>
      </c>
      <c r="AS14" s="493">
        <v>173558.23</v>
      </c>
      <c r="AT14" s="493">
        <v>0</v>
      </c>
      <c r="AU14" s="493">
        <v>107155.53</v>
      </c>
      <c r="AV14" s="493">
        <v>33872.629999999997</v>
      </c>
      <c r="AW14" s="493">
        <v>4496.34</v>
      </c>
      <c r="AX14" s="493">
        <v>1039.1600000000001</v>
      </c>
      <c r="AY14" s="493">
        <v>1951</v>
      </c>
      <c r="AZ14" s="493">
        <v>144542.70000000001</v>
      </c>
      <c r="BA14" s="493">
        <v>22259.200000000001</v>
      </c>
      <c r="BB14" s="493">
        <v>33991.4</v>
      </c>
      <c r="BC14" s="493">
        <v>12885.18</v>
      </c>
      <c r="BD14" s="493">
        <v>216803.97</v>
      </c>
      <c r="BE14" s="493">
        <v>111839.8</v>
      </c>
      <c r="BF14" s="493">
        <v>33837.99</v>
      </c>
      <c r="BG14" s="493">
        <v>79265.39</v>
      </c>
      <c r="BH14" s="493">
        <v>34135.370000000003</v>
      </c>
      <c r="BI14" s="493">
        <v>0</v>
      </c>
      <c r="BJ14" s="493">
        <v>59621.91</v>
      </c>
      <c r="BK14" s="493">
        <v>26495.14</v>
      </c>
      <c r="BL14" s="493">
        <v>7763.08</v>
      </c>
      <c r="BM14" s="493">
        <v>217199.06</v>
      </c>
      <c r="BN14" s="493">
        <v>28086.04</v>
      </c>
      <c r="BO14" s="493">
        <v>168245.63</v>
      </c>
      <c r="BP14" s="493">
        <v>77640.08</v>
      </c>
      <c r="BQ14" s="493">
        <v>0</v>
      </c>
      <c r="BR14" s="493">
        <v>0</v>
      </c>
      <c r="BS14" s="493">
        <v>0</v>
      </c>
      <c r="BT14" s="493">
        <v>0</v>
      </c>
      <c r="BU14" s="493">
        <v>0</v>
      </c>
      <c r="BV14" s="494">
        <v>11653.83</v>
      </c>
      <c r="BW14" s="493">
        <v>0</v>
      </c>
      <c r="BX14" s="493">
        <v>0</v>
      </c>
      <c r="BY14" s="493">
        <v>6000</v>
      </c>
      <c r="BZ14" s="493">
        <v>0</v>
      </c>
      <c r="CA14" s="493">
        <v>2742.33</v>
      </c>
      <c r="CB14" s="493">
        <v>7153</v>
      </c>
      <c r="CC14" s="493">
        <v>0</v>
      </c>
      <c r="CD14" s="493">
        <v>0</v>
      </c>
      <c r="CE14" s="493">
        <v>80713.02</v>
      </c>
      <c r="CF14" s="493">
        <v>5898.5</v>
      </c>
      <c r="CG14" s="493">
        <v>0</v>
      </c>
      <c r="CH14" s="493">
        <v>0</v>
      </c>
      <c r="CI14" s="493">
        <v>0</v>
      </c>
      <c r="CJ14" s="495">
        <f t="shared" si="0"/>
        <v>80713.02</v>
      </c>
      <c r="CK14" s="495">
        <f t="shared" si="1"/>
        <v>5898.5</v>
      </c>
      <c r="CL14" s="495">
        <f t="shared" si="2"/>
        <v>80713.02</v>
      </c>
      <c r="CM14" s="573">
        <f t="shared" si="3"/>
        <v>4844253.2900000019</v>
      </c>
      <c r="CN14" s="573">
        <f t="shared" si="4"/>
        <v>4959707.2699999996</v>
      </c>
      <c r="CO14" s="573">
        <f t="shared" si="5"/>
        <v>4159101.2300000004</v>
      </c>
      <c r="CP14" s="573">
        <f t="shared" si="6"/>
        <v>-115453.97999999765</v>
      </c>
    </row>
    <row r="15" spans="1:94" ht="14.25" customHeight="1">
      <c r="A15" s="491">
        <v>302</v>
      </c>
      <c r="B15" s="491">
        <v>2015</v>
      </c>
      <c r="C15" s="492" t="s">
        <v>267</v>
      </c>
      <c r="D15" s="491" t="s">
        <v>594</v>
      </c>
      <c r="E15" s="491"/>
      <c r="F15" s="491" t="s">
        <v>588</v>
      </c>
      <c r="G15" s="491">
        <v>0</v>
      </c>
      <c r="H15" s="491">
        <v>1</v>
      </c>
      <c r="I15" s="491" t="s">
        <v>717</v>
      </c>
      <c r="J15" s="491" t="s">
        <v>718</v>
      </c>
      <c r="K15" s="491" t="s">
        <v>591</v>
      </c>
      <c r="L15" s="491" t="s">
        <v>592</v>
      </c>
      <c r="M15" s="491" t="s">
        <v>591</v>
      </c>
      <c r="N15" s="491" t="s">
        <v>593</v>
      </c>
      <c r="O15" s="491" t="s">
        <v>188</v>
      </c>
      <c r="P15" s="491" t="s">
        <v>188</v>
      </c>
      <c r="Q15" s="493">
        <v>-104850</v>
      </c>
      <c r="R15" s="493">
        <v>45881</v>
      </c>
      <c r="S15" s="493">
        <v>14819</v>
      </c>
      <c r="T15" s="493">
        <v>1674802.94</v>
      </c>
      <c r="U15" s="493">
        <v>0</v>
      </c>
      <c r="V15" s="493">
        <v>452182.56</v>
      </c>
      <c r="W15" s="493">
        <v>0</v>
      </c>
      <c r="X15" s="493">
        <v>116460.98</v>
      </c>
      <c r="Y15" s="493">
        <v>13805.71</v>
      </c>
      <c r="Z15" s="493">
        <v>29396.3</v>
      </c>
      <c r="AA15" s="493">
        <v>21285.06</v>
      </c>
      <c r="AB15" s="493">
        <v>3546</v>
      </c>
      <c r="AC15" s="493">
        <v>8755.7999999999993</v>
      </c>
      <c r="AD15" s="493">
        <v>0</v>
      </c>
      <c r="AE15" s="493">
        <v>0</v>
      </c>
      <c r="AF15" s="493">
        <v>64729.51</v>
      </c>
      <c r="AG15" s="493">
        <v>7404.38</v>
      </c>
      <c r="AH15" s="493">
        <v>0</v>
      </c>
      <c r="AI15" s="493">
        <v>206786.9</v>
      </c>
      <c r="AJ15" s="493">
        <v>0</v>
      </c>
      <c r="AK15" s="493">
        <v>0</v>
      </c>
      <c r="AL15" s="493">
        <v>0</v>
      </c>
      <c r="AM15" s="493">
        <v>0</v>
      </c>
      <c r="AN15" s="493">
        <v>129026.24000000001</v>
      </c>
      <c r="AO15" s="493">
        <v>631299.55000000005</v>
      </c>
      <c r="AP15" s="493">
        <v>0</v>
      </c>
      <c r="AQ15" s="493">
        <v>750211.02</v>
      </c>
      <c r="AR15" s="493">
        <v>50751.18</v>
      </c>
      <c r="AS15" s="493">
        <v>75803.289999999994</v>
      </c>
      <c r="AT15" s="493">
        <v>68923.960000000006</v>
      </c>
      <c r="AU15" s="493">
        <v>12279.24</v>
      </c>
      <c r="AV15" s="493">
        <v>13130.59</v>
      </c>
      <c r="AW15" s="493">
        <v>9558.5300000000007</v>
      </c>
      <c r="AX15" s="493">
        <v>366.86</v>
      </c>
      <c r="AY15" s="493">
        <v>0</v>
      </c>
      <c r="AZ15" s="493">
        <v>17565.59</v>
      </c>
      <c r="BA15" s="493">
        <v>6100.22</v>
      </c>
      <c r="BB15" s="493">
        <v>38844.870000000003</v>
      </c>
      <c r="BC15" s="493">
        <v>49982.41</v>
      </c>
      <c r="BD15" s="493">
        <v>48986.82</v>
      </c>
      <c r="BE15" s="493">
        <v>42343.05</v>
      </c>
      <c r="BF15" s="493">
        <v>19061.060000000001</v>
      </c>
      <c r="BG15" s="493">
        <v>66811.41</v>
      </c>
      <c r="BH15" s="493">
        <v>5742.6</v>
      </c>
      <c r="BI15" s="493">
        <v>0</v>
      </c>
      <c r="BJ15" s="493">
        <v>23281.74</v>
      </c>
      <c r="BK15" s="493">
        <v>8662.69</v>
      </c>
      <c r="BL15" s="493">
        <v>8731.1200000000008</v>
      </c>
      <c r="BM15" s="493">
        <v>45577.61</v>
      </c>
      <c r="BN15" s="493">
        <v>271842.84000000003</v>
      </c>
      <c r="BO15" s="493">
        <v>212420.16</v>
      </c>
      <c r="BP15" s="493">
        <v>58011.1</v>
      </c>
      <c r="BQ15" s="493">
        <v>0</v>
      </c>
      <c r="BR15" s="493">
        <v>0</v>
      </c>
      <c r="BS15" s="493">
        <v>0</v>
      </c>
      <c r="BT15" s="493">
        <v>129911.86</v>
      </c>
      <c r="BU15" s="493">
        <v>34870.11</v>
      </c>
      <c r="BV15" s="494">
        <v>6727</v>
      </c>
      <c r="BW15" s="493">
        <v>0</v>
      </c>
      <c r="BX15" s="493">
        <v>0</v>
      </c>
      <c r="BY15" s="493">
        <v>6000</v>
      </c>
      <c r="BZ15" s="493">
        <v>0</v>
      </c>
      <c r="CA15" s="493">
        <v>0</v>
      </c>
      <c r="CB15" s="493">
        <v>0</v>
      </c>
      <c r="CC15" s="493">
        <v>0</v>
      </c>
      <c r="CD15" s="493">
        <v>0</v>
      </c>
      <c r="CE15" s="493">
        <v>-119744.03</v>
      </c>
      <c r="CF15" s="493">
        <v>21546</v>
      </c>
      <c r="CG15" s="493">
        <v>0</v>
      </c>
      <c r="CH15" s="493">
        <v>87885.93</v>
      </c>
      <c r="CI15" s="493">
        <v>0</v>
      </c>
      <c r="CJ15" s="495">
        <f t="shared" si="0"/>
        <v>-31858.100000000006</v>
      </c>
      <c r="CK15" s="495">
        <f t="shared" si="1"/>
        <v>21546</v>
      </c>
      <c r="CL15" s="495">
        <f t="shared" si="2"/>
        <v>-119744.03</v>
      </c>
      <c r="CM15" s="573">
        <f t="shared" si="3"/>
        <v>2521395.4799999995</v>
      </c>
      <c r="CN15" s="573">
        <f t="shared" si="4"/>
        <v>2536289.5100000007</v>
      </c>
      <c r="CO15" s="573">
        <f t="shared" si="5"/>
        <v>2126985.5</v>
      </c>
      <c r="CP15" s="573">
        <f t="shared" si="6"/>
        <v>-14894.030000001192</v>
      </c>
    </row>
    <row r="16" spans="1:94" ht="14.25" customHeight="1">
      <c r="A16" s="491">
        <v>302</v>
      </c>
      <c r="B16" s="491">
        <v>2016</v>
      </c>
      <c r="C16" s="492" t="s">
        <v>52</v>
      </c>
      <c r="D16" s="491" t="s">
        <v>594</v>
      </c>
      <c r="E16" s="491"/>
      <c r="F16" s="491" t="s">
        <v>588</v>
      </c>
      <c r="G16" s="491">
        <v>0</v>
      </c>
      <c r="H16" s="491">
        <v>1</v>
      </c>
      <c r="I16" s="491" t="s">
        <v>717</v>
      </c>
      <c r="J16" s="491" t="s">
        <v>718</v>
      </c>
      <c r="K16" s="491" t="s">
        <v>591</v>
      </c>
      <c r="L16" s="491" t="s">
        <v>592</v>
      </c>
      <c r="M16" s="491" t="s">
        <v>591</v>
      </c>
      <c r="N16" s="491" t="s">
        <v>593</v>
      </c>
      <c r="O16" s="491" t="s">
        <v>188</v>
      </c>
      <c r="P16" s="491" t="s">
        <v>188</v>
      </c>
      <c r="Q16" s="493">
        <v>55752</v>
      </c>
      <c r="R16" s="493">
        <v>0</v>
      </c>
      <c r="S16" s="493">
        <v>23974</v>
      </c>
      <c r="T16" s="493">
        <v>1119617.44</v>
      </c>
      <c r="U16" s="493">
        <v>0</v>
      </c>
      <c r="V16" s="493">
        <v>44800.65</v>
      </c>
      <c r="W16" s="493">
        <v>0</v>
      </c>
      <c r="X16" s="493">
        <v>46314.98</v>
      </c>
      <c r="Y16" s="493">
        <v>1000</v>
      </c>
      <c r="Z16" s="493">
        <v>32844.959999999999</v>
      </c>
      <c r="AA16" s="493">
        <v>1939</v>
      </c>
      <c r="AB16" s="493">
        <v>4115.62</v>
      </c>
      <c r="AC16" s="493">
        <v>5649.98</v>
      </c>
      <c r="AD16" s="493">
        <v>0</v>
      </c>
      <c r="AE16" s="493">
        <v>0</v>
      </c>
      <c r="AF16" s="493">
        <v>20239.259999999998</v>
      </c>
      <c r="AG16" s="493">
        <v>17993.560000000001</v>
      </c>
      <c r="AH16" s="493">
        <v>0</v>
      </c>
      <c r="AI16" s="493">
        <v>0</v>
      </c>
      <c r="AJ16" s="493">
        <v>0</v>
      </c>
      <c r="AK16" s="493">
        <v>0</v>
      </c>
      <c r="AL16" s="493">
        <v>0</v>
      </c>
      <c r="AM16" s="493">
        <v>0</v>
      </c>
      <c r="AN16" s="493">
        <v>60977.13</v>
      </c>
      <c r="AO16" s="493">
        <v>624288.27</v>
      </c>
      <c r="AP16" s="493">
        <v>5999.7</v>
      </c>
      <c r="AQ16" s="493">
        <v>240108.35</v>
      </c>
      <c r="AR16" s="493">
        <v>41596.18</v>
      </c>
      <c r="AS16" s="493">
        <v>74550.19</v>
      </c>
      <c r="AT16" s="493">
        <v>0</v>
      </c>
      <c r="AU16" s="493">
        <v>19402.68</v>
      </c>
      <c r="AV16" s="493">
        <v>6515.8</v>
      </c>
      <c r="AW16" s="493">
        <v>489</v>
      </c>
      <c r="AX16" s="493">
        <v>348.6</v>
      </c>
      <c r="AY16" s="493">
        <v>0</v>
      </c>
      <c r="AZ16" s="493">
        <v>5576.8</v>
      </c>
      <c r="BA16" s="493">
        <v>4982</v>
      </c>
      <c r="BB16" s="493">
        <v>23921.360000000001</v>
      </c>
      <c r="BC16" s="493">
        <v>5033.16</v>
      </c>
      <c r="BD16" s="493">
        <v>28371.46</v>
      </c>
      <c r="BE16" s="493">
        <v>25001.15</v>
      </c>
      <c r="BF16" s="493">
        <v>6968.94</v>
      </c>
      <c r="BG16" s="493">
        <v>61938.07</v>
      </c>
      <c r="BH16" s="493">
        <v>8198.57</v>
      </c>
      <c r="BI16" s="493">
        <v>0</v>
      </c>
      <c r="BJ16" s="493">
        <v>9552.61</v>
      </c>
      <c r="BK16" s="493">
        <v>8166.9</v>
      </c>
      <c r="BL16" s="493">
        <v>2515</v>
      </c>
      <c r="BM16" s="493">
        <v>65607.12</v>
      </c>
      <c r="BN16" s="493">
        <v>13327.45</v>
      </c>
      <c r="BO16" s="493">
        <v>112684.72</v>
      </c>
      <c r="BP16" s="493">
        <v>22225.83</v>
      </c>
      <c r="BQ16" s="493">
        <v>0</v>
      </c>
      <c r="BR16" s="493">
        <v>0</v>
      </c>
      <c r="BS16" s="493">
        <v>0</v>
      </c>
      <c r="BT16" s="493">
        <v>0</v>
      </c>
      <c r="BU16" s="493">
        <v>0</v>
      </c>
      <c r="BV16" s="494">
        <v>6351.25</v>
      </c>
      <c r="BW16" s="493">
        <v>20000</v>
      </c>
      <c r="BX16" s="493">
        <v>0</v>
      </c>
      <c r="BY16" s="493">
        <v>6000</v>
      </c>
      <c r="BZ16" s="493">
        <v>0</v>
      </c>
      <c r="CA16" s="493">
        <v>20000</v>
      </c>
      <c r="CB16" s="493">
        <v>0</v>
      </c>
      <c r="CC16" s="493">
        <v>0</v>
      </c>
      <c r="CD16" s="493">
        <v>0</v>
      </c>
      <c r="CE16" s="493">
        <v>-6125.33</v>
      </c>
      <c r="CF16" s="493">
        <v>30325.25</v>
      </c>
      <c r="CG16" s="493">
        <v>0</v>
      </c>
      <c r="CH16" s="493">
        <v>0</v>
      </c>
      <c r="CI16" s="493">
        <v>0</v>
      </c>
      <c r="CJ16" s="495">
        <f t="shared" si="0"/>
        <v>-6125.33</v>
      </c>
      <c r="CK16" s="495">
        <f t="shared" si="1"/>
        <v>30325.25</v>
      </c>
      <c r="CL16" s="495">
        <f t="shared" si="2"/>
        <v>-6125.33</v>
      </c>
      <c r="CM16" s="573">
        <f t="shared" si="3"/>
        <v>1355492.5799999998</v>
      </c>
      <c r="CN16" s="573">
        <f t="shared" si="4"/>
        <v>1417369.9100000001</v>
      </c>
      <c r="CO16" s="573">
        <f t="shared" si="5"/>
        <v>1164418.0899999999</v>
      </c>
      <c r="CP16" s="573">
        <f t="shared" si="6"/>
        <v>-61877.330000000307</v>
      </c>
    </row>
    <row r="17" spans="1:94" ht="14.25" customHeight="1">
      <c r="A17" s="491">
        <v>302</v>
      </c>
      <c r="B17" s="491">
        <v>2017</v>
      </c>
      <c r="C17" s="492" t="s">
        <v>268</v>
      </c>
      <c r="D17" s="491" t="s">
        <v>594</v>
      </c>
      <c r="E17" s="491"/>
      <c r="F17" s="491" t="s">
        <v>588</v>
      </c>
      <c r="G17" s="491">
        <v>0</v>
      </c>
      <c r="H17" s="491">
        <v>0</v>
      </c>
      <c r="I17" s="491" t="s">
        <v>717</v>
      </c>
      <c r="J17" s="491" t="s">
        <v>718</v>
      </c>
      <c r="K17" s="491" t="s">
        <v>591</v>
      </c>
      <c r="L17" s="491" t="s">
        <v>592</v>
      </c>
      <c r="M17" s="491" t="s">
        <v>591</v>
      </c>
      <c r="N17" s="491" t="s">
        <v>593</v>
      </c>
      <c r="O17" s="491" t="s">
        <v>188</v>
      </c>
      <c r="P17" s="491" t="s">
        <v>188</v>
      </c>
      <c r="Q17" s="493">
        <v>149442</v>
      </c>
      <c r="R17" s="493">
        <v>0</v>
      </c>
      <c r="S17" s="493">
        <v>10035</v>
      </c>
      <c r="T17" s="493">
        <v>2159078</v>
      </c>
      <c r="U17" s="493">
        <v>0</v>
      </c>
      <c r="V17" s="493">
        <v>136602</v>
      </c>
      <c r="W17" s="493">
        <v>0</v>
      </c>
      <c r="X17" s="493">
        <v>130570</v>
      </c>
      <c r="Y17" s="493">
        <v>19050</v>
      </c>
      <c r="Z17" s="493">
        <v>53424</v>
      </c>
      <c r="AA17" s="493">
        <v>108692</v>
      </c>
      <c r="AB17" s="493">
        <v>193</v>
      </c>
      <c r="AC17" s="493">
        <v>9225</v>
      </c>
      <c r="AD17" s="493">
        <v>23898</v>
      </c>
      <c r="AE17" s="493">
        <v>0</v>
      </c>
      <c r="AF17" s="493">
        <v>48764</v>
      </c>
      <c r="AG17" s="493">
        <v>8970</v>
      </c>
      <c r="AH17" s="493">
        <v>0</v>
      </c>
      <c r="AI17" s="493">
        <v>0</v>
      </c>
      <c r="AJ17" s="493">
        <v>0</v>
      </c>
      <c r="AK17" s="493">
        <v>0</v>
      </c>
      <c r="AL17" s="493">
        <v>0</v>
      </c>
      <c r="AM17" s="493">
        <v>0</v>
      </c>
      <c r="AN17" s="493">
        <v>100356</v>
      </c>
      <c r="AO17" s="493">
        <v>1218162</v>
      </c>
      <c r="AP17" s="493">
        <v>0</v>
      </c>
      <c r="AQ17" s="493">
        <v>678485</v>
      </c>
      <c r="AR17" s="493">
        <v>23028</v>
      </c>
      <c r="AS17" s="493">
        <v>88879</v>
      </c>
      <c r="AT17" s="493">
        <v>0</v>
      </c>
      <c r="AU17" s="493">
        <v>70308</v>
      </c>
      <c r="AV17" s="493">
        <v>25518</v>
      </c>
      <c r="AW17" s="493">
        <v>3292</v>
      </c>
      <c r="AX17" s="493">
        <v>18411</v>
      </c>
      <c r="AY17" s="493">
        <v>0</v>
      </c>
      <c r="AZ17" s="493">
        <v>18176</v>
      </c>
      <c r="BA17" s="493">
        <v>6182</v>
      </c>
      <c r="BB17" s="493">
        <v>48135</v>
      </c>
      <c r="BC17" s="493">
        <v>2187</v>
      </c>
      <c r="BD17" s="493">
        <v>62777</v>
      </c>
      <c r="BE17" s="493">
        <v>46603</v>
      </c>
      <c r="BF17" s="493">
        <v>14800</v>
      </c>
      <c r="BG17" s="493">
        <v>112784</v>
      </c>
      <c r="BH17" s="493">
        <v>26701</v>
      </c>
      <c r="BI17" s="493">
        <v>0</v>
      </c>
      <c r="BJ17" s="493">
        <v>18318</v>
      </c>
      <c r="BK17" s="493">
        <v>17459</v>
      </c>
      <c r="BL17" s="493">
        <v>11278</v>
      </c>
      <c r="BM17" s="493">
        <v>116358</v>
      </c>
      <c r="BN17" s="493">
        <v>109528</v>
      </c>
      <c r="BO17" s="493">
        <v>125368</v>
      </c>
      <c r="BP17" s="493">
        <v>64650</v>
      </c>
      <c r="BQ17" s="493">
        <v>350</v>
      </c>
      <c r="BR17" s="493">
        <v>0</v>
      </c>
      <c r="BS17" s="493">
        <v>0</v>
      </c>
      <c r="BT17" s="493">
        <v>0</v>
      </c>
      <c r="BU17" s="493">
        <v>0</v>
      </c>
      <c r="BV17" s="494">
        <v>8646</v>
      </c>
      <c r="BW17" s="493">
        <v>0</v>
      </c>
      <c r="BX17" s="493">
        <v>0</v>
      </c>
      <c r="BY17" s="493">
        <v>6000</v>
      </c>
      <c r="BZ17" s="493">
        <v>0</v>
      </c>
      <c r="CA17" s="493">
        <v>2969</v>
      </c>
      <c r="CB17" s="493">
        <v>0</v>
      </c>
      <c r="CC17" s="493">
        <v>0</v>
      </c>
      <c r="CD17" s="493">
        <v>0</v>
      </c>
      <c r="CE17" s="493">
        <v>20527</v>
      </c>
      <c r="CF17" s="493">
        <v>15712</v>
      </c>
      <c r="CG17" s="493">
        <v>0</v>
      </c>
      <c r="CH17" s="493">
        <v>0</v>
      </c>
      <c r="CI17" s="493">
        <v>0</v>
      </c>
      <c r="CJ17" s="495">
        <f t="shared" si="0"/>
        <v>20527</v>
      </c>
      <c r="CK17" s="495">
        <f t="shared" si="1"/>
        <v>15712</v>
      </c>
      <c r="CL17" s="495">
        <f t="shared" si="2"/>
        <v>20527</v>
      </c>
      <c r="CM17" s="573">
        <f t="shared" si="3"/>
        <v>2798822</v>
      </c>
      <c r="CN17" s="573">
        <f t="shared" si="4"/>
        <v>2927737</v>
      </c>
      <c r="CO17" s="573">
        <f t="shared" si="5"/>
        <v>2295680</v>
      </c>
      <c r="CP17" s="573">
        <f t="shared" si="6"/>
        <v>-128915</v>
      </c>
    </row>
    <row r="18" spans="1:94" ht="14.25" customHeight="1">
      <c r="A18" s="491">
        <v>302</v>
      </c>
      <c r="B18" s="491">
        <v>2019</v>
      </c>
      <c r="C18" s="492" t="s">
        <v>55</v>
      </c>
      <c r="D18" s="491" t="s">
        <v>594</v>
      </c>
      <c r="E18" s="491"/>
      <c r="F18" s="491" t="s">
        <v>588</v>
      </c>
      <c r="G18" s="491">
        <v>0</v>
      </c>
      <c r="H18" s="491">
        <v>2</v>
      </c>
      <c r="I18" s="491" t="s">
        <v>717</v>
      </c>
      <c r="J18" s="491" t="s">
        <v>718</v>
      </c>
      <c r="K18" s="491" t="s">
        <v>591</v>
      </c>
      <c r="L18" s="491" t="s">
        <v>592</v>
      </c>
      <c r="M18" s="491" t="s">
        <v>591</v>
      </c>
      <c r="N18" s="491" t="s">
        <v>593</v>
      </c>
      <c r="O18" s="491" t="s">
        <v>188</v>
      </c>
      <c r="P18" s="491" t="s">
        <v>188</v>
      </c>
      <c r="Q18" s="493">
        <v>-428181</v>
      </c>
      <c r="R18" s="493">
        <v>0</v>
      </c>
      <c r="S18" s="493">
        <v>4617</v>
      </c>
      <c r="T18" s="493">
        <v>1790172.79</v>
      </c>
      <c r="U18" s="493">
        <v>0</v>
      </c>
      <c r="V18" s="493">
        <v>116284.87</v>
      </c>
      <c r="W18" s="493">
        <v>0</v>
      </c>
      <c r="X18" s="493">
        <v>94843.76</v>
      </c>
      <c r="Y18" s="493">
        <v>0</v>
      </c>
      <c r="Z18" s="493">
        <v>16579.09</v>
      </c>
      <c r="AA18" s="493">
        <v>8939.32</v>
      </c>
      <c r="AB18" s="493">
        <v>26381.9</v>
      </c>
      <c r="AC18" s="493">
        <v>52.25</v>
      </c>
      <c r="AD18" s="493">
        <v>0</v>
      </c>
      <c r="AE18" s="493">
        <v>0</v>
      </c>
      <c r="AF18" s="493">
        <v>25835.9</v>
      </c>
      <c r="AG18" s="493">
        <v>2394.1799999999998</v>
      </c>
      <c r="AH18" s="493">
        <v>0</v>
      </c>
      <c r="AI18" s="493">
        <v>0</v>
      </c>
      <c r="AJ18" s="493">
        <v>0</v>
      </c>
      <c r="AK18" s="493">
        <v>0</v>
      </c>
      <c r="AL18" s="493">
        <v>0</v>
      </c>
      <c r="AM18" s="493">
        <v>11609.37</v>
      </c>
      <c r="AN18" s="493">
        <v>86178</v>
      </c>
      <c r="AO18" s="493">
        <v>760762.41</v>
      </c>
      <c r="AP18" s="493">
        <v>0</v>
      </c>
      <c r="AQ18" s="493">
        <v>508676.42</v>
      </c>
      <c r="AR18" s="493">
        <v>43602.78</v>
      </c>
      <c r="AS18" s="493">
        <v>94604.67</v>
      </c>
      <c r="AT18" s="493">
        <v>0</v>
      </c>
      <c r="AU18" s="493">
        <v>55691.59</v>
      </c>
      <c r="AV18" s="493">
        <v>8872.2199999999993</v>
      </c>
      <c r="AW18" s="493">
        <v>780.21</v>
      </c>
      <c r="AX18" s="493">
        <v>389.93</v>
      </c>
      <c r="AY18" s="493">
        <v>0</v>
      </c>
      <c r="AZ18" s="493">
        <v>13740.03</v>
      </c>
      <c r="BA18" s="493">
        <v>10103.18</v>
      </c>
      <c r="BB18" s="493">
        <v>1654.1</v>
      </c>
      <c r="BC18" s="493">
        <v>848.35</v>
      </c>
      <c r="BD18" s="493">
        <v>33123.279999999999</v>
      </c>
      <c r="BE18" s="493">
        <v>21150</v>
      </c>
      <c r="BF18" s="493">
        <v>5213.88</v>
      </c>
      <c r="BG18" s="493">
        <v>24117.81</v>
      </c>
      <c r="BH18" s="493">
        <v>13896.37</v>
      </c>
      <c r="BI18" s="493">
        <v>0</v>
      </c>
      <c r="BJ18" s="493">
        <v>18528.47</v>
      </c>
      <c r="BK18" s="493">
        <v>8128.01</v>
      </c>
      <c r="BL18" s="493">
        <v>2419.25</v>
      </c>
      <c r="BM18" s="493">
        <v>60147.55</v>
      </c>
      <c r="BN18" s="493">
        <v>11692.67</v>
      </c>
      <c r="BO18" s="493">
        <v>49942.85</v>
      </c>
      <c r="BP18" s="493">
        <v>27337.99</v>
      </c>
      <c r="BQ18" s="493">
        <v>0</v>
      </c>
      <c r="BR18" s="493">
        <v>0</v>
      </c>
      <c r="BS18" s="493">
        <v>0</v>
      </c>
      <c r="BT18" s="493">
        <v>0</v>
      </c>
      <c r="BU18" s="493">
        <v>0</v>
      </c>
      <c r="BV18" s="494">
        <v>21772.44</v>
      </c>
      <c r="BW18" s="493">
        <v>0</v>
      </c>
      <c r="BX18" s="493">
        <v>0</v>
      </c>
      <c r="BY18" s="493">
        <v>6000</v>
      </c>
      <c r="BZ18" s="493">
        <v>0</v>
      </c>
      <c r="CA18" s="493">
        <v>13328.9</v>
      </c>
      <c r="CB18" s="493">
        <v>0</v>
      </c>
      <c r="CC18" s="493">
        <v>11622.2</v>
      </c>
      <c r="CD18" s="493">
        <v>0</v>
      </c>
      <c r="CE18" s="493">
        <v>-24333.59</v>
      </c>
      <c r="CF18" s="493">
        <v>1438.34</v>
      </c>
      <c r="CG18" s="493">
        <v>0</v>
      </c>
      <c r="CH18" s="493">
        <v>0</v>
      </c>
      <c r="CI18" s="493">
        <v>0</v>
      </c>
      <c r="CJ18" s="495">
        <f t="shared" si="0"/>
        <v>-24333.59</v>
      </c>
      <c r="CK18" s="495">
        <f t="shared" si="1"/>
        <v>1438.34</v>
      </c>
      <c r="CL18" s="495">
        <f t="shared" si="2"/>
        <v>-24333.59</v>
      </c>
      <c r="CM18" s="573">
        <f t="shared" si="3"/>
        <v>2179271.4300000002</v>
      </c>
      <c r="CN18" s="573">
        <f t="shared" si="4"/>
        <v>1775424.0200000003</v>
      </c>
      <c r="CO18" s="573">
        <f t="shared" si="5"/>
        <v>1906457.6600000001</v>
      </c>
      <c r="CP18" s="573">
        <f t="shared" si="6"/>
        <v>403847.40999999992</v>
      </c>
    </row>
    <row r="19" spans="1:94" ht="14.25" customHeight="1">
      <c r="A19" s="491">
        <v>302</v>
      </c>
      <c r="B19" s="491">
        <v>2021</v>
      </c>
      <c r="C19" s="492" t="s">
        <v>474</v>
      </c>
      <c r="D19" s="491" t="s">
        <v>594</v>
      </c>
      <c r="E19" s="491"/>
      <c r="F19" s="491" t="s">
        <v>588</v>
      </c>
      <c r="G19" s="491">
        <v>0</v>
      </c>
      <c r="H19" s="491">
        <v>0</v>
      </c>
      <c r="I19" s="491" t="s">
        <v>717</v>
      </c>
      <c r="J19" s="491" t="s">
        <v>718</v>
      </c>
      <c r="K19" s="491" t="s">
        <v>591</v>
      </c>
      <c r="L19" s="491" t="s">
        <v>592</v>
      </c>
      <c r="M19" s="491" t="s">
        <v>591</v>
      </c>
      <c r="N19" s="491" t="s">
        <v>593</v>
      </c>
      <c r="O19" s="491" t="s">
        <v>188</v>
      </c>
      <c r="P19" s="491" t="s">
        <v>188</v>
      </c>
      <c r="Q19" s="493">
        <v>144885</v>
      </c>
      <c r="R19" s="493">
        <v>0</v>
      </c>
      <c r="S19" s="493">
        <v>10677</v>
      </c>
      <c r="T19" s="493">
        <v>2514197.25</v>
      </c>
      <c r="U19" s="493">
        <v>0</v>
      </c>
      <c r="V19" s="493">
        <v>160707.44</v>
      </c>
      <c r="W19" s="493">
        <v>0</v>
      </c>
      <c r="X19" s="493">
        <v>192275.03</v>
      </c>
      <c r="Y19" s="493">
        <v>200</v>
      </c>
      <c r="Z19" s="493">
        <v>81029.47</v>
      </c>
      <c r="AA19" s="493">
        <v>107047.24</v>
      </c>
      <c r="AB19" s="493">
        <v>41416.080000000002</v>
      </c>
      <c r="AC19" s="493">
        <v>16019.75</v>
      </c>
      <c r="AD19" s="493">
        <v>0</v>
      </c>
      <c r="AE19" s="493">
        <v>0</v>
      </c>
      <c r="AF19" s="493">
        <v>13324.33</v>
      </c>
      <c r="AG19" s="493">
        <v>10939.21</v>
      </c>
      <c r="AH19" s="493">
        <v>0</v>
      </c>
      <c r="AI19" s="493">
        <v>0</v>
      </c>
      <c r="AJ19" s="493">
        <v>0</v>
      </c>
      <c r="AK19" s="493">
        <v>0</v>
      </c>
      <c r="AL19" s="493">
        <v>0</v>
      </c>
      <c r="AM19" s="493">
        <v>33730.01</v>
      </c>
      <c r="AN19" s="493">
        <v>62836</v>
      </c>
      <c r="AO19" s="493">
        <v>1166010.02</v>
      </c>
      <c r="AP19" s="493">
        <v>0</v>
      </c>
      <c r="AQ19" s="493">
        <v>824636.21</v>
      </c>
      <c r="AR19" s="493">
        <v>98592.29</v>
      </c>
      <c r="AS19" s="493">
        <v>134966.63</v>
      </c>
      <c r="AT19" s="493">
        <v>0</v>
      </c>
      <c r="AU19" s="493">
        <v>53689.06</v>
      </c>
      <c r="AV19" s="493">
        <v>16119.83</v>
      </c>
      <c r="AW19" s="493">
        <v>13166.78</v>
      </c>
      <c r="AX19" s="493">
        <v>659.02</v>
      </c>
      <c r="AY19" s="493">
        <v>0</v>
      </c>
      <c r="AZ19" s="493">
        <v>25912.11</v>
      </c>
      <c r="BA19" s="493">
        <v>12654.96</v>
      </c>
      <c r="BB19" s="493">
        <v>70100.87</v>
      </c>
      <c r="BC19" s="493">
        <v>23784.69</v>
      </c>
      <c r="BD19" s="493">
        <v>162912</v>
      </c>
      <c r="BE19" s="493">
        <v>58112</v>
      </c>
      <c r="BF19" s="493">
        <v>25479.43</v>
      </c>
      <c r="BG19" s="493">
        <v>79404.960000000006</v>
      </c>
      <c r="BH19" s="493">
        <v>10136.08</v>
      </c>
      <c r="BI19" s="493">
        <v>0</v>
      </c>
      <c r="BJ19" s="493">
        <v>19204</v>
      </c>
      <c r="BK19" s="493">
        <v>18351.39</v>
      </c>
      <c r="BL19" s="493">
        <v>10445.07</v>
      </c>
      <c r="BM19" s="493">
        <v>145187.18</v>
      </c>
      <c r="BN19" s="493">
        <v>140273.18</v>
      </c>
      <c r="BO19" s="493">
        <v>160034.32</v>
      </c>
      <c r="BP19" s="493">
        <v>60465.07</v>
      </c>
      <c r="BQ19" s="493">
        <v>0</v>
      </c>
      <c r="BR19" s="493">
        <v>0</v>
      </c>
      <c r="BS19" s="493">
        <v>0</v>
      </c>
      <c r="BT19" s="493">
        <v>0</v>
      </c>
      <c r="BU19" s="493">
        <v>0</v>
      </c>
      <c r="BV19" s="494">
        <v>9197.5</v>
      </c>
      <c r="BW19" s="493">
        <v>0</v>
      </c>
      <c r="BX19" s="493">
        <v>0</v>
      </c>
      <c r="BY19" s="493">
        <v>6000</v>
      </c>
      <c r="BZ19" s="493">
        <v>0</v>
      </c>
      <c r="CA19" s="493">
        <v>7203.7</v>
      </c>
      <c r="CB19" s="493">
        <v>0</v>
      </c>
      <c r="CC19" s="493">
        <v>0</v>
      </c>
      <c r="CD19" s="493">
        <v>0</v>
      </c>
      <c r="CE19" s="493">
        <v>48309.66</v>
      </c>
      <c r="CF19" s="493">
        <v>12670.8</v>
      </c>
      <c r="CG19" s="493">
        <v>0</v>
      </c>
      <c r="CH19" s="493">
        <v>0</v>
      </c>
      <c r="CI19" s="493">
        <v>0</v>
      </c>
      <c r="CJ19" s="495">
        <f t="shared" si="0"/>
        <v>48309.66</v>
      </c>
      <c r="CK19" s="495">
        <f t="shared" si="1"/>
        <v>12670.8</v>
      </c>
      <c r="CL19" s="495">
        <f t="shared" si="2"/>
        <v>48309.66</v>
      </c>
      <c r="CM19" s="573">
        <f t="shared" si="3"/>
        <v>3233721.8100000005</v>
      </c>
      <c r="CN19" s="573">
        <f t="shared" si="4"/>
        <v>3330297.15</v>
      </c>
      <c r="CO19" s="573">
        <f t="shared" si="5"/>
        <v>2674904.69</v>
      </c>
      <c r="CP19" s="573">
        <f t="shared" si="6"/>
        <v>-96575.339999999385</v>
      </c>
    </row>
    <row r="20" spans="1:94" ht="14.25" customHeight="1">
      <c r="A20" s="491">
        <v>302</v>
      </c>
      <c r="B20" s="491">
        <v>2023</v>
      </c>
      <c r="C20" s="492" t="s">
        <v>597</v>
      </c>
      <c r="D20" s="491" t="s">
        <v>594</v>
      </c>
      <c r="E20" s="491"/>
      <c r="F20" s="491" t="s">
        <v>588</v>
      </c>
      <c r="G20" s="491">
        <v>0</v>
      </c>
      <c r="H20" s="491">
        <v>0</v>
      </c>
      <c r="I20" s="491" t="s">
        <v>717</v>
      </c>
      <c r="J20" s="491" t="s">
        <v>718</v>
      </c>
      <c r="K20" s="491" t="s">
        <v>591</v>
      </c>
      <c r="L20" s="491" t="s">
        <v>592</v>
      </c>
      <c r="M20" s="491" t="s">
        <v>591</v>
      </c>
      <c r="N20" s="491" t="s">
        <v>593</v>
      </c>
      <c r="O20" s="491" t="s">
        <v>188</v>
      </c>
      <c r="P20" s="491" t="s">
        <v>188</v>
      </c>
      <c r="Q20" s="493">
        <v>107248</v>
      </c>
      <c r="R20" s="493">
        <v>0</v>
      </c>
      <c r="S20" s="493">
        <v>21245</v>
      </c>
      <c r="T20" s="493">
        <v>2592832.8199999998</v>
      </c>
      <c r="U20" s="493">
        <v>0</v>
      </c>
      <c r="V20" s="493">
        <v>187572.47</v>
      </c>
      <c r="W20" s="493">
        <v>0</v>
      </c>
      <c r="X20" s="493">
        <v>232800</v>
      </c>
      <c r="Y20" s="493">
        <v>0</v>
      </c>
      <c r="Z20" s="493">
        <v>169233.45</v>
      </c>
      <c r="AA20" s="493">
        <v>6657</v>
      </c>
      <c r="AB20" s="493">
        <v>11015.56</v>
      </c>
      <c r="AC20" s="493">
        <v>13122.83</v>
      </c>
      <c r="AD20" s="493">
        <v>0</v>
      </c>
      <c r="AE20" s="493">
        <v>0</v>
      </c>
      <c r="AF20" s="493">
        <v>12795.72</v>
      </c>
      <c r="AG20" s="493">
        <v>2791.63</v>
      </c>
      <c r="AH20" s="493">
        <v>0</v>
      </c>
      <c r="AI20" s="493">
        <v>0</v>
      </c>
      <c r="AJ20" s="493">
        <v>0</v>
      </c>
      <c r="AK20" s="493">
        <v>0</v>
      </c>
      <c r="AL20" s="493">
        <v>0</v>
      </c>
      <c r="AM20" s="493">
        <v>40402</v>
      </c>
      <c r="AN20" s="493">
        <v>68912</v>
      </c>
      <c r="AO20" s="493">
        <v>1258790.81</v>
      </c>
      <c r="AP20" s="493">
        <v>0</v>
      </c>
      <c r="AQ20" s="493">
        <v>842110.32</v>
      </c>
      <c r="AR20" s="493">
        <v>81741.05</v>
      </c>
      <c r="AS20" s="493">
        <v>236373.54</v>
      </c>
      <c r="AT20" s="493">
        <v>0</v>
      </c>
      <c r="AU20" s="493">
        <v>36057.47</v>
      </c>
      <c r="AV20" s="493">
        <v>19362.02</v>
      </c>
      <c r="AW20" s="493">
        <v>3803.7</v>
      </c>
      <c r="AX20" s="493">
        <v>705.5</v>
      </c>
      <c r="AY20" s="493">
        <v>0</v>
      </c>
      <c r="AZ20" s="493">
        <v>32322.03</v>
      </c>
      <c r="BA20" s="493">
        <v>9353</v>
      </c>
      <c r="BB20" s="493">
        <v>73131.520000000004</v>
      </c>
      <c r="BC20" s="493">
        <v>15831.77</v>
      </c>
      <c r="BD20" s="493">
        <v>105818.25</v>
      </c>
      <c r="BE20" s="493">
        <v>23952</v>
      </c>
      <c r="BF20" s="493">
        <v>7406.59</v>
      </c>
      <c r="BG20" s="493">
        <v>100867.25</v>
      </c>
      <c r="BH20" s="493">
        <v>21233.65</v>
      </c>
      <c r="BI20" s="493">
        <v>0</v>
      </c>
      <c r="BJ20" s="493">
        <v>15920.74</v>
      </c>
      <c r="BK20" s="493">
        <v>16998.62</v>
      </c>
      <c r="BL20" s="493">
        <v>12666.09</v>
      </c>
      <c r="BM20" s="493">
        <v>160080.51999999999</v>
      </c>
      <c r="BN20" s="493">
        <v>92713.63</v>
      </c>
      <c r="BO20" s="493">
        <v>210425.5</v>
      </c>
      <c r="BP20" s="493">
        <v>36477.18</v>
      </c>
      <c r="BQ20" s="493">
        <v>0</v>
      </c>
      <c r="BR20" s="493">
        <v>0</v>
      </c>
      <c r="BS20" s="493">
        <v>0</v>
      </c>
      <c r="BT20" s="493">
        <v>0</v>
      </c>
      <c r="BU20" s="493">
        <v>0</v>
      </c>
      <c r="BV20" s="494">
        <v>9339.25</v>
      </c>
      <c r="BW20" s="493">
        <v>0</v>
      </c>
      <c r="BX20" s="493">
        <v>0</v>
      </c>
      <c r="BY20" s="493">
        <v>6000</v>
      </c>
      <c r="BZ20" s="493">
        <v>0</v>
      </c>
      <c r="CA20" s="493">
        <v>21883</v>
      </c>
      <c r="CB20" s="493">
        <v>0</v>
      </c>
      <c r="CC20" s="493">
        <v>0</v>
      </c>
      <c r="CD20" s="493">
        <v>0</v>
      </c>
      <c r="CE20" s="493">
        <v>31240.73</v>
      </c>
      <c r="CF20" s="493">
        <v>8701.25</v>
      </c>
      <c r="CG20" s="493">
        <v>0</v>
      </c>
      <c r="CH20" s="493">
        <v>0</v>
      </c>
      <c r="CI20" s="493">
        <v>0</v>
      </c>
      <c r="CJ20" s="495">
        <f t="shared" si="0"/>
        <v>31240.73</v>
      </c>
      <c r="CK20" s="495">
        <f t="shared" si="1"/>
        <v>8701.25</v>
      </c>
      <c r="CL20" s="495">
        <f t="shared" si="2"/>
        <v>31240.73</v>
      </c>
      <c r="CM20" s="573">
        <f t="shared" si="3"/>
        <v>3338135.4800000004</v>
      </c>
      <c r="CN20" s="573">
        <f t="shared" si="4"/>
        <v>3414142.75</v>
      </c>
      <c r="CO20" s="573">
        <f t="shared" si="5"/>
        <v>2780405.29</v>
      </c>
      <c r="CP20" s="573">
        <f t="shared" si="6"/>
        <v>-76007.269999999553</v>
      </c>
    </row>
    <row r="21" spans="1:94" ht="27.6">
      <c r="A21" s="491">
        <v>302</v>
      </c>
      <c r="B21" s="491">
        <v>2024</v>
      </c>
      <c r="C21" s="492" t="s">
        <v>421</v>
      </c>
      <c r="D21" s="491" t="s">
        <v>594</v>
      </c>
      <c r="E21" s="491"/>
      <c r="F21" s="491" t="s">
        <v>588</v>
      </c>
      <c r="G21" s="491">
        <v>0</v>
      </c>
      <c r="H21" s="491">
        <v>1</v>
      </c>
      <c r="I21" s="491" t="s">
        <v>717</v>
      </c>
      <c r="J21" s="491" t="s">
        <v>718</v>
      </c>
      <c r="K21" s="491" t="s">
        <v>591</v>
      </c>
      <c r="L21" s="491" t="s">
        <v>592</v>
      </c>
      <c r="M21" s="491" t="s">
        <v>591</v>
      </c>
      <c r="N21" s="491" t="s">
        <v>593</v>
      </c>
      <c r="O21" s="491" t="s">
        <v>188</v>
      </c>
      <c r="P21" s="491" t="s">
        <v>188</v>
      </c>
      <c r="Q21" s="493">
        <v>-168469</v>
      </c>
      <c r="R21" s="493">
        <v>10888</v>
      </c>
      <c r="S21" s="493">
        <v>21150</v>
      </c>
      <c r="T21" s="493">
        <v>1531582.63</v>
      </c>
      <c r="U21" s="493">
        <v>0</v>
      </c>
      <c r="V21" s="493">
        <v>104288</v>
      </c>
      <c r="W21" s="493">
        <v>0</v>
      </c>
      <c r="X21" s="493">
        <v>126760.52</v>
      </c>
      <c r="Y21" s="493">
        <v>35200</v>
      </c>
      <c r="Z21" s="493">
        <v>32621.07</v>
      </c>
      <c r="AA21" s="493">
        <v>14064.9</v>
      </c>
      <c r="AB21" s="493">
        <v>4544.58</v>
      </c>
      <c r="AC21" s="493">
        <v>6258.54</v>
      </c>
      <c r="AD21" s="493">
        <v>0</v>
      </c>
      <c r="AE21" s="493">
        <v>0</v>
      </c>
      <c r="AF21" s="493">
        <v>98926.32</v>
      </c>
      <c r="AG21" s="493">
        <v>9271.25</v>
      </c>
      <c r="AH21" s="493">
        <v>0</v>
      </c>
      <c r="AI21" s="493">
        <v>201514.3</v>
      </c>
      <c r="AJ21" s="493">
        <v>0</v>
      </c>
      <c r="AK21" s="493">
        <v>0</v>
      </c>
      <c r="AL21" s="493">
        <v>0</v>
      </c>
      <c r="AM21" s="493">
        <v>24074.880000000001</v>
      </c>
      <c r="AN21" s="493">
        <v>35849</v>
      </c>
      <c r="AO21" s="493">
        <v>703642.86</v>
      </c>
      <c r="AP21" s="493">
        <v>0</v>
      </c>
      <c r="AQ21" s="493">
        <v>356856.37</v>
      </c>
      <c r="AR21" s="493">
        <v>35977.11</v>
      </c>
      <c r="AS21" s="493">
        <v>98989.82</v>
      </c>
      <c r="AT21" s="493">
        <v>0</v>
      </c>
      <c r="AU21" s="493">
        <v>310231.08</v>
      </c>
      <c r="AV21" s="493">
        <v>6658.41</v>
      </c>
      <c r="AW21" s="493">
        <v>1056</v>
      </c>
      <c r="AX21" s="493">
        <v>335.32</v>
      </c>
      <c r="AY21" s="493">
        <v>0</v>
      </c>
      <c r="AZ21" s="493">
        <v>5274.65</v>
      </c>
      <c r="BA21" s="493">
        <v>2898.26</v>
      </c>
      <c r="BB21" s="493">
        <v>34908.839999999997</v>
      </c>
      <c r="BC21" s="493">
        <v>4438.67</v>
      </c>
      <c r="BD21" s="493">
        <v>65373.85</v>
      </c>
      <c r="BE21" s="493">
        <v>50714.82</v>
      </c>
      <c r="BF21" s="493">
        <v>14638.56</v>
      </c>
      <c r="BG21" s="493">
        <v>36324.5</v>
      </c>
      <c r="BH21" s="493">
        <v>17502.18</v>
      </c>
      <c r="BI21" s="493">
        <v>0</v>
      </c>
      <c r="BJ21" s="493">
        <v>11964.18</v>
      </c>
      <c r="BK21" s="493">
        <v>8178.28</v>
      </c>
      <c r="BL21" s="493">
        <v>3188.55</v>
      </c>
      <c r="BM21" s="493">
        <v>81214.47</v>
      </c>
      <c r="BN21" s="493">
        <v>8094.5</v>
      </c>
      <c r="BO21" s="493">
        <v>66678.789999999994</v>
      </c>
      <c r="BP21" s="493">
        <v>52130.46</v>
      </c>
      <c r="BQ21" s="493">
        <v>0</v>
      </c>
      <c r="BR21" s="493">
        <v>0</v>
      </c>
      <c r="BS21" s="493">
        <v>0</v>
      </c>
      <c r="BT21" s="493">
        <v>128310.97</v>
      </c>
      <c r="BU21" s="493">
        <v>30113.84</v>
      </c>
      <c r="BV21" s="494">
        <v>6663.1</v>
      </c>
      <c r="BW21" s="493">
        <v>0</v>
      </c>
      <c r="BX21" s="493">
        <v>0</v>
      </c>
      <c r="BY21" s="493">
        <v>6000</v>
      </c>
      <c r="BZ21" s="493">
        <v>0</v>
      </c>
      <c r="CA21" s="493">
        <v>0</v>
      </c>
      <c r="CB21" s="493">
        <v>0</v>
      </c>
      <c r="CC21" s="493">
        <v>0</v>
      </c>
      <c r="CD21" s="493">
        <v>0</v>
      </c>
      <c r="CE21" s="493">
        <v>-122297.84</v>
      </c>
      <c r="CF21" s="493">
        <v>27813.1</v>
      </c>
      <c r="CG21" s="493">
        <v>0</v>
      </c>
      <c r="CH21" s="493">
        <v>53977.49</v>
      </c>
      <c r="CI21" s="493">
        <v>0</v>
      </c>
      <c r="CJ21" s="495">
        <f t="shared" si="0"/>
        <v>-68320.350000000006</v>
      </c>
      <c r="CK21" s="495">
        <f t="shared" si="1"/>
        <v>27813.1</v>
      </c>
      <c r="CL21" s="495">
        <f t="shared" si="2"/>
        <v>-122297.84</v>
      </c>
      <c r="CM21" s="573">
        <f t="shared" si="3"/>
        <v>2023441.69</v>
      </c>
      <c r="CN21" s="573">
        <f t="shared" si="4"/>
        <v>1977270.5300000003</v>
      </c>
      <c r="CO21" s="573">
        <f t="shared" si="5"/>
        <v>1635870.63</v>
      </c>
      <c r="CP21" s="573">
        <f t="shared" si="6"/>
        <v>46171.159999999683</v>
      </c>
    </row>
    <row r="22" spans="1:94" ht="14.25" customHeight="1">
      <c r="A22" s="491">
        <v>302</v>
      </c>
      <c r="B22" s="491">
        <v>2025</v>
      </c>
      <c r="C22" s="492" t="s">
        <v>62</v>
      </c>
      <c r="D22" s="491" t="s">
        <v>594</v>
      </c>
      <c r="E22" s="491"/>
      <c r="F22" s="491" t="s">
        <v>588</v>
      </c>
      <c r="G22" s="491">
        <v>0</v>
      </c>
      <c r="H22" s="491">
        <v>0</v>
      </c>
      <c r="I22" s="491" t="s">
        <v>717</v>
      </c>
      <c r="J22" s="491" t="s">
        <v>718</v>
      </c>
      <c r="K22" s="491" t="s">
        <v>591</v>
      </c>
      <c r="L22" s="491" t="s">
        <v>592</v>
      </c>
      <c r="M22" s="491" t="s">
        <v>591</v>
      </c>
      <c r="N22" s="491" t="s">
        <v>593</v>
      </c>
      <c r="O22" s="491" t="s">
        <v>188</v>
      </c>
      <c r="P22" s="491" t="s">
        <v>188</v>
      </c>
      <c r="Q22" s="493">
        <v>71087</v>
      </c>
      <c r="R22" s="493">
        <v>0</v>
      </c>
      <c r="S22" s="493">
        <v>19874</v>
      </c>
      <c r="T22" s="493">
        <v>1577309.42</v>
      </c>
      <c r="U22" s="493">
        <v>0</v>
      </c>
      <c r="V22" s="493">
        <v>62797.4</v>
      </c>
      <c r="W22" s="493">
        <v>0</v>
      </c>
      <c r="X22" s="493">
        <v>21589.99</v>
      </c>
      <c r="Y22" s="493">
        <v>400</v>
      </c>
      <c r="Z22" s="493">
        <v>61596.99</v>
      </c>
      <c r="AA22" s="493">
        <v>45806.79</v>
      </c>
      <c r="AB22" s="493">
        <v>28247.82</v>
      </c>
      <c r="AC22" s="493">
        <v>13997.26</v>
      </c>
      <c r="AD22" s="493">
        <v>0</v>
      </c>
      <c r="AE22" s="493">
        <v>0</v>
      </c>
      <c r="AF22" s="493">
        <v>78640.59</v>
      </c>
      <c r="AG22" s="493">
        <v>36388.61</v>
      </c>
      <c r="AH22" s="493">
        <v>0</v>
      </c>
      <c r="AI22" s="493">
        <v>0</v>
      </c>
      <c r="AJ22" s="493">
        <v>0</v>
      </c>
      <c r="AK22" s="493">
        <v>0</v>
      </c>
      <c r="AL22" s="493">
        <v>0</v>
      </c>
      <c r="AM22" s="493">
        <v>2973.12</v>
      </c>
      <c r="AN22" s="493">
        <v>78960</v>
      </c>
      <c r="AO22" s="493">
        <v>996204.37</v>
      </c>
      <c r="AP22" s="493">
        <v>24311.56</v>
      </c>
      <c r="AQ22" s="493">
        <v>297875.67</v>
      </c>
      <c r="AR22" s="493">
        <v>86398.76</v>
      </c>
      <c r="AS22" s="493">
        <v>71246.83</v>
      </c>
      <c r="AT22" s="493">
        <v>0</v>
      </c>
      <c r="AU22" s="493">
        <v>44832.6</v>
      </c>
      <c r="AV22" s="493">
        <v>9014.7099999999991</v>
      </c>
      <c r="AW22" s="493">
        <v>2906.51</v>
      </c>
      <c r="AX22" s="493">
        <v>532.86</v>
      </c>
      <c r="AY22" s="493">
        <v>0</v>
      </c>
      <c r="AZ22" s="493">
        <v>4616.21</v>
      </c>
      <c r="BA22" s="493">
        <v>0</v>
      </c>
      <c r="BB22" s="493">
        <v>2444.6</v>
      </c>
      <c r="BC22" s="493">
        <v>3966.8</v>
      </c>
      <c r="BD22" s="493">
        <v>56119.839999999997</v>
      </c>
      <c r="BE22" s="493">
        <v>34048</v>
      </c>
      <c r="BF22" s="493">
        <v>5529.85</v>
      </c>
      <c r="BG22" s="493">
        <v>101659.13</v>
      </c>
      <c r="BH22" s="493">
        <v>7183.78</v>
      </c>
      <c r="BI22" s="493">
        <v>0</v>
      </c>
      <c r="BJ22" s="493">
        <v>9364.23</v>
      </c>
      <c r="BK22" s="493">
        <v>12483.69</v>
      </c>
      <c r="BL22" s="493">
        <v>6112.92</v>
      </c>
      <c r="BM22" s="493">
        <v>110761.36</v>
      </c>
      <c r="BN22" s="493">
        <v>10990.3</v>
      </c>
      <c r="BO22" s="493">
        <v>69711.88</v>
      </c>
      <c r="BP22" s="493">
        <v>34484.06</v>
      </c>
      <c r="BQ22" s="493">
        <v>0</v>
      </c>
      <c r="BR22" s="493">
        <v>0</v>
      </c>
      <c r="BS22" s="493">
        <v>23065</v>
      </c>
      <c r="BT22" s="493">
        <v>0</v>
      </c>
      <c r="BU22" s="493">
        <v>0</v>
      </c>
      <c r="BV22" s="494">
        <v>7566.25</v>
      </c>
      <c r="BW22" s="493">
        <v>0</v>
      </c>
      <c r="BX22" s="493">
        <v>23065</v>
      </c>
      <c r="BY22" s="493">
        <v>6000</v>
      </c>
      <c r="BZ22" s="493">
        <v>0</v>
      </c>
      <c r="CA22" s="493">
        <v>20999.99</v>
      </c>
      <c r="CB22" s="493">
        <v>0</v>
      </c>
      <c r="CC22" s="493">
        <v>6260</v>
      </c>
      <c r="CD22" s="493">
        <v>0</v>
      </c>
      <c r="CE22" s="493">
        <v>53929.47</v>
      </c>
      <c r="CF22" s="493">
        <v>23245.26</v>
      </c>
      <c r="CG22" s="493">
        <v>0</v>
      </c>
      <c r="CH22" s="493">
        <v>0</v>
      </c>
      <c r="CI22" s="493">
        <v>0</v>
      </c>
      <c r="CJ22" s="495">
        <f t="shared" si="0"/>
        <v>53929.47</v>
      </c>
      <c r="CK22" s="495">
        <f t="shared" si="1"/>
        <v>23245.26</v>
      </c>
      <c r="CL22" s="495">
        <f t="shared" si="2"/>
        <v>53929.47</v>
      </c>
      <c r="CM22" s="573">
        <f t="shared" si="3"/>
        <v>2008707.9900000002</v>
      </c>
      <c r="CN22" s="573">
        <f t="shared" si="4"/>
        <v>2025865.5200000009</v>
      </c>
      <c r="CO22" s="573">
        <f t="shared" si="5"/>
        <v>1640106.8199999998</v>
      </c>
      <c r="CP22" s="573">
        <f t="shared" si="6"/>
        <v>-17157.530000000726</v>
      </c>
    </row>
    <row r="23" spans="1:94" ht="14.25" customHeight="1">
      <c r="A23" s="491">
        <v>302</v>
      </c>
      <c r="B23" s="491">
        <v>2026</v>
      </c>
      <c r="C23" s="492" t="s">
        <v>270</v>
      </c>
      <c r="D23" s="491" t="s">
        <v>594</v>
      </c>
      <c r="E23" s="491"/>
      <c r="F23" s="491" t="s">
        <v>588</v>
      </c>
      <c r="G23" s="491">
        <v>0</v>
      </c>
      <c r="H23" s="491">
        <v>1</v>
      </c>
      <c r="I23" s="491" t="s">
        <v>717</v>
      </c>
      <c r="J23" s="491" t="s">
        <v>718</v>
      </c>
      <c r="K23" s="491" t="s">
        <v>591</v>
      </c>
      <c r="L23" s="491" t="s">
        <v>592</v>
      </c>
      <c r="M23" s="491" t="s">
        <v>591</v>
      </c>
      <c r="N23" s="491" t="s">
        <v>593</v>
      </c>
      <c r="O23" s="491" t="s">
        <v>188</v>
      </c>
      <c r="P23" s="491" t="s">
        <v>188</v>
      </c>
      <c r="Q23" s="493">
        <v>-256645</v>
      </c>
      <c r="R23" s="493">
        <v>0</v>
      </c>
      <c r="S23" s="493">
        <v>18750</v>
      </c>
      <c r="T23" s="493">
        <v>2685483.57</v>
      </c>
      <c r="U23" s="493">
        <v>0</v>
      </c>
      <c r="V23" s="493">
        <v>109308.82</v>
      </c>
      <c r="W23" s="493">
        <v>0</v>
      </c>
      <c r="X23" s="493">
        <v>114879.99</v>
      </c>
      <c r="Y23" s="493">
        <v>0</v>
      </c>
      <c r="Z23" s="493">
        <v>79963</v>
      </c>
      <c r="AA23" s="493">
        <v>62058.93</v>
      </c>
      <c r="AB23" s="493">
        <v>1270.3800000000001</v>
      </c>
      <c r="AC23" s="493">
        <v>18520.47</v>
      </c>
      <c r="AD23" s="493">
        <v>0</v>
      </c>
      <c r="AE23" s="493">
        <v>0</v>
      </c>
      <c r="AF23" s="493">
        <v>200381.27</v>
      </c>
      <c r="AG23" s="493">
        <v>13967.73</v>
      </c>
      <c r="AH23" s="493">
        <v>0</v>
      </c>
      <c r="AI23" s="493">
        <v>0</v>
      </c>
      <c r="AJ23" s="493">
        <v>0</v>
      </c>
      <c r="AK23" s="493">
        <v>0</v>
      </c>
      <c r="AL23" s="493">
        <v>0</v>
      </c>
      <c r="AM23" s="493">
        <v>19798.12</v>
      </c>
      <c r="AN23" s="493">
        <v>79607</v>
      </c>
      <c r="AO23" s="493">
        <v>1333139.8400000001</v>
      </c>
      <c r="AP23" s="493">
        <v>914.38</v>
      </c>
      <c r="AQ23" s="493">
        <v>704942.06</v>
      </c>
      <c r="AR23" s="493">
        <v>54890.13</v>
      </c>
      <c r="AS23" s="493">
        <v>151366.29</v>
      </c>
      <c r="AT23" s="493">
        <v>0</v>
      </c>
      <c r="AU23" s="493">
        <v>98265.79</v>
      </c>
      <c r="AV23" s="493">
        <v>17005.88</v>
      </c>
      <c r="AW23" s="493">
        <v>2641.87</v>
      </c>
      <c r="AX23" s="493">
        <v>751.98</v>
      </c>
      <c r="AY23" s="493">
        <v>0</v>
      </c>
      <c r="AZ23" s="493">
        <v>31228.560000000001</v>
      </c>
      <c r="BA23" s="493">
        <v>4426.7</v>
      </c>
      <c r="BB23" s="493">
        <v>66733.16</v>
      </c>
      <c r="BC23" s="493">
        <v>4905.3</v>
      </c>
      <c r="BD23" s="493">
        <v>108581.75999999999</v>
      </c>
      <c r="BE23" s="493">
        <v>42997.34</v>
      </c>
      <c r="BF23" s="493">
        <v>16305.09</v>
      </c>
      <c r="BG23" s="493">
        <v>95820.67</v>
      </c>
      <c r="BH23" s="493">
        <v>17478.849999999999</v>
      </c>
      <c r="BI23" s="493">
        <v>0</v>
      </c>
      <c r="BJ23" s="493">
        <v>21069.06</v>
      </c>
      <c r="BK23" s="493">
        <v>18488.560000000001</v>
      </c>
      <c r="BL23" s="493">
        <v>717.75</v>
      </c>
      <c r="BM23" s="493">
        <v>146080.37</v>
      </c>
      <c r="BN23" s="493">
        <v>79840.06</v>
      </c>
      <c r="BO23" s="493">
        <v>154387.63</v>
      </c>
      <c r="BP23" s="493">
        <v>54725.82</v>
      </c>
      <c r="BQ23" s="493">
        <v>0</v>
      </c>
      <c r="BR23" s="493">
        <v>0</v>
      </c>
      <c r="BS23" s="493">
        <v>0</v>
      </c>
      <c r="BT23" s="493">
        <v>0</v>
      </c>
      <c r="BU23" s="493">
        <v>0</v>
      </c>
      <c r="BV23" s="494">
        <v>9672.25</v>
      </c>
      <c r="BW23" s="493">
        <v>0</v>
      </c>
      <c r="BX23" s="493">
        <v>0</v>
      </c>
      <c r="BY23" s="493">
        <v>6000</v>
      </c>
      <c r="BZ23" s="493">
        <v>0</v>
      </c>
      <c r="CA23" s="493">
        <v>0</v>
      </c>
      <c r="CB23" s="493">
        <v>7819</v>
      </c>
      <c r="CC23" s="493">
        <v>0</v>
      </c>
      <c r="CD23" s="493">
        <v>0</v>
      </c>
      <c r="CE23" s="493">
        <v>-99110.62</v>
      </c>
      <c r="CF23" s="493">
        <v>20603.25</v>
      </c>
      <c r="CG23" s="493">
        <v>0</v>
      </c>
      <c r="CH23" s="493">
        <v>0</v>
      </c>
      <c r="CI23" s="493">
        <v>0</v>
      </c>
      <c r="CJ23" s="495">
        <f t="shared" si="0"/>
        <v>-99110.62</v>
      </c>
      <c r="CK23" s="495">
        <f t="shared" si="1"/>
        <v>20603.25</v>
      </c>
      <c r="CL23" s="495">
        <f t="shared" si="2"/>
        <v>-99110.62</v>
      </c>
      <c r="CM23" s="573">
        <f t="shared" si="3"/>
        <v>3385239.2800000003</v>
      </c>
      <c r="CN23" s="573">
        <f t="shared" si="4"/>
        <v>3227704.8999999994</v>
      </c>
      <c r="CO23" s="573">
        <f t="shared" si="5"/>
        <v>2794792.3899999997</v>
      </c>
      <c r="CP23" s="573">
        <f t="shared" si="6"/>
        <v>157534.38000000082</v>
      </c>
    </row>
    <row r="24" spans="1:94" ht="14.25" customHeight="1">
      <c r="A24" s="491">
        <v>302</v>
      </c>
      <c r="B24" s="491">
        <v>2027</v>
      </c>
      <c r="C24" s="492" t="s">
        <v>65</v>
      </c>
      <c r="D24" s="491" t="s">
        <v>594</v>
      </c>
      <c r="E24" s="491"/>
      <c r="F24" s="491" t="s">
        <v>588</v>
      </c>
      <c r="G24" s="491">
        <v>0</v>
      </c>
      <c r="H24" s="491">
        <v>1</v>
      </c>
      <c r="I24" s="491" t="s">
        <v>717</v>
      </c>
      <c r="J24" s="491" t="s">
        <v>718</v>
      </c>
      <c r="K24" s="491" t="s">
        <v>591</v>
      </c>
      <c r="L24" s="491" t="s">
        <v>592</v>
      </c>
      <c r="M24" s="491" t="s">
        <v>591</v>
      </c>
      <c r="N24" s="491" t="s">
        <v>593</v>
      </c>
      <c r="O24" s="491" t="s">
        <v>188</v>
      </c>
      <c r="P24" s="491" t="s">
        <v>188</v>
      </c>
      <c r="Q24" s="493">
        <v>-61244</v>
      </c>
      <c r="R24" s="493">
        <v>0</v>
      </c>
      <c r="S24" s="493">
        <v>20032</v>
      </c>
      <c r="T24" s="493">
        <v>1801594.14</v>
      </c>
      <c r="U24" s="493">
        <v>0</v>
      </c>
      <c r="V24" s="493">
        <v>113971.09</v>
      </c>
      <c r="W24" s="493">
        <v>0</v>
      </c>
      <c r="X24" s="493">
        <v>137800</v>
      </c>
      <c r="Y24" s="493">
        <v>4944.42</v>
      </c>
      <c r="Z24" s="493">
        <v>100689.72</v>
      </c>
      <c r="AA24" s="493">
        <v>16205</v>
      </c>
      <c r="AB24" s="493">
        <v>16657.259999999998</v>
      </c>
      <c r="AC24" s="493">
        <v>22123.32</v>
      </c>
      <c r="AD24" s="493">
        <v>0</v>
      </c>
      <c r="AE24" s="493">
        <v>0</v>
      </c>
      <c r="AF24" s="493">
        <v>37913.85</v>
      </c>
      <c r="AG24" s="493">
        <v>10557.28</v>
      </c>
      <c r="AH24" s="493">
        <v>0</v>
      </c>
      <c r="AI24" s="493">
        <v>0</v>
      </c>
      <c r="AJ24" s="493">
        <v>0</v>
      </c>
      <c r="AK24" s="493">
        <v>0</v>
      </c>
      <c r="AL24" s="493">
        <v>0</v>
      </c>
      <c r="AM24" s="493">
        <v>22081.87</v>
      </c>
      <c r="AN24" s="493">
        <v>19293</v>
      </c>
      <c r="AO24" s="493">
        <v>1121208.48</v>
      </c>
      <c r="AP24" s="493">
        <v>0</v>
      </c>
      <c r="AQ24" s="493">
        <v>320429.28000000003</v>
      </c>
      <c r="AR24" s="493">
        <v>44760.44</v>
      </c>
      <c r="AS24" s="493">
        <v>106377.67</v>
      </c>
      <c r="AT24" s="493">
        <v>0</v>
      </c>
      <c r="AU24" s="493">
        <v>26295.119999999999</v>
      </c>
      <c r="AV24" s="493">
        <v>10459.950000000001</v>
      </c>
      <c r="AW24" s="493">
        <v>2024.77</v>
      </c>
      <c r="AX24" s="493">
        <v>8943.6200000000008</v>
      </c>
      <c r="AY24" s="493">
        <v>0</v>
      </c>
      <c r="AZ24" s="493">
        <v>13733.69</v>
      </c>
      <c r="BA24" s="493">
        <v>3286.68</v>
      </c>
      <c r="BB24" s="493">
        <v>28402.39</v>
      </c>
      <c r="BC24" s="493">
        <v>3924.81</v>
      </c>
      <c r="BD24" s="493">
        <v>56323.74</v>
      </c>
      <c r="BE24" s="493">
        <v>19542.8</v>
      </c>
      <c r="BF24" s="493">
        <v>11609.49</v>
      </c>
      <c r="BG24" s="493">
        <v>66610.23</v>
      </c>
      <c r="BH24" s="493">
        <v>15954.65</v>
      </c>
      <c r="BI24" s="493">
        <v>0</v>
      </c>
      <c r="BJ24" s="493">
        <v>17534.93</v>
      </c>
      <c r="BK24" s="493">
        <v>13314.9</v>
      </c>
      <c r="BL24" s="493">
        <v>9808.76</v>
      </c>
      <c r="BM24" s="493">
        <v>99768.35</v>
      </c>
      <c r="BN24" s="493">
        <v>80392.62</v>
      </c>
      <c r="BO24" s="493">
        <v>223355.94</v>
      </c>
      <c r="BP24" s="493">
        <v>32726.959999999999</v>
      </c>
      <c r="BQ24" s="493">
        <v>0</v>
      </c>
      <c r="BR24" s="493">
        <v>0</v>
      </c>
      <c r="BS24" s="493">
        <v>0</v>
      </c>
      <c r="BT24" s="493">
        <v>0</v>
      </c>
      <c r="BU24" s="493">
        <v>0</v>
      </c>
      <c r="BV24" s="494">
        <v>7723.75</v>
      </c>
      <c r="BW24" s="493">
        <v>0</v>
      </c>
      <c r="BX24" s="493">
        <v>0</v>
      </c>
      <c r="BY24" s="493">
        <v>6000</v>
      </c>
      <c r="BZ24" s="493">
        <v>0</v>
      </c>
      <c r="CA24" s="493">
        <v>0</v>
      </c>
      <c r="CB24" s="493">
        <v>0</v>
      </c>
      <c r="CC24" s="493">
        <v>0</v>
      </c>
      <c r="CD24" s="493">
        <v>0</v>
      </c>
      <c r="CE24" s="493">
        <v>-94203.32</v>
      </c>
      <c r="CF24" s="493">
        <v>27755.75</v>
      </c>
      <c r="CG24" s="493">
        <v>0</v>
      </c>
      <c r="CH24" s="493">
        <v>0</v>
      </c>
      <c r="CI24" s="493">
        <v>0</v>
      </c>
      <c r="CJ24" s="495">
        <f t="shared" si="0"/>
        <v>-94203.32</v>
      </c>
      <c r="CK24" s="495">
        <f t="shared" si="1"/>
        <v>27755.75</v>
      </c>
      <c r="CL24" s="495">
        <f t="shared" si="2"/>
        <v>-94203.32</v>
      </c>
      <c r="CM24" s="573">
        <f t="shared" si="3"/>
        <v>2303830.9499999997</v>
      </c>
      <c r="CN24" s="573">
        <f t="shared" si="4"/>
        <v>2336790.2699999996</v>
      </c>
      <c r="CO24" s="573">
        <f t="shared" si="5"/>
        <v>1915565.23</v>
      </c>
      <c r="CP24" s="573">
        <f t="shared" si="6"/>
        <v>-32959.319999999832</v>
      </c>
    </row>
    <row r="25" spans="1:94" ht="14.25" customHeight="1">
      <c r="A25" s="491">
        <v>302</v>
      </c>
      <c r="B25" s="491">
        <v>2028</v>
      </c>
      <c r="C25" s="492" t="s">
        <v>64</v>
      </c>
      <c r="D25" s="491" t="s">
        <v>594</v>
      </c>
      <c r="E25" s="491"/>
      <c r="F25" s="491" t="s">
        <v>588</v>
      </c>
      <c r="G25" s="491">
        <v>0</v>
      </c>
      <c r="H25" s="491">
        <v>1</v>
      </c>
      <c r="I25" s="491" t="s">
        <v>717</v>
      </c>
      <c r="J25" s="491" t="s">
        <v>718</v>
      </c>
      <c r="K25" s="491" t="s">
        <v>591</v>
      </c>
      <c r="L25" s="491" t="s">
        <v>592</v>
      </c>
      <c r="M25" s="491" t="s">
        <v>591</v>
      </c>
      <c r="N25" s="491" t="s">
        <v>593</v>
      </c>
      <c r="O25" s="491" t="s">
        <v>188</v>
      </c>
      <c r="P25" s="491" t="s">
        <v>188</v>
      </c>
      <c r="Q25" s="493">
        <v>-174959</v>
      </c>
      <c r="R25" s="493">
        <v>0</v>
      </c>
      <c r="S25" s="493">
        <v>14763</v>
      </c>
      <c r="T25" s="493">
        <v>1410834.31</v>
      </c>
      <c r="U25" s="493">
        <v>0</v>
      </c>
      <c r="V25" s="493">
        <v>111300.38</v>
      </c>
      <c r="W25" s="493">
        <v>0</v>
      </c>
      <c r="X25" s="493">
        <v>77114.990000000005</v>
      </c>
      <c r="Y25" s="493">
        <v>4412.99</v>
      </c>
      <c r="Z25" s="493">
        <v>34963.58</v>
      </c>
      <c r="AA25" s="493">
        <v>13750</v>
      </c>
      <c r="AB25" s="493">
        <v>7825.91</v>
      </c>
      <c r="AC25" s="493">
        <v>492.19</v>
      </c>
      <c r="AD25" s="493">
        <v>1600</v>
      </c>
      <c r="AE25" s="493">
        <v>0</v>
      </c>
      <c r="AF25" s="493">
        <v>7357.95</v>
      </c>
      <c r="AG25" s="493">
        <v>5680.74</v>
      </c>
      <c r="AH25" s="493">
        <v>0</v>
      </c>
      <c r="AI25" s="493">
        <v>0</v>
      </c>
      <c r="AJ25" s="493">
        <v>0</v>
      </c>
      <c r="AK25" s="493">
        <v>0</v>
      </c>
      <c r="AL25" s="493">
        <v>0</v>
      </c>
      <c r="AM25" s="493">
        <v>11424.37</v>
      </c>
      <c r="AN25" s="493">
        <v>94132</v>
      </c>
      <c r="AO25" s="493">
        <v>829220.5</v>
      </c>
      <c r="AP25" s="493">
        <v>586.20000000000005</v>
      </c>
      <c r="AQ25" s="493">
        <v>233633.82</v>
      </c>
      <c r="AR25" s="493">
        <v>44588.23</v>
      </c>
      <c r="AS25" s="493">
        <v>107726.99</v>
      </c>
      <c r="AT25" s="493">
        <v>0</v>
      </c>
      <c r="AU25" s="493">
        <v>37889.339999999997</v>
      </c>
      <c r="AV25" s="493">
        <v>9192.85</v>
      </c>
      <c r="AW25" s="493">
        <v>1517.8</v>
      </c>
      <c r="AX25" s="493">
        <v>7987.54</v>
      </c>
      <c r="AY25" s="493">
        <v>0</v>
      </c>
      <c r="AZ25" s="493">
        <v>23375.87</v>
      </c>
      <c r="BA25" s="493">
        <v>2912.74</v>
      </c>
      <c r="BB25" s="493">
        <v>21316.83</v>
      </c>
      <c r="BC25" s="493">
        <v>2616.54</v>
      </c>
      <c r="BD25" s="493">
        <v>39034.33</v>
      </c>
      <c r="BE25" s="493">
        <v>19542.8</v>
      </c>
      <c r="BF25" s="493">
        <v>9507.25</v>
      </c>
      <c r="BG25" s="493">
        <v>20175.82</v>
      </c>
      <c r="BH25" s="493">
        <v>6712.2</v>
      </c>
      <c r="BI25" s="493">
        <v>0</v>
      </c>
      <c r="BJ25" s="493">
        <v>11237.09</v>
      </c>
      <c r="BK25" s="493">
        <v>9269.1299999999992</v>
      </c>
      <c r="BL25" s="493">
        <v>965.8</v>
      </c>
      <c r="BM25" s="493">
        <v>83748.240000000005</v>
      </c>
      <c r="BN25" s="493">
        <v>67711.08</v>
      </c>
      <c r="BO25" s="493">
        <v>229626.34</v>
      </c>
      <c r="BP25" s="493">
        <v>33007</v>
      </c>
      <c r="BQ25" s="493">
        <v>0</v>
      </c>
      <c r="BR25" s="493">
        <v>0</v>
      </c>
      <c r="BS25" s="493">
        <v>0</v>
      </c>
      <c r="BT25" s="493">
        <v>0</v>
      </c>
      <c r="BU25" s="493">
        <v>0</v>
      </c>
      <c r="BV25" s="494">
        <v>6475</v>
      </c>
      <c r="BW25" s="493">
        <v>13664.65</v>
      </c>
      <c r="BX25" s="493">
        <v>0</v>
      </c>
      <c r="BY25" s="493">
        <v>6000</v>
      </c>
      <c r="BZ25" s="493">
        <v>0</v>
      </c>
      <c r="CA25" s="493">
        <v>0</v>
      </c>
      <c r="CB25" s="493">
        <v>0</v>
      </c>
      <c r="CC25" s="493">
        <v>20106.400000000001</v>
      </c>
      <c r="CD25" s="493">
        <v>0</v>
      </c>
      <c r="CE25" s="493">
        <v>-247171.92</v>
      </c>
      <c r="CF25" s="493">
        <v>14796.25</v>
      </c>
      <c r="CG25" s="493">
        <v>0</v>
      </c>
      <c r="CH25" s="493">
        <v>0</v>
      </c>
      <c r="CI25" s="493">
        <v>0</v>
      </c>
      <c r="CJ25" s="495">
        <f t="shared" si="0"/>
        <v>-247171.92</v>
      </c>
      <c r="CK25" s="495">
        <f t="shared" si="1"/>
        <v>14796.25</v>
      </c>
      <c r="CL25" s="495">
        <f t="shared" si="2"/>
        <v>-247171.92</v>
      </c>
      <c r="CM25" s="573">
        <f t="shared" si="3"/>
        <v>1780889.4099999997</v>
      </c>
      <c r="CN25" s="573">
        <f t="shared" si="4"/>
        <v>1853102.3300000008</v>
      </c>
      <c r="CO25" s="573">
        <f t="shared" si="5"/>
        <v>1522134.69</v>
      </c>
      <c r="CP25" s="573">
        <f t="shared" si="6"/>
        <v>-72212.92000000109</v>
      </c>
    </row>
    <row r="26" spans="1:94" ht="14.25" customHeight="1">
      <c r="A26" s="491">
        <v>302</v>
      </c>
      <c r="B26" s="491">
        <v>2029</v>
      </c>
      <c r="C26" s="492" t="s">
        <v>271</v>
      </c>
      <c r="D26" s="491" t="s">
        <v>586</v>
      </c>
      <c r="E26" s="491" t="s">
        <v>721</v>
      </c>
      <c r="F26" s="491" t="s">
        <v>588</v>
      </c>
      <c r="G26" s="491">
        <v>0</v>
      </c>
      <c r="H26" s="491">
        <v>2</v>
      </c>
      <c r="I26" s="491" t="s">
        <v>717</v>
      </c>
      <c r="J26" s="491" t="s">
        <v>718</v>
      </c>
      <c r="K26" s="491" t="s">
        <v>591</v>
      </c>
      <c r="L26" s="491" t="s">
        <v>592</v>
      </c>
      <c r="M26" s="491" t="s">
        <v>591</v>
      </c>
      <c r="N26" s="491" t="s">
        <v>593</v>
      </c>
      <c r="O26" s="491" t="s">
        <v>188</v>
      </c>
      <c r="P26" s="491" t="s">
        <v>188</v>
      </c>
      <c r="Q26" s="493">
        <v>21927</v>
      </c>
      <c r="R26" s="493">
        <v>0</v>
      </c>
      <c r="S26" s="493">
        <v>50711</v>
      </c>
      <c r="T26" s="493">
        <v>2715656.87</v>
      </c>
      <c r="U26" s="493">
        <v>0</v>
      </c>
      <c r="V26" s="493">
        <v>177084.71</v>
      </c>
      <c r="W26" s="493">
        <v>0</v>
      </c>
      <c r="X26" s="493">
        <v>232735.02</v>
      </c>
      <c r="Y26" s="493">
        <v>2812.99</v>
      </c>
      <c r="Z26" s="493">
        <v>97346.34</v>
      </c>
      <c r="AA26" s="493">
        <v>0</v>
      </c>
      <c r="AB26" s="493">
        <v>30400.45</v>
      </c>
      <c r="AC26" s="493">
        <v>15931.53</v>
      </c>
      <c r="AD26" s="493">
        <v>0</v>
      </c>
      <c r="AE26" s="493">
        <v>0</v>
      </c>
      <c r="AF26" s="493">
        <v>34781.9</v>
      </c>
      <c r="AG26" s="493">
        <v>7794.14</v>
      </c>
      <c r="AH26" s="493">
        <v>0</v>
      </c>
      <c r="AI26" s="493">
        <v>0</v>
      </c>
      <c r="AJ26" s="493">
        <v>0</v>
      </c>
      <c r="AK26" s="493">
        <v>0</v>
      </c>
      <c r="AL26" s="493">
        <v>0</v>
      </c>
      <c r="AM26" s="493">
        <v>38483.75</v>
      </c>
      <c r="AN26" s="493">
        <v>66393</v>
      </c>
      <c r="AO26" s="493">
        <v>1259132.3899999999</v>
      </c>
      <c r="AP26" s="493">
        <v>0</v>
      </c>
      <c r="AQ26" s="493">
        <v>1006369.62</v>
      </c>
      <c r="AR26" s="493">
        <v>198843.33</v>
      </c>
      <c r="AS26" s="493">
        <v>83908.66</v>
      </c>
      <c r="AT26" s="493">
        <v>115682.93</v>
      </c>
      <c r="AU26" s="493">
        <v>269616.62</v>
      </c>
      <c r="AV26" s="493">
        <v>12302.39</v>
      </c>
      <c r="AW26" s="493">
        <v>2918.8</v>
      </c>
      <c r="AX26" s="493">
        <v>693.88</v>
      </c>
      <c r="AY26" s="493">
        <v>0</v>
      </c>
      <c r="AZ26" s="493">
        <v>37072.6</v>
      </c>
      <c r="BA26" s="493">
        <v>4033.28</v>
      </c>
      <c r="BB26" s="493">
        <v>5197.29</v>
      </c>
      <c r="BC26" s="493">
        <v>3241.63</v>
      </c>
      <c r="BD26" s="493">
        <v>51883.47</v>
      </c>
      <c r="BE26" s="493">
        <v>30600</v>
      </c>
      <c r="BF26" s="493">
        <v>22216.46</v>
      </c>
      <c r="BG26" s="493">
        <v>81644</v>
      </c>
      <c r="BH26" s="493">
        <v>16153.36</v>
      </c>
      <c r="BI26" s="493">
        <v>0</v>
      </c>
      <c r="BJ26" s="493">
        <v>26901.71</v>
      </c>
      <c r="BK26" s="493">
        <v>16256.02</v>
      </c>
      <c r="BL26" s="493">
        <v>12806.65</v>
      </c>
      <c r="BM26" s="493">
        <v>87015.26</v>
      </c>
      <c r="BN26" s="493">
        <v>78562.73</v>
      </c>
      <c r="BO26" s="493">
        <v>187341.33</v>
      </c>
      <c r="BP26" s="493">
        <v>43573.2</v>
      </c>
      <c r="BQ26" s="493">
        <v>0</v>
      </c>
      <c r="BR26" s="493">
        <v>0</v>
      </c>
      <c r="BS26" s="493">
        <v>0</v>
      </c>
      <c r="BT26" s="493">
        <v>0</v>
      </c>
      <c r="BU26" s="493">
        <v>0</v>
      </c>
      <c r="BV26" s="494">
        <v>9186.25</v>
      </c>
      <c r="BW26" s="493">
        <v>0</v>
      </c>
      <c r="BX26" s="493">
        <v>0</v>
      </c>
      <c r="BY26" s="493">
        <v>6000</v>
      </c>
      <c r="BZ26" s="493">
        <v>0</v>
      </c>
      <c r="CA26" s="493">
        <v>0</v>
      </c>
      <c r="CB26" s="493">
        <v>0</v>
      </c>
      <c r="CC26" s="493">
        <v>34835</v>
      </c>
      <c r="CD26" s="493">
        <v>0</v>
      </c>
      <c r="CE26" s="493">
        <v>-212619.91</v>
      </c>
      <c r="CF26" s="493">
        <v>25062.25</v>
      </c>
      <c r="CG26" s="493">
        <v>0</v>
      </c>
      <c r="CH26" s="493">
        <v>0</v>
      </c>
      <c r="CI26" s="493">
        <v>0</v>
      </c>
      <c r="CJ26" s="495">
        <f t="shared" si="0"/>
        <v>-212619.91</v>
      </c>
      <c r="CK26" s="495">
        <f t="shared" si="1"/>
        <v>25062.25</v>
      </c>
      <c r="CL26" s="495">
        <f t="shared" si="2"/>
        <v>-212619.91</v>
      </c>
      <c r="CM26" s="573">
        <f t="shared" si="3"/>
        <v>3419420.7</v>
      </c>
      <c r="CN26" s="573">
        <f t="shared" si="4"/>
        <v>3653967.61</v>
      </c>
      <c r="CO26" s="573">
        <f t="shared" si="5"/>
        <v>2892741.58</v>
      </c>
      <c r="CP26" s="573">
        <f t="shared" si="6"/>
        <v>-234546.90999999968</v>
      </c>
    </row>
    <row r="27" spans="1:94" ht="14.25" customHeight="1">
      <c r="A27" s="491">
        <v>302</v>
      </c>
      <c r="B27" s="491">
        <v>2031</v>
      </c>
      <c r="C27" s="492" t="s">
        <v>272</v>
      </c>
      <c r="D27" s="491" t="s">
        <v>594</v>
      </c>
      <c r="E27" s="491"/>
      <c r="F27" s="491" t="s">
        <v>588</v>
      </c>
      <c r="G27" s="491">
        <v>0</v>
      </c>
      <c r="H27" s="491">
        <v>1</v>
      </c>
      <c r="I27" s="491" t="s">
        <v>717</v>
      </c>
      <c r="J27" s="491" t="s">
        <v>718</v>
      </c>
      <c r="K27" s="491" t="s">
        <v>591</v>
      </c>
      <c r="L27" s="491" t="s">
        <v>592</v>
      </c>
      <c r="M27" s="491" t="s">
        <v>591</v>
      </c>
      <c r="N27" s="491" t="s">
        <v>593</v>
      </c>
      <c r="O27" s="491" t="s">
        <v>188</v>
      </c>
      <c r="P27" s="491" t="s">
        <v>188</v>
      </c>
      <c r="Q27" s="493">
        <v>18863</v>
      </c>
      <c r="R27" s="493">
        <v>0</v>
      </c>
      <c r="S27" s="493">
        <v>30836</v>
      </c>
      <c r="T27" s="493">
        <v>1298841.52</v>
      </c>
      <c r="U27" s="493">
        <v>0</v>
      </c>
      <c r="V27" s="493">
        <v>87477.09</v>
      </c>
      <c r="W27" s="493">
        <v>0</v>
      </c>
      <c r="X27" s="493">
        <v>123452.04</v>
      </c>
      <c r="Y27" s="493">
        <v>12913.03</v>
      </c>
      <c r="Z27" s="493">
        <v>25418.48</v>
      </c>
      <c r="AA27" s="493">
        <v>33892.46</v>
      </c>
      <c r="AB27" s="493">
        <v>10720.35</v>
      </c>
      <c r="AC27" s="493">
        <v>6474.3</v>
      </c>
      <c r="AD27" s="493">
        <v>0</v>
      </c>
      <c r="AE27" s="493">
        <v>0</v>
      </c>
      <c r="AF27" s="493">
        <v>22051.1</v>
      </c>
      <c r="AG27" s="493">
        <v>5458.84</v>
      </c>
      <c r="AH27" s="493">
        <v>0</v>
      </c>
      <c r="AI27" s="493">
        <v>0</v>
      </c>
      <c r="AJ27" s="493">
        <v>0</v>
      </c>
      <c r="AK27" s="493">
        <v>0</v>
      </c>
      <c r="AL27" s="493">
        <v>0</v>
      </c>
      <c r="AM27" s="493">
        <v>0</v>
      </c>
      <c r="AN27" s="493">
        <v>52179.76</v>
      </c>
      <c r="AO27" s="493">
        <v>664569.84</v>
      </c>
      <c r="AP27" s="493">
        <v>0</v>
      </c>
      <c r="AQ27" s="493">
        <v>506639.24</v>
      </c>
      <c r="AR27" s="493">
        <v>45539.17</v>
      </c>
      <c r="AS27" s="493">
        <v>86119.61</v>
      </c>
      <c r="AT27" s="493">
        <v>0</v>
      </c>
      <c r="AU27" s="493">
        <v>37628.65</v>
      </c>
      <c r="AV27" s="493">
        <v>3112.83</v>
      </c>
      <c r="AW27" s="493">
        <v>2216</v>
      </c>
      <c r="AX27" s="493">
        <v>310.42</v>
      </c>
      <c r="AY27" s="493">
        <v>0</v>
      </c>
      <c r="AZ27" s="493">
        <v>9397.39</v>
      </c>
      <c r="BA27" s="493">
        <v>8521.44</v>
      </c>
      <c r="BB27" s="493">
        <v>29096.25</v>
      </c>
      <c r="BC27" s="493">
        <v>4149.45</v>
      </c>
      <c r="BD27" s="493">
        <v>25322.58</v>
      </c>
      <c r="BE27" s="493">
        <v>23550</v>
      </c>
      <c r="BF27" s="493">
        <v>16780.23</v>
      </c>
      <c r="BG27" s="493">
        <v>46652.2</v>
      </c>
      <c r="BH27" s="493">
        <v>8387.8700000000008</v>
      </c>
      <c r="BI27" s="493">
        <v>0</v>
      </c>
      <c r="BJ27" s="493">
        <v>7096.29</v>
      </c>
      <c r="BK27" s="493">
        <v>8445.2199999999993</v>
      </c>
      <c r="BL27" s="493">
        <v>3024.84</v>
      </c>
      <c r="BM27" s="493">
        <v>61919.65</v>
      </c>
      <c r="BN27" s="493">
        <v>62515.06</v>
      </c>
      <c r="BO27" s="493">
        <v>101156.05</v>
      </c>
      <c r="BP27" s="493">
        <v>21992.57</v>
      </c>
      <c r="BQ27" s="493">
        <v>0</v>
      </c>
      <c r="BR27" s="493">
        <v>0</v>
      </c>
      <c r="BS27" s="493">
        <v>0</v>
      </c>
      <c r="BT27" s="493">
        <v>0</v>
      </c>
      <c r="BU27" s="493">
        <v>0</v>
      </c>
      <c r="BV27" s="494">
        <v>43546.400000000001</v>
      </c>
      <c r="BW27" s="493">
        <v>0</v>
      </c>
      <c r="BX27" s="493">
        <v>0</v>
      </c>
      <c r="BY27" s="493">
        <v>6000</v>
      </c>
      <c r="BZ27" s="493">
        <v>0</v>
      </c>
      <c r="CA27" s="493">
        <v>37264</v>
      </c>
      <c r="CB27" s="493">
        <v>0</v>
      </c>
      <c r="CC27" s="493">
        <v>7079.17</v>
      </c>
      <c r="CD27" s="493">
        <v>0</v>
      </c>
      <c r="CE27" s="493">
        <v>-86400.88</v>
      </c>
      <c r="CF27" s="493">
        <v>30039.23</v>
      </c>
      <c r="CG27" s="493">
        <v>0</v>
      </c>
      <c r="CH27" s="493">
        <v>0</v>
      </c>
      <c r="CI27" s="493">
        <v>0</v>
      </c>
      <c r="CJ27" s="495">
        <f t="shared" si="0"/>
        <v>-86400.88</v>
      </c>
      <c r="CK27" s="495">
        <f t="shared" si="1"/>
        <v>30039.23</v>
      </c>
      <c r="CL27" s="495">
        <f t="shared" si="2"/>
        <v>-86400.88</v>
      </c>
      <c r="CM27" s="573">
        <f t="shared" si="3"/>
        <v>1678878.9700000004</v>
      </c>
      <c r="CN27" s="573">
        <f t="shared" si="4"/>
        <v>1784142.85</v>
      </c>
      <c r="CO27" s="573">
        <f t="shared" si="5"/>
        <v>1386318.61</v>
      </c>
      <c r="CP27" s="573">
        <f>CM27-CN27</f>
        <v>-105263.87999999966</v>
      </c>
    </row>
    <row r="28" spans="1:94" ht="14.25" customHeight="1">
      <c r="A28" s="491">
        <v>302</v>
      </c>
      <c r="B28" s="491">
        <v>2032</v>
      </c>
      <c r="C28" s="492" t="s">
        <v>273</v>
      </c>
      <c r="D28" s="491" t="s">
        <v>594</v>
      </c>
      <c r="E28" s="491"/>
      <c r="F28" s="491" t="s">
        <v>588</v>
      </c>
      <c r="G28" s="491">
        <v>0</v>
      </c>
      <c r="H28" s="491">
        <v>1</v>
      </c>
      <c r="I28" s="491" t="s">
        <v>717</v>
      </c>
      <c r="J28" s="491" t="s">
        <v>718</v>
      </c>
      <c r="K28" s="491" t="s">
        <v>591</v>
      </c>
      <c r="L28" s="491" t="s">
        <v>592</v>
      </c>
      <c r="M28" s="491" t="s">
        <v>591</v>
      </c>
      <c r="N28" s="491" t="s">
        <v>593</v>
      </c>
      <c r="O28" s="491" t="s">
        <v>188</v>
      </c>
      <c r="P28" s="491" t="s">
        <v>188</v>
      </c>
      <c r="Q28" s="493">
        <v>2824</v>
      </c>
      <c r="R28" s="493">
        <v>0</v>
      </c>
      <c r="S28" s="493">
        <v>0</v>
      </c>
      <c r="T28" s="493">
        <v>2408705.12</v>
      </c>
      <c r="U28" s="493">
        <v>0</v>
      </c>
      <c r="V28" s="493">
        <v>197517.9</v>
      </c>
      <c r="W28" s="493">
        <v>0</v>
      </c>
      <c r="X28" s="493">
        <v>144519.01999999999</v>
      </c>
      <c r="Y28" s="493">
        <v>0</v>
      </c>
      <c r="Z28" s="493">
        <v>71461.919999999998</v>
      </c>
      <c r="AA28" s="493">
        <v>101643.28</v>
      </c>
      <c r="AB28" s="493">
        <v>0</v>
      </c>
      <c r="AC28" s="493">
        <v>14398.52</v>
      </c>
      <c r="AD28" s="493">
        <v>0</v>
      </c>
      <c r="AE28" s="493">
        <v>0</v>
      </c>
      <c r="AF28" s="493">
        <v>48131.79</v>
      </c>
      <c r="AG28" s="493">
        <v>20932.78</v>
      </c>
      <c r="AH28" s="493">
        <v>0</v>
      </c>
      <c r="AI28" s="493">
        <v>0</v>
      </c>
      <c r="AJ28" s="493">
        <v>0</v>
      </c>
      <c r="AK28" s="493">
        <v>0</v>
      </c>
      <c r="AL28" s="493">
        <v>0</v>
      </c>
      <c r="AM28" s="493">
        <v>0</v>
      </c>
      <c r="AN28" s="493">
        <v>102168.76</v>
      </c>
      <c r="AO28" s="493">
        <v>1401236.76</v>
      </c>
      <c r="AP28" s="493">
        <v>40317.03</v>
      </c>
      <c r="AQ28" s="493">
        <v>728214.77</v>
      </c>
      <c r="AR28" s="493">
        <v>47411.25</v>
      </c>
      <c r="AS28" s="493">
        <v>53600.54</v>
      </c>
      <c r="AT28" s="493">
        <v>0</v>
      </c>
      <c r="AU28" s="493">
        <v>47910.49</v>
      </c>
      <c r="AV28" s="493">
        <v>10787.55</v>
      </c>
      <c r="AW28" s="493">
        <v>1212.98</v>
      </c>
      <c r="AX28" s="493">
        <v>700.52</v>
      </c>
      <c r="AY28" s="493">
        <v>3127</v>
      </c>
      <c r="AZ28" s="493">
        <v>19755.89</v>
      </c>
      <c r="BA28" s="493">
        <v>4066.64</v>
      </c>
      <c r="BB28" s="493">
        <v>55756.29</v>
      </c>
      <c r="BC28" s="493">
        <v>4933.58</v>
      </c>
      <c r="BD28" s="493">
        <v>43778.78</v>
      </c>
      <c r="BE28" s="493">
        <v>31500</v>
      </c>
      <c r="BF28" s="493">
        <v>8384.17</v>
      </c>
      <c r="BG28" s="493">
        <v>130133.36</v>
      </c>
      <c r="BH28" s="493">
        <v>18812.93</v>
      </c>
      <c r="BI28" s="493">
        <v>0</v>
      </c>
      <c r="BJ28" s="493">
        <v>20916.52</v>
      </c>
      <c r="BK28" s="493">
        <v>13284.58</v>
      </c>
      <c r="BL28" s="493">
        <v>2700</v>
      </c>
      <c r="BM28" s="493">
        <v>151858.29999999999</v>
      </c>
      <c r="BN28" s="493">
        <v>179905.35</v>
      </c>
      <c r="BO28" s="493">
        <v>69536.08</v>
      </c>
      <c r="BP28" s="493">
        <v>46753.98</v>
      </c>
      <c r="BQ28" s="493">
        <v>0</v>
      </c>
      <c r="BR28" s="493">
        <v>0</v>
      </c>
      <c r="BS28" s="493">
        <v>1707.75</v>
      </c>
      <c r="BT28" s="493">
        <v>0</v>
      </c>
      <c r="BU28" s="493">
        <v>0</v>
      </c>
      <c r="BV28" s="494">
        <v>9087.25</v>
      </c>
      <c r="BW28" s="493">
        <v>0</v>
      </c>
      <c r="BX28" s="493">
        <v>1707.75</v>
      </c>
      <c r="BY28" s="493">
        <v>6000</v>
      </c>
      <c r="BZ28" s="493">
        <v>0</v>
      </c>
      <c r="CA28" s="493">
        <v>10795</v>
      </c>
      <c r="CB28" s="493">
        <v>0</v>
      </c>
      <c r="CC28" s="493">
        <v>0</v>
      </c>
      <c r="CD28" s="493">
        <v>0</v>
      </c>
      <c r="CE28" s="493">
        <v>-26000</v>
      </c>
      <c r="CF28" s="493">
        <v>0</v>
      </c>
      <c r="CG28" s="493">
        <v>0</v>
      </c>
      <c r="CH28" s="493">
        <v>0</v>
      </c>
      <c r="CI28" s="493">
        <v>0</v>
      </c>
      <c r="CJ28" s="495">
        <f t="shared" si="0"/>
        <v>-26000</v>
      </c>
      <c r="CK28" s="495">
        <f t="shared" si="1"/>
        <v>0</v>
      </c>
      <c r="CL28" s="495">
        <f t="shared" si="2"/>
        <v>-26000</v>
      </c>
      <c r="CM28" s="573">
        <f t="shared" si="3"/>
        <v>3109479.0899999994</v>
      </c>
      <c r="CN28" s="573">
        <f t="shared" si="4"/>
        <v>3138303.0900000003</v>
      </c>
      <c r="CO28" s="573">
        <f t="shared" si="5"/>
        <v>2606223.02</v>
      </c>
      <c r="CP28" s="573">
        <f t="shared" si="6"/>
        <v>-28824.000000000931</v>
      </c>
    </row>
    <row r="29" spans="1:94" ht="27.6">
      <c r="A29" s="491">
        <v>302</v>
      </c>
      <c r="B29" s="491">
        <v>2036</v>
      </c>
      <c r="C29" s="492" t="s">
        <v>422</v>
      </c>
      <c r="D29" s="491" t="s">
        <v>594</v>
      </c>
      <c r="E29" s="491"/>
      <c r="F29" s="491" t="s">
        <v>588</v>
      </c>
      <c r="G29" s="491">
        <v>0</v>
      </c>
      <c r="H29" s="491">
        <v>0</v>
      </c>
      <c r="I29" s="491" t="s">
        <v>717</v>
      </c>
      <c r="J29" s="491" t="s">
        <v>718</v>
      </c>
      <c r="K29" s="491" t="s">
        <v>591</v>
      </c>
      <c r="L29" s="491" t="s">
        <v>592</v>
      </c>
      <c r="M29" s="491" t="s">
        <v>591</v>
      </c>
      <c r="N29" s="491" t="s">
        <v>593</v>
      </c>
      <c r="O29" s="491" t="s">
        <v>188</v>
      </c>
      <c r="P29" s="491" t="s">
        <v>188</v>
      </c>
      <c r="Q29" s="493">
        <v>762684</v>
      </c>
      <c r="R29" s="493">
        <v>0</v>
      </c>
      <c r="S29" s="493">
        <v>0</v>
      </c>
      <c r="T29" s="493">
        <v>1787815.75</v>
      </c>
      <c r="U29" s="493">
        <v>0</v>
      </c>
      <c r="V29" s="493">
        <v>422697.06</v>
      </c>
      <c r="W29" s="493">
        <v>0</v>
      </c>
      <c r="X29" s="493">
        <v>108691.48</v>
      </c>
      <c r="Y29" s="493">
        <v>0</v>
      </c>
      <c r="Z29" s="493">
        <v>23811.84</v>
      </c>
      <c r="AA29" s="493">
        <v>7212</v>
      </c>
      <c r="AB29" s="493">
        <v>65697.149999999994</v>
      </c>
      <c r="AC29" s="493">
        <v>7110.34</v>
      </c>
      <c r="AD29" s="493">
        <v>0</v>
      </c>
      <c r="AE29" s="493">
        <v>0</v>
      </c>
      <c r="AF29" s="493">
        <v>31109.18</v>
      </c>
      <c r="AG29" s="493">
        <v>2173.38</v>
      </c>
      <c r="AH29" s="493">
        <v>0</v>
      </c>
      <c r="AI29" s="493">
        <v>0</v>
      </c>
      <c r="AJ29" s="493">
        <v>0</v>
      </c>
      <c r="AK29" s="493">
        <v>0</v>
      </c>
      <c r="AL29" s="493">
        <v>0</v>
      </c>
      <c r="AM29" s="493">
        <v>0</v>
      </c>
      <c r="AN29" s="493">
        <v>59609.41</v>
      </c>
      <c r="AO29" s="493">
        <v>1034367.81</v>
      </c>
      <c r="AP29" s="493">
        <v>0</v>
      </c>
      <c r="AQ29" s="493">
        <v>673603.48</v>
      </c>
      <c r="AR29" s="493">
        <v>85433.65</v>
      </c>
      <c r="AS29" s="493">
        <v>41016.01</v>
      </c>
      <c r="AT29" s="493">
        <v>0</v>
      </c>
      <c r="AU29" s="493">
        <v>46826.47</v>
      </c>
      <c r="AV29" s="493">
        <v>12371.09</v>
      </c>
      <c r="AW29" s="493">
        <v>1176.82</v>
      </c>
      <c r="AX29" s="493">
        <v>356.9</v>
      </c>
      <c r="AY29" s="493">
        <v>0</v>
      </c>
      <c r="AZ29" s="493">
        <v>31547.83</v>
      </c>
      <c r="BA29" s="493">
        <v>18146.7</v>
      </c>
      <c r="BB29" s="493">
        <v>4164.99</v>
      </c>
      <c r="BC29" s="493">
        <v>2214.0100000000002</v>
      </c>
      <c r="BD29" s="493">
        <v>48377.06</v>
      </c>
      <c r="BE29" s="493">
        <v>28200</v>
      </c>
      <c r="BF29" s="493">
        <v>16110.61</v>
      </c>
      <c r="BG29" s="493">
        <v>80265.58</v>
      </c>
      <c r="BH29" s="493">
        <v>26735.85</v>
      </c>
      <c r="BI29" s="493">
        <v>0</v>
      </c>
      <c r="BJ29" s="493">
        <v>17328.66</v>
      </c>
      <c r="BK29" s="493">
        <v>11054.29</v>
      </c>
      <c r="BL29" s="493">
        <v>7043.29</v>
      </c>
      <c r="BM29" s="493">
        <v>71706.570000000007</v>
      </c>
      <c r="BN29" s="493">
        <v>1575</v>
      </c>
      <c r="BO29" s="493">
        <v>115569.55</v>
      </c>
      <c r="BP29" s="493">
        <v>40952.89</v>
      </c>
      <c r="BQ29" s="493">
        <v>0</v>
      </c>
      <c r="BR29" s="493">
        <v>0</v>
      </c>
      <c r="BS29" s="493">
        <v>20560.87</v>
      </c>
      <c r="BT29" s="493">
        <v>0</v>
      </c>
      <c r="BU29" s="493">
        <v>0</v>
      </c>
      <c r="BV29" s="494">
        <v>6832.3</v>
      </c>
      <c r="BW29" s="493">
        <v>0</v>
      </c>
      <c r="BX29" s="493">
        <v>20560.87</v>
      </c>
      <c r="BY29" s="493">
        <v>6000</v>
      </c>
      <c r="BZ29" s="493">
        <v>0</v>
      </c>
      <c r="CA29" s="493">
        <v>27393.17</v>
      </c>
      <c r="CB29" s="493">
        <v>0</v>
      </c>
      <c r="CC29" s="493">
        <v>0</v>
      </c>
      <c r="CD29" s="493">
        <v>0</v>
      </c>
      <c r="CE29" s="493">
        <v>841905.61</v>
      </c>
      <c r="CF29" s="493">
        <v>0</v>
      </c>
      <c r="CG29" s="493">
        <v>0</v>
      </c>
      <c r="CH29" s="493">
        <v>0</v>
      </c>
      <c r="CI29" s="493">
        <v>0</v>
      </c>
      <c r="CJ29" s="495">
        <f t="shared" si="0"/>
        <v>841905.61</v>
      </c>
      <c r="CK29" s="495">
        <f t="shared" si="1"/>
        <v>0</v>
      </c>
      <c r="CL29" s="495">
        <f t="shared" si="2"/>
        <v>841905.61</v>
      </c>
      <c r="CM29" s="573">
        <f t="shared" si="3"/>
        <v>2515927.59</v>
      </c>
      <c r="CN29" s="573">
        <f t="shared" si="4"/>
        <v>2436705.9800000004</v>
      </c>
      <c r="CO29" s="573">
        <f t="shared" si="5"/>
        <v>2210512.81</v>
      </c>
      <c r="CP29" s="573">
        <f t="shared" si="6"/>
        <v>79221.609999999404</v>
      </c>
    </row>
    <row r="30" spans="1:94" ht="14.25" customHeight="1">
      <c r="A30" s="491">
        <v>302</v>
      </c>
      <c r="B30" s="491">
        <v>2037</v>
      </c>
      <c r="C30" s="492" t="s">
        <v>275</v>
      </c>
      <c r="D30" s="491" t="s">
        <v>586</v>
      </c>
      <c r="E30" s="491" t="s">
        <v>722</v>
      </c>
      <c r="F30" s="491" t="s">
        <v>588</v>
      </c>
      <c r="G30" s="491">
        <v>0</v>
      </c>
      <c r="H30" s="491">
        <v>1</v>
      </c>
      <c r="I30" s="491" t="s">
        <v>717</v>
      </c>
      <c r="J30" s="491" t="s">
        <v>718</v>
      </c>
      <c r="K30" s="491" t="s">
        <v>591</v>
      </c>
      <c r="L30" s="491" t="s">
        <v>592</v>
      </c>
      <c r="M30" s="491" t="s">
        <v>591</v>
      </c>
      <c r="N30" s="491" t="s">
        <v>593</v>
      </c>
      <c r="O30" s="491" t="s">
        <v>188</v>
      </c>
      <c r="P30" s="491" t="s">
        <v>188</v>
      </c>
      <c r="Q30" s="493">
        <v>253709</v>
      </c>
      <c r="R30" s="493">
        <v>0</v>
      </c>
      <c r="S30" s="493">
        <v>28803</v>
      </c>
      <c r="T30" s="493">
        <v>1293199.3799999999</v>
      </c>
      <c r="U30" s="493">
        <v>0</v>
      </c>
      <c r="V30" s="493">
        <v>111377.05</v>
      </c>
      <c r="W30" s="493">
        <v>0</v>
      </c>
      <c r="X30" s="493">
        <v>50545.02</v>
      </c>
      <c r="Y30" s="493">
        <v>14384.25</v>
      </c>
      <c r="Z30" s="493">
        <v>144582.78</v>
      </c>
      <c r="AA30" s="493">
        <v>24472</v>
      </c>
      <c r="AB30" s="493">
        <v>41090.370000000003</v>
      </c>
      <c r="AC30" s="493">
        <v>6785.44</v>
      </c>
      <c r="AD30" s="493">
        <v>0</v>
      </c>
      <c r="AE30" s="493">
        <v>0</v>
      </c>
      <c r="AF30" s="493">
        <v>54934.11</v>
      </c>
      <c r="AG30" s="493">
        <v>27953.5</v>
      </c>
      <c r="AH30" s="493">
        <v>0</v>
      </c>
      <c r="AI30" s="493">
        <v>0</v>
      </c>
      <c r="AJ30" s="493">
        <v>0</v>
      </c>
      <c r="AK30" s="493">
        <v>0</v>
      </c>
      <c r="AL30" s="493">
        <v>0</v>
      </c>
      <c r="AM30" s="493">
        <v>9059.3700000000008</v>
      </c>
      <c r="AN30" s="493">
        <v>44142</v>
      </c>
      <c r="AO30" s="493">
        <v>783962.78</v>
      </c>
      <c r="AP30" s="493">
        <v>0</v>
      </c>
      <c r="AQ30" s="493">
        <v>440668.44</v>
      </c>
      <c r="AR30" s="493">
        <v>12605.09</v>
      </c>
      <c r="AS30" s="493">
        <v>77752.05</v>
      </c>
      <c r="AT30" s="493">
        <v>0</v>
      </c>
      <c r="AU30" s="493">
        <v>72939.3</v>
      </c>
      <c r="AV30" s="493">
        <v>10743.17</v>
      </c>
      <c r="AW30" s="493">
        <v>1614.4</v>
      </c>
      <c r="AX30" s="493">
        <v>340.3</v>
      </c>
      <c r="AY30" s="493">
        <v>0</v>
      </c>
      <c r="AZ30" s="493">
        <v>21286.51</v>
      </c>
      <c r="BA30" s="493">
        <v>5243.07</v>
      </c>
      <c r="BB30" s="493">
        <v>31208.59</v>
      </c>
      <c r="BC30" s="493">
        <v>2142</v>
      </c>
      <c r="BD30" s="493">
        <v>77328.27</v>
      </c>
      <c r="BE30" s="493">
        <v>33177.72</v>
      </c>
      <c r="BF30" s="493">
        <v>9107.1299999999992</v>
      </c>
      <c r="BG30" s="493">
        <v>56480.29</v>
      </c>
      <c r="BH30" s="493">
        <v>9634.57</v>
      </c>
      <c r="BI30" s="493">
        <v>0</v>
      </c>
      <c r="BJ30" s="493">
        <v>6951.01</v>
      </c>
      <c r="BK30" s="493">
        <v>3455.33</v>
      </c>
      <c r="BL30" s="493">
        <v>14260.16</v>
      </c>
      <c r="BM30" s="493">
        <v>90477.79</v>
      </c>
      <c r="BN30" s="493">
        <v>12879.25</v>
      </c>
      <c r="BO30" s="493">
        <v>164579.13</v>
      </c>
      <c r="BP30" s="493">
        <v>31529.17</v>
      </c>
      <c r="BQ30" s="493">
        <v>0</v>
      </c>
      <c r="BR30" s="493">
        <v>0</v>
      </c>
      <c r="BS30" s="493">
        <v>0</v>
      </c>
      <c r="BT30" s="493">
        <v>0</v>
      </c>
      <c r="BU30" s="493">
        <v>0</v>
      </c>
      <c r="BV30" s="494">
        <v>6989.13</v>
      </c>
      <c r="BW30" s="493">
        <v>0</v>
      </c>
      <c r="BX30" s="493">
        <v>0</v>
      </c>
      <c r="BY30" s="493">
        <v>6000</v>
      </c>
      <c r="BZ30" s="493">
        <v>0</v>
      </c>
      <c r="CA30" s="493">
        <v>4641</v>
      </c>
      <c r="CB30" s="493">
        <v>0</v>
      </c>
      <c r="CC30" s="493">
        <v>12069</v>
      </c>
      <c r="CD30" s="493">
        <v>0</v>
      </c>
      <c r="CE30" s="493">
        <v>105868.75</v>
      </c>
      <c r="CF30" s="493">
        <v>19082.13</v>
      </c>
      <c r="CG30" s="493">
        <v>0</v>
      </c>
      <c r="CH30" s="493">
        <v>0</v>
      </c>
      <c r="CI30" s="493">
        <v>0</v>
      </c>
      <c r="CJ30" s="495">
        <f t="shared" si="0"/>
        <v>105868.75</v>
      </c>
      <c r="CK30" s="495">
        <f t="shared" si="1"/>
        <v>19082.13</v>
      </c>
      <c r="CL30" s="495">
        <f t="shared" si="2"/>
        <v>105868.75</v>
      </c>
      <c r="CM30" s="573">
        <f t="shared" si="3"/>
        <v>1822525.2700000003</v>
      </c>
      <c r="CN30" s="573">
        <f t="shared" si="4"/>
        <v>1970365.52</v>
      </c>
      <c r="CO30" s="573">
        <f t="shared" si="5"/>
        <v>1404576.43</v>
      </c>
      <c r="CP30" s="573">
        <f t="shared" si="6"/>
        <v>-147840.24999999977</v>
      </c>
    </row>
    <row r="31" spans="1:94" ht="14.25" customHeight="1">
      <c r="A31" s="491">
        <v>302</v>
      </c>
      <c r="B31" s="491">
        <v>2042</v>
      </c>
      <c r="C31" s="492" t="s">
        <v>279</v>
      </c>
      <c r="D31" s="491" t="s">
        <v>594</v>
      </c>
      <c r="E31" s="491"/>
      <c r="F31" s="491" t="s">
        <v>588</v>
      </c>
      <c r="G31" s="491">
        <v>0</v>
      </c>
      <c r="H31" s="491">
        <v>0</v>
      </c>
      <c r="I31" s="491" t="s">
        <v>717</v>
      </c>
      <c r="J31" s="491" t="s">
        <v>718</v>
      </c>
      <c r="K31" s="491" t="s">
        <v>591</v>
      </c>
      <c r="L31" s="491" t="s">
        <v>592</v>
      </c>
      <c r="M31" s="491" t="s">
        <v>591</v>
      </c>
      <c r="N31" s="491" t="s">
        <v>593</v>
      </c>
      <c r="O31" s="491" t="s">
        <v>188</v>
      </c>
      <c r="P31" s="491" t="s">
        <v>188</v>
      </c>
      <c r="Q31" s="493">
        <v>304390</v>
      </c>
      <c r="R31" s="493">
        <v>0</v>
      </c>
      <c r="S31" s="493">
        <v>43169</v>
      </c>
      <c r="T31" s="493">
        <v>2027101.1</v>
      </c>
      <c r="U31" s="493">
        <v>0</v>
      </c>
      <c r="V31" s="493">
        <v>113082.49</v>
      </c>
      <c r="W31" s="493">
        <v>0</v>
      </c>
      <c r="X31" s="493">
        <v>35360.019999999997</v>
      </c>
      <c r="Y31" s="493">
        <v>0</v>
      </c>
      <c r="Z31" s="493">
        <v>71464.100000000006</v>
      </c>
      <c r="AA31" s="493">
        <v>21380.080000000002</v>
      </c>
      <c r="AB31" s="493">
        <v>146936.99</v>
      </c>
      <c r="AC31" s="493">
        <v>20917.8</v>
      </c>
      <c r="AD31" s="493">
        <v>3665</v>
      </c>
      <c r="AE31" s="493">
        <v>0</v>
      </c>
      <c r="AF31" s="493">
        <v>52183.55</v>
      </c>
      <c r="AG31" s="493">
        <v>25631.74</v>
      </c>
      <c r="AH31" s="493">
        <v>0</v>
      </c>
      <c r="AI31" s="493">
        <v>0</v>
      </c>
      <c r="AJ31" s="493">
        <v>0</v>
      </c>
      <c r="AK31" s="493">
        <v>0</v>
      </c>
      <c r="AL31" s="493">
        <v>0</v>
      </c>
      <c r="AM31" s="493">
        <v>5953.13</v>
      </c>
      <c r="AN31" s="493">
        <v>89241</v>
      </c>
      <c r="AO31" s="493">
        <v>1148670.77</v>
      </c>
      <c r="AP31" s="493">
        <v>0</v>
      </c>
      <c r="AQ31" s="493">
        <v>572936.93000000005</v>
      </c>
      <c r="AR31" s="493">
        <v>40702.79</v>
      </c>
      <c r="AS31" s="493">
        <v>90799.37</v>
      </c>
      <c r="AT31" s="493">
        <v>0</v>
      </c>
      <c r="AU31" s="493">
        <v>187985.43</v>
      </c>
      <c r="AV31" s="493">
        <v>9817.48</v>
      </c>
      <c r="AW31" s="493">
        <v>687.5</v>
      </c>
      <c r="AX31" s="493">
        <v>7468.56</v>
      </c>
      <c r="AY31" s="493">
        <v>0</v>
      </c>
      <c r="AZ31" s="493">
        <v>10996.89</v>
      </c>
      <c r="BA31" s="493">
        <v>3708.6</v>
      </c>
      <c r="BB31" s="493">
        <v>43657.91</v>
      </c>
      <c r="BC31" s="493">
        <v>2869.2</v>
      </c>
      <c r="BD31" s="493">
        <v>45850.39</v>
      </c>
      <c r="BE31" s="493">
        <v>36600</v>
      </c>
      <c r="BF31" s="493">
        <v>10975.61</v>
      </c>
      <c r="BG31" s="493">
        <v>113554.76</v>
      </c>
      <c r="BH31" s="493">
        <v>9170.18</v>
      </c>
      <c r="BI31" s="493">
        <v>0</v>
      </c>
      <c r="BJ31" s="493">
        <v>12267.71</v>
      </c>
      <c r="BK31" s="493">
        <v>16333.8</v>
      </c>
      <c r="BL31" s="493">
        <v>11205.82</v>
      </c>
      <c r="BM31" s="493">
        <v>138879.57</v>
      </c>
      <c r="BN31" s="493">
        <v>7254.69</v>
      </c>
      <c r="BO31" s="493">
        <v>101837.41</v>
      </c>
      <c r="BP31" s="493">
        <v>13385.43</v>
      </c>
      <c r="BQ31" s="493">
        <v>0</v>
      </c>
      <c r="BR31" s="493">
        <v>0</v>
      </c>
      <c r="BS31" s="493">
        <v>0</v>
      </c>
      <c r="BT31" s="493">
        <v>0</v>
      </c>
      <c r="BU31" s="493">
        <v>0</v>
      </c>
      <c r="BV31" s="494">
        <v>8758.75</v>
      </c>
      <c r="BW31" s="493">
        <v>0</v>
      </c>
      <c r="BX31" s="493">
        <v>0</v>
      </c>
      <c r="BY31" s="493">
        <v>6000</v>
      </c>
      <c r="BZ31" s="493">
        <v>0</v>
      </c>
      <c r="CA31" s="493">
        <v>10655</v>
      </c>
      <c r="CB31" s="493">
        <v>15585.48</v>
      </c>
      <c r="CC31" s="493">
        <v>0</v>
      </c>
      <c r="CD31" s="493">
        <v>0</v>
      </c>
      <c r="CE31" s="493">
        <v>279690.2</v>
      </c>
      <c r="CF31" s="493">
        <v>25687.27</v>
      </c>
      <c r="CG31" s="493">
        <v>0</v>
      </c>
      <c r="CH31" s="493">
        <v>0</v>
      </c>
      <c r="CI31" s="493">
        <v>0</v>
      </c>
      <c r="CJ31" s="495">
        <f t="shared" si="0"/>
        <v>279690.2</v>
      </c>
      <c r="CK31" s="495">
        <f t="shared" si="1"/>
        <v>25687.27</v>
      </c>
      <c r="CL31" s="495">
        <f t="shared" si="2"/>
        <v>279690.2</v>
      </c>
      <c r="CM31" s="573">
        <f t="shared" si="3"/>
        <v>2612917</v>
      </c>
      <c r="CN31" s="573">
        <f t="shared" si="4"/>
        <v>2637616.8000000003</v>
      </c>
      <c r="CO31" s="573">
        <f t="shared" si="5"/>
        <v>2140183.5900000003</v>
      </c>
      <c r="CP31" s="573">
        <f t="shared" si="6"/>
        <v>-24699.800000000279</v>
      </c>
    </row>
    <row r="32" spans="1:94" ht="14.25" customHeight="1">
      <c r="A32" s="491">
        <v>302</v>
      </c>
      <c r="B32" s="491">
        <v>2043</v>
      </c>
      <c r="C32" s="492" t="s">
        <v>81</v>
      </c>
      <c r="D32" s="491" t="s">
        <v>586</v>
      </c>
      <c r="E32" s="491" t="s">
        <v>723</v>
      </c>
      <c r="F32" s="491" t="s">
        <v>588</v>
      </c>
      <c r="G32" s="491">
        <v>0</v>
      </c>
      <c r="H32" s="491">
        <v>1</v>
      </c>
      <c r="I32" s="491" t="s">
        <v>717</v>
      </c>
      <c r="J32" s="491" t="s">
        <v>718</v>
      </c>
      <c r="K32" s="491" t="s">
        <v>591</v>
      </c>
      <c r="L32" s="491" t="s">
        <v>592</v>
      </c>
      <c r="M32" s="491" t="s">
        <v>591</v>
      </c>
      <c r="N32" s="491" t="s">
        <v>593</v>
      </c>
      <c r="O32" s="491" t="s">
        <v>188</v>
      </c>
      <c r="P32" s="491" t="s">
        <v>188</v>
      </c>
      <c r="Q32" s="493">
        <v>-54210</v>
      </c>
      <c r="R32" s="493">
        <v>0</v>
      </c>
      <c r="S32" s="493">
        <v>33421</v>
      </c>
      <c r="T32" s="493">
        <v>2209424</v>
      </c>
      <c r="U32" s="493">
        <v>0</v>
      </c>
      <c r="V32" s="493">
        <v>123544</v>
      </c>
      <c r="W32" s="493">
        <v>0</v>
      </c>
      <c r="X32" s="493">
        <v>139995</v>
      </c>
      <c r="Y32" s="493">
        <v>14378</v>
      </c>
      <c r="Z32" s="493">
        <v>113992</v>
      </c>
      <c r="AA32" s="493">
        <v>69307.17</v>
      </c>
      <c r="AB32" s="493">
        <v>28251</v>
      </c>
      <c r="AC32" s="493">
        <v>35982</v>
      </c>
      <c r="AD32" s="493">
        <v>216</v>
      </c>
      <c r="AE32" s="493">
        <v>0</v>
      </c>
      <c r="AF32" s="493">
        <v>103179</v>
      </c>
      <c r="AG32" s="493">
        <v>25642</v>
      </c>
      <c r="AH32" s="493">
        <v>0</v>
      </c>
      <c r="AI32" s="493">
        <v>0</v>
      </c>
      <c r="AJ32" s="493">
        <v>0</v>
      </c>
      <c r="AK32" s="493">
        <v>0</v>
      </c>
      <c r="AL32" s="493">
        <v>0</v>
      </c>
      <c r="AM32" s="493">
        <v>23267</v>
      </c>
      <c r="AN32" s="493">
        <v>20414</v>
      </c>
      <c r="AO32" s="493">
        <v>1239321.17</v>
      </c>
      <c r="AP32" s="493">
        <v>0</v>
      </c>
      <c r="AQ32" s="493">
        <v>449434.48</v>
      </c>
      <c r="AR32" s="493">
        <v>38741.440000000002</v>
      </c>
      <c r="AS32" s="493">
        <v>55802</v>
      </c>
      <c r="AT32" s="493">
        <v>0</v>
      </c>
      <c r="AU32" s="493">
        <v>30790.42</v>
      </c>
      <c r="AV32" s="493">
        <v>10480.23</v>
      </c>
      <c r="AW32" s="493">
        <v>3533</v>
      </c>
      <c r="AX32" s="493">
        <v>720</v>
      </c>
      <c r="AY32" s="493">
        <v>0</v>
      </c>
      <c r="AZ32" s="493">
        <v>29570</v>
      </c>
      <c r="BA32" s="493">
        <v>5730</v>
      </c>
      <c r="BB32" s="493">
        <v>74214</v>
      </c>
      <c r="BC32" s="493">
        <v>19312</v>
      </c>
      <c r="BD32" s="493">
        <v>95253</v>
      </c>
      <c r="BE32" s="493">
        <v>19200</v>
      </c>
      <c r="BF32" s="493">
        <v>11017</v>
      </c>
      <c r="BG32" s="493">
        <v>147238.51</v>
      </c>
      <c r="BH32" s="493">
        <v>10401</v>
      </c>
      <c r="BI32" s="493">
        <v>0</v>
      </c>
      <c r="BJ32" s="493">
        <v>37506</v>
      </c>
      <c r="BK32" s="493">
        <v>16615</v>
      </c>
      <c r="BL32" s="493">
        <v>0</v>
      </c>
      <c r="BM32" s="493">
        <v>138152</v>
      </c>
      <c r="BN32" s="493">
        <v>62990</v>
      </c>
      <c r="BO32" s="493">
        <v>190601</v>
      </c>
      <c r="BP32" s="493">
        <v>43632</v>
      </c>
      <c r="BQ32" s="493">
        <v>0</v>
      </c>
      <c r="BR32" s="493">
        <v>0</v>
      </c>
      <c r="BS32" s="493">
        <v>0</v>
      </c>
      <c r="BT32" s="493">
        <v>0</v>
      </c>
      <c r="BU32" s="493">
        <v>0</v>
      </c>
      <c r="BV32" s="494">
        <v>27807</v>
      </c>
      <c r="BW32" s="493">
        <v>0</v>
      </c>
      <c r="BX32" s="493">
        <v>0</v>
      </c>
      <c r="BY32" s="493">
        <v>6000</v>
      </c>
      <c r="BZ32" s="493">
        <v>0</v>
      </c>
      <c r="CA32" s="493">
        <v>0</v>
      </c>
      <c r="CB32" s="493">
        <v>0</v>
      </c>
      <c r="CC32" s="493">
        <v>8961</v>
      </c>
      <c r="CD32" s="493">
        <v>0</v>
      </c>
      <c r="CE32" s="493">
        <v>123126.92</v>
      </c>
      <c r="CF32" s="493">
        <v>52267</v>
      </c>
      <c r="CG32" s="493">
        <v>0</v>
      </c>
      <c r="CH32" s="493">
        <v>0</v>
      </c>
      <c r="CI32" s="493">
        <v>0</v>
      </c>
      <c r="CJ32" s="495">
        <f t="shared" si="0"/>
        <v>123126.92</v>
      </c>
      <c r="CK32" s="495">
        <f t="shared" si="1"/>
        <v>52267</v>
      </c>
      <c r="CL32" s="495">
        <f t="shared" si="2"/>
        <v>123126.92</v>
      </c>
      <c r="CM32" s="573">
        <f t="shared" si="3"/>
        <v>2907591.17</v>
      </c>
      <c r="CN32" s="573">
        <f t="shared" si="4"/>
        <v>2730254.25</v>
      </c>
      <c r="CO32" s="573">
        <f t="shared" si="5"/>
        <v>2332968</v>
      </c>
      <c r="CP32" s="573">
        <f t="shared" si="6"/>
        <v>177336.91999999993</v>
      </c>
    </row>
    <row r="33" spans="1:94" ht="14.25" customHeight="1">
      <c r="A33" s="491">
        <v>302</v>
      </c>
      <c r="B33" s="491">
        <v>2044</v>
      </c>
      <c r="C33" s="492" t="s">
        <v>80</v>
      </c>
      <c r="D33" s="491" t="s">
        <v>586</v>
      </c>
      <c r="E33" s="491" t="s">
        <v>724</v>
      </c>
      <c r="F33" s="491" t="s">
        <v>588</v>
      </c>
      <c r="G33" s="491">
        <v>0</v>
      </c>
      <c r="H33" s="491">
        <v>1</v>
      </c>
      <c r="I33" s="491" t="s">
        <v>717</v>
      </c>
      <c r="J33" s="491" t="s">
        <v>718</v>
      </c>
      <c r="K33" s="491" t="s">
        <v>591</v>
      </c>
      <c r="L33" s="491" t="s">
        <v>592</v>
      </c>
      <c r="M33" s="491" t="s">
        <v>591</v>
      </c>
      <c r="N33" s="491" t="s">
        <v>593</v>
      </c>
      <c r="O33" s="491" t="s">
        <v>188</v>
      </c>
      <c r="P33" s="491" t="s">
        <v>188</v>
      </c>
      <c r="Q33" s="493">
        <v>-59404</v>
      </c>
      <c r="R33" s="493">
        <v>0</v>
      </c>
      <c r="S33" s="493">
        <v>24230</v>
      </c>
      <c r="T33" s="493">
        <v>1922965.98</v>
      </c>
      <c r="U33" s="493">
        <v>0</v>
      </c>
      <c r="V33" s="493">
        <v>94076.67</v>
      </c>
      <c r="W33" s="493">
        <v>0</v>
      </c>
      <c r="X33" s="493">
        <v>76629.990000000005</v>
      </c>
      <c r="Y33" s="493">
        <v>10088</v>
      </c>
      <c r="Z33" s="493">
        <v>0</v>
      </c>
      <c r="AA33" s="493">
        <v>38155.040000000001</v>
      </c>
      <c r="AB33" s="493">
        <v>31161.47</v>
      </c>
      <c r="AC33" s="493">
        <v>0</v>
      </c>
      <c r="AD33" s="493">
        <v>0</v>
      </c>
      <c r="AE33" s="493">
        <v>0</v>
      </c>
      <c r="AF33" s="493">
        <v>28943.02</v>
      </c>
      <c r="AG33" s="493">
        <v>14396.92</v>
      </c>
      <c r="AH33" s="493">
        <v>0</v>
      </c>
      <c r="AI33" s="493">
        <v>0</v>
      </c>
      <c r="AJ33" s="493">
        <v>0</v>
      </c>
      <c r="AK33" s="493">
        <v>0</v>
      </c>
      <c r="AL33" s="493">
        <v>0</v>
      </c>
      <c r="AM33" s="493">
        <v>11065</v>
      </c>
      <c r="AN33" s="493">
        <v>161219</v>
      </c>
      <c r="AO33" s="493">
        <v>873999.91</v>
      </c>
      <c r="AP33" s="493">
        <v>0</v>
      </c>
      <c r="AQ33" s="493">
        <v>339230.57</v>
      </c>
      <c r="AR33" s="493">
        <v>38740.620000000003</v>
      </c>
      <c r="AS33" s="493">
        <v>120188.96</v>
      </c>
      <c r="AT33" s="493">
        <v>0</v>
      </c>
      <c r="AU33" s="493">
        <v>66420.87</v>
      </c>
      <c r="AV33" s="493">
        <v>7500.78</v>
      </c>
      <c r="AW33" s="493">
        <v>3155.5</v>
      </c>
      <c r="AX33" s="493">
        <v>589.29999999999995</v>
      </c>
      <c r="AY33" s="493">
        <v>0</v>
      </c>
      <c r="AZ33" s="493">
        <v>23052.080000000002</v>
      </c>
      <c r="BA33" s="493">
        <v>3963.41</v>
      </c>
      <c r="BB33" s="493">
        <v>40336.92</v>
      </c>
      <c r="BC33" s="493">
        <v>11836.69</v>
      </c>
      <c r="BD33" s="493">
        <v>52354.69</v>
      </c>
      <c r="BE33" s="493">
        <v>19200</v>
      </c>
      <c r="BF33" s="493">
        <v>10630.33</v>
      </c>
      <c r="BG33" s="493">
        <v>75767.67</v>
      </c>
      <c r="BH33" s="493">
        <v>7492.84</v>
      </c>
      <c r="BI33" s="493">
        <v>0</v>
      </c>
      <c r="BJ33" s="493">
        <v>21050.74</v>
      </c>
      <c r="BK33" s="493">
        <v>13883</v>
      </c>
      <c r="BL33" s="493">
        <v>666.64</v>
      </c>
      <c r="BM33" s="493">
        <v>127242.96</v>
      </c>
      <c r="BN33" s="493">
        <v>37055.019999999997</v>
      </c>
      <c r="BO33" s="493">
        <v>298694</v>
      </c>
      <c r="BP33" s="493">
        <v>19642.669999999998</v>
      </c>
      <c r="BQ33" s="493">
        <v>0</v>
      </c>
      <c r="BR33" s="493">
        <v>0</v>
      </c>
      <c r="BS33" s="493">
        <v>0</v>
      </c>
      <c r="BT33" s="493">
        <v>0</v>
      </c>
      <c r="BU33" s="493">
        <v>0</v>
      </c>
      <c r="BV33" s="494">
        <v>24899</v>
      </c>
      <c r="BW33" s="493">
        <v>0</v>
      </c>
      <c r="BX33" s="493">
        <v>0</v>
      </c>
      <c r="BY33" s="493">
        <v>6000</v>
      </c>
      <c r="BZ33" s="493">
        <v>0</v>
      </c>
      <c r="CA33" s="493">
        <v>0</v>
      </c>
      <c r="CB33" s="493">
        <v>0</v>
      </c>
      <c r="CC33" s="493">
        <v>0</v>
      </c>
      <c r="CD33" s="493">
        <v>0</v>
      </c>
      <c r="CE33" s="493">
        <v>116600.92</v>
      </c>
      <c r="CF33" s="493">
        <v>49129</v>
      </c>
      <c r="CG33" s="493">
        <v>0</v>
      </c>
      <c r="CH33" s="493">
        <v>0</v>
      </c>
      <c r="CI33" s="493">
        <v>0</v>
      </c>
      <c r="CJ33" s="495">
        <f t="shared" si="0"/>
        <v>116600.92</v>
      </c>
      <c r="CK33" s="495">
        <f t="shared" si="1"/>
        <v>49129</v>
      </c>
      <c r="CL33" s="495">
        <f t="shared" si="2"/>
        <v>116600.92</v>
      </c>
      <c r="CM33" s="573">
        <f t="shared" si="3"/>
        <v>2388701.09</v>
      </c>
      <c r="CN33" s="573">
        <f t="shared" si="4"/>
        <v>2212696.17</v>
      </c>
      <c r="CO33" s="573">
        <f t="shared" si="5"/>
        <v>2017042.65</v>
      </c>
      <c r="CP33" s="573">
        <f t="shared" si="6"/>
        <v>176004.91999999993</v>
      </c>
    </row>
    <row r="34" spans="1:94" ht="14.25" customHeight="1">
      <c r="A34" s="491">
        <v>302</v>
      </c>
      <c r="B34" s="491">
        <v>2045</v>
      </c>
      <c r="C34" s="492" t="s">
        <v>280</v>
      </c>
      <c r="D34" s="491" t="s">
        <v>594</v>
      </c>
      <c r="E34" s="491"/>
      <c r="F34" s="491" t="s">
        <v>588</v>
      </c>
      <c r="G34" s="491">
        <v>0</v>
      </c>
      <c r="H34" s="491">
        <v>1</v>
      </c>
      <c r="I34" s="491" t="s">
        <v>717</v>
      </c>
      <c r="J34" s="491" t="s">
        <v>718</v>
      </c>
      <c r="K34" s="491" t="s">
        <v>591</v>
      </c>
      <c r="L34" s="491" t="s">
        <v>592</v>
      </c>
      <c r="M34" s="491" t="s">
        <v>591</v>
      </c>
      <c r="N34" s="491" t="s">
        <v>593</v>
      </c>
      <c r="O34" s="491" t="s">
        <v>188</v>
      </c>
      <c r="P34" s="491" t="s">
        <v>188</v>
      </c>
      <c r="Q34" s="493">
        <v>25206</v>
      </c>
      <c r="R34" s="493">
        <v>0</v>
      </c>
      <c r="S34" s="493">
        <v>22506</v>
      </c>
      <c r="T34" s="493">
        <v>1456938.82</v>
      </c>
      <c r="U34" s="493">
        <v>0</v>
      </c>
      <c r="V34" s="493">
        <v>90291.41</v>
      </c>
      <c r="W34" s="493">
        <v>0</v>
      </c>
      <c r="X34" s="493">
        <v>55094.98</v>
      </c>
      <c r="Y34" s="493">
        <v>7524.42</v>
      </c>
      <c r="Z34" s="493">
        <v>40331.050000000003</v>
      </c>
      <c r="AA34" s="493">
        <v>8254.84</v>
      </c>
      <c r="AB34" s="493">
        <v>88061.759999999995</v>
      </c>
      <c r="AC34" s="493">
        <v>2673.86</v>
      </c>
      <c r="AD34" s="493">
        <v>0</v>
      </c>
      <c r="AE34" s="493">
        <v>0</v>
      </c>
      <c r="AF34" s="493">
        <v>100400.46</v>
      </c>
      <c r="AG34" s="493">
        <v>39417.03</v>
      </c>
      <c r="AH34" s="493">
        <v>0</v>
      </c>
      <c r="AI34" s="493">
        <v>0</v>
      </c>
      <c r="AJ34" s="493">
        <v>0</v>
      </c>
      <c r="AK34" s="493">
        <v>0</v>
      </c>
      <c r="AL34" s="493">
        <v>0</v>
      </c>
      <c r="AM34" s="493">
        <v>8563.76</v>
      </c>
      <c r="AN34" s="493">
        <v>46048</v>
      </c>
      <c r="AO34" s="493">
        <v>818424.36</v>
      </c>
      <c r="AP34" s="493">
        <v>0</v>
      </c>
      <c r="AQ34" s="493">
        <v>503936.99</v>
      </c>
      <c r="AR34" s="493">
        <v>70319.83</v>
      </c>
      <c r="AS34" s="493">
        <v>58276.59</v>
      </c>
      <c r="AT34" s="493">
        <v>0</v>
      </c>
      <c r="AU34" s="493">
        <v>47071.59</v>
      </c>
      <c r="AV34" s="493">
        <v>8406.4599999999991</v>
      </c>
      <c r="AW34" s="493">
        <v>2162.9699999999998</v>
      </c>
      <c r="AX34" s="493">
        <v>348.6</v>
      </c>
      <c r="AY34" s="493">
        <v>0</v>
      </c>
      <c r="AZ34" s="493">
        <v>8293.7099999999991</v>
      </c>
      <c r="BA34" s="493">
        <v>0</v>
      </c>
      <c r="BB34" s="493">
        <v>133.02000000000001</v>
      </c>
      <c r="BC34" s="493">
        <v>2890.67</v>
      </c>
      <c r="BD34" s="493">
        <v>50985.55</v>
      </c>
      <c r="BE34" s="493">
        <v>30464</v>
      </c>
      <c r="BF34" s="493">
        <v>9220.81</v>
      </c>
      <c r="BG34" s="493">
        <v>105667.59</v>
      </c>
      <c r="BH34" s="493">
        <v>9349.66</v>
      </c>
      <c r="BI34" s="493">
        <v>0</v>
      </c>
      <c r="BJ34" s="493">
        <v>8823.24</v>
      </c>
      <c r="BK34" s="493">
        <v>9336.9</v>
      </c>
      <c r="BL34" s="493">
        <v>20674.62</v>
      </c>
      <c r="BM34" s="493">
        <v>70840.460000000006</v>
      </c>
      <c r="BN34" s="493">
        <v>12674.55</v>
      </c>
      <c r="BO34" s="493">
        <v>87203.37</v>
      </c>
      <c r="BP34" s="493">
        <v>35862.49</v>
      </c>
      <c r="BQ34" s="493">
        <v>0</v>
      </c>
      <c r="BR34" s="493">
        <v>0</v>
      </c>
      <c r="BS34" s="493">
        <v>1956.18</v>
      </c>
      <c r="BT34" s="493">
        <v>0</v>
      </c>
      <c r="BU34" s="493">
        <v>0</v>
      </c>
      <c r="BV34" s="494">
        <v>6844</v>
      </c>
      <c r="BW34" s="493">
        <v>0</v>
      </c>
      <c r="BX34" s="493">
        <v>1956.18</v>
      </c>
      <c r="BY34" s="493">
        <v>6000</v>
      </c>
      <c r="BZ34" s="493">
        <v>0</v>
      </c>
      <c r="CA34" s="493">
        <v>20759.78</v>
      </c>
      <c r="CB34" s="493">
        <v>0</v>
      </c>
      <c r="CC34" s="493">
        <v>10546.4</v>
      </c>
      <c r="CD34" s="493">
        <v>0</v>
      </c>
      <c r="CE34" s="493">
        <v>-4517.82</v>
      </c>
      <c r="CF34" s="493">
        <v>0</v>
      </c>
      <c r="CG34" s="493">
        <v>0</v>
      </c>
      <c r="CH34" s="493">
        <v>0</v>
      </c>
      <c r="CI34" s="493">
        <v>0</v>
      </c>
      <c r="CJ34" s="495">
        <f t="shared" si="0"/>
        <v>-4517.82</v>
      </c>
      <c r="CK34" s="495">
        <f t="shared" si="1"/>
        <v>0</v>
      </c>
      <c r="CL34" s="495">
        <f t="shared" si="2"/>
        <v>-4517.82</v>
      </c>
      <c r="CM34" s="573">
        <f t="shared" si="3"/>
        <v>1943600.3900000001</v>
      </c>
      <c r="CN34" s="573">
        <f t="shared" si="4"/>
        <v>1973324.2100000004</v>
      </c>
      <c r="CO34" s="573">
        <f t="shared" si="5"/>
        <v>1547230.23</v>
      </c>
      <c r="CP34" s="573">
        <f t="shared" si="6"/>
        <v>-29723.820000000298</v>
      </c>
    </row>
    <row r="35" spans="1:94" ht="14.25" customHeight="1">
      <c r="A35" s="491">
        <v>302</v>
      </c>
      <c r="B35" s="491">
        <v>2053</v>
      </c>
      <c r="C35" s="492" t="s">
        <v>519</v>
      </c>
      <c r="D35" s="491" t="s">
        <v>594</v>
      </c>
      <c r="E35" s="491"/>
      <c r="F35" s="491" t="s">
        <v>588</v>
      </c>
      <c r="G35" s="491">
        <v>0</v>
      </c>
      <c r="H35" s="491">
        <v>1</v>
      </c>
      <c r="I35" s="491" t="s">
        <v>717</v>
      </c>
      <c r="J35" s="491" t="s">
        <v>718</v>
      </c>
      <c r="K35" s="491" t="s">
        <v>591</v>
      </c>
      <c r="L35" s="491" t="s">
        <v>592</v>
      </c>
      <c r="M35" s="491" t="s">
        <v>591</v>
      </c>
      <c r="N35" s="491" t="s">
        <v>593</v>
      </c>
      <c r="O35" s="491" t="s">
        <v>188</v>
      </c>
      <c r="P35" s="491" t="s">
        <v>188</v>
      </c>
      <c r="Q35" s="493">
        <v>4308</v>
      </c>
      <c r="R35" s="493">
        <v>0</v>
      </c>
      <c r="S35" s="493">
        <v>0</v>
      </c>
      <c r="T35" s="493">
        <v>1256768.6100000001</v>
      </c>
      <c r="U35" s="493">
        <v>0</v>
      </c>
      <c r="V35" s="493">
        <v>72024.86</v>
      </c>
      <c r="W35" s="493">
        <v>0</v>
      </c>
      <c r="X35" s="493">
        <v>5820.04</v>
      </c>
      <c r="Y35" s="493">
        <v>59753.3</v>
      </c>
      <c r="Z35" s="493">
        <v>36232.82</v>
      </c>
      <c r="AA35" s="493">
        <v>0</v>
      </c>
      <c r="AB35" s="493">
        <v>6605.28</v>
      </c>
      <c r="AC35" s="493">
        <v>1496.94</v>
      </c>
      <c r="AD35" s="493">
        <v>0</v>
      </c>
      <c r="AE35" s="493">
        <v>0</v>
      </c>
      <c r="AF35" s="493">
        <v>9115.75</v>
      </c>
      <c r="AG35" s="493">
        <v>593371.5</v>
      </c>
      <c r="AH35" s="493">
        <v>0</v>
      </c>
      <c r="AI35" s="493">
        <v>0</v>
      </c>
      <c r="AJ35" s="493">
        <v>0</v>
      </c>
      <c r="AK35" s="493">
        <v>0</v>
      </c>
      <c r="AL35" s="493">
        <v>0</v>
      </c>
      <c r="AM35" s="493">
        <v>500</v>
      </c>
      <c r="AN35" s="493">
        <v>60248.5</v>
      </c>
      <c r="AO35" s="493">
        <v>719365.27</v>
      </c>
      <c r="AP35" s="493">
        <v>0</v>
      </c>
      <c r="AQ35" s="493">
        <v>774930.92</v>
      </c>
      <c r="AR35" s="493">
        <v>30173.48</v>
      </c>
      <c r="AS35" s="493">
        <v>159067.59</v>
      </c>
      <c r="AT35" s="493">
        <v>0</v>
      </c>
      <c r="AU35" s="493">
        <v>0</v>
      </c>
      <c r="AV35" s="493">
        <v>8440.82</v>
      </c>
      <c r="AW35" s="493">
        <v>7832.5</v>
      </c>
      <c r="AX35" s="493">
        <v>346.94</v>
      </c>
      <c r="AY35" s="493">
        <v>0</v>
      </c>
      <c r="AZ35" s="493">
        <v>17195.849999999999</v>
      </c>
      <c r="BA35" s="493">
        <v>23026.01</v>
      </c>
      <c r="BB35" s="493">
        <v>36554.620000000003</v>
      </c>
      <c r="BC35" s="493">
        <v>3020.48</v>
      </c>
      <c r="BD35" s="493">
        <v>21666.89</v>
      </c>
      <c r="BE35" s="493">
        <v>5406</v>
      </c>
      <c r="BF35" s="493">
        <v>71668.320000000007</v>
      </c>
      <c r="BG35" s="493">
        <v>68124.740000000005</v>
      </c>
      <c r="BH35" s="493">
        <v>8561.3799999999992</v>
      </c>
      <c r="BI35" s="493">
        <v>0</v>
      </c>
      <c r="BJ35" s="493">
        <v>24024.28</v>
      </c>
      <c r="BK35" s="493">
        <v>5811.01</v>
      </c>
      <c r="BL35" s="493">
        <v>392.72</v>
      </c>
      <c r="BM35" s="493">
        <v>78606.44</v>
      </c>
      <c r="BN35" s="493">
        <v>3354.82</v>
      </c>
      <c r="BO35" s="493">
        <v>52618.84</v>
      </c>
      <c r="BP35" s="493">
        <v>17240.12</v>
      </c>
      <c r="BQ35" s="493">
        <v>0</v>
      </c>
      <c r="BR35" s="493">
        <v>0</v>
      </c>
      <c r="BS35" s="493">
        <v>0</v>
      </c>
      <c r="BT35" s="493">
        <v>0</v>
      </c>
      <c r="BU35" s="493">
        <v>0</v>
      </c>
      <c r="BV35" s="494">
        <v>0</v>
      </c>
      <c r="BW35" s="493">
        <v>0</v>
      </c>
      <c r="BX35" s="493">
        <v>0</v>
      </c>
      <c r="BY35" s="493">
        <v>6000</v>
      </c>
      <c r="BZ35" s="493">
        <v>0</v>
      </c>
      <c r="CA35" s="493">
        <v>0</v>
      </c>
      <c r="CB35" s="493">
        <v>0</v>
      </c>
      <c r="CC35" s="493">
        <v>0</v>
      </c>
      <c r="CD35" s="493">
        <v>0</v>
      </c>
      <c r="CE35" s="493">
        <v>-31184.44</v>
      </c>
      <c r="CF35" s="493">
        <v>0</v>
      </c>
      <c r="CG35" s="493">
        <v>0</v>
      </c>
      <c r="CH35" s="493">
        <v>0</v>
      </c>
      <c r="CI35" s="493">
        <v>0</v>
      </c>
      <c r="CJ35" s="495">
        <f t="shared" si="0"/>
        <v>-31184.44</v>
      </c>
      <c r="CK35" s="495">
        <f t="shared" si="1"/>
        <v>0</v>
      </c>
      <c r="CL35" s="495">
        <f t="shared" si="2"/>
        <v>-31184.44</v>
      </c>
      <c r="CM35" s="573">
        <f t="shared" si="3"/>
        <v>2101937.6000000006</v>
      </c>
      <c r="CN35" s="573">
        <f t="shared" si="4"/>
        <v>2137430.04</v>
      </c>
      <c r="CO35" s="573">
        <f t="shared" si="5"/>
        <v>1328793.4700000002</v>
      </c>
      <c r="CP35" s="573">
        <f t="shared" si="6"/>
        <v>-35492.439999999478</v>
      </c>
    </row>
    <row r="36" spans="1:94" ht="14.25" customHeight="1">
      <c r="A36" s="491">
        <v>302</v>
      </c>
      <c r="B36" s="491">
        <v>2054</v>
      </c>
      <c r="C36" s="492" t="s">
        <v>298</v>
      </c>
      <c r="D36" s="491" t="s">
        <v>594</v>
      </c>
      <c r="E36" s="491"/>
      <c r="F36" s="491" t="s">
        <v>588</v>
      </c>
      <c r="G36" s="491">
        <v>0</v>
      </c>
      <c r="H36" s="491">
        <v>0</v>
      </c>
      <c r="I36" s="491" t="s">
        <v>717</v>
      </c>
      <c r="J36" s="491" t="s">
        <v>718</v>
      </c>
      <c r="K36" s="491" t="s">
        <v>591</v>
      </c>
      <c r="L36" s="491" t="s">
        <v>592</v>
      </c>
      <c r="M36" s="491" t="s">
        <v>591</v>
      </c>
      <c r="N36" s="491" t="s">
        <v>593</v>
      </c>
      <c r="O36" s="491" t="s">
        <v>188</v>
      </c>
      <c r="P36" s="491" t="s">
        <v>188</v>
      </c>
      <c r="Q36" s="493">
        <v>74277</v>
      </c>
      <c r="R36" s="493">
        <v>0</v>
      </c>
      <c r="S36" s="493">
        <v>30508</v>
      </c>
      <c r="T36" s="493">
        <v>1071535.17</v>
      </c>
      <c r="U36" s="493">
        <v>0</v>
      </c>
      <c r="V36" s="493">
        <v>75512.41</v>
      </c>
      <c r="W36" s="493">
        <v>0</v>
      </c>
      <c r="X36" s="493">
        <v>18490.02</v>
      </c>
      <c r="Y36" s="493">
        <v>1260</v>
      </c>
      <c r="Z36" s="493">
        <v>41178.120000000003</v>
      </c>
      <c r="AA36" s="493">
        <v>38487.14</v>
      </c>
      <c r="AB36" s="493">
        <v>29207.02</v>
      </c>
      <c r="AC36" s="493">
        <v>11257.72</v>
      </c>
      <c r="AD36" s="493">
        <v>2015.5</v>
      </c>
      <c r="AE36" s="493">
        <v>0</v>
      </c>
      <c r="AF36" s="493">
        <v>29192.95</v>
      </c>
      <c r="AG36" s="493">
        <v>24701.18</v>
      </c>
      <c r="AH36" s="493">
        <v>0</v>
      </c>
      <c r="AI36" s="493">
        <v>0</v>
      </c>
      <c r="AJ36" s="493">
        <v>0</v>
      </c>
      <c r="AK36" s="493">
        <v>0</v>
      </c>
      <c r="AL36" s="493">
        <v>0</v>
      </c>
      <c r="AM36" s="493">
        <v>3275.63</v>
      </c>
      <c r="AN36" s="493">
        <v>52063</v>
      </c>
      <c r="AO36" s="493">
        <v>632051.6</v>
      </c>
      <c r="AP36" s="493">
        <v>0</v>
      </c>
      <c r="AQ36" s="493">
        <v>174028.75</v>
      </c>
      <c r="AR36" s="493">
        <v>44326.6</v>
      </c>
      <c r="AS36" s="493">
        <v>65187.199999999997</v>
      </c>
      <c r="AT36" s="493">
        <v>0</v>
      </c>
      <c r="AU36" s="493">
        <v>48199.13</v>
      </c>
      <c r="AV36" s="493">
        <v>4545.54</v>
      </c>
      <c r="AW36" s="493">
        <v>927</v>
      </c>
      <c r="AX36" s="493">
        <v>2731.93</v>
      </c>
      <c r="AY36" s="493">
        <v>0</v>
      </c>
      <c r="AZ36" s="493">
        <v>22915.3</v>
      </c>
      <c r="BA36" s="493">
        <v>196.64</v>
      </c>
      <c r="BB36" s="493">
        <v>19019.57</v>
      </c>
      <c r="BC36" s="493">
        <v>4534.3</v>
      </c>
      <c r="BD36" s="493">
        <v>18823.09</v>
      </c>
      <c r="BE36" s="493">
        <v>19086.75</v>
      </c>
      <c r="BF36" s="493">
        <v>11094.87</v>
      </c>
      <c r="BG36" s="493">
        <v>41167.160000000003</v>
      </c>
      <c r="BH36" s="493">
        <v>13590</v>
      </c>
      <c r="BI36" s="493">
        <v>0</v>
      </c>
      <c r="BJ36" s="493">
        <v>11283.57</v>
      </c>
      <c r="BK36" s="493">
        <v>7933.56</v>
      </c>
      <c r="BL36" s="493">
        <v>11896.91</v>
      </c>
      <c r="BM36" s="493">
        <v>74169.73</v>
      </c>
      <c r="BN36" s="493">
        <v>11627.21</v>
      </c>
      <c r="BO36" s="493">
        <v>152045.88</v>
      </c>
      <c r="BP36" s="493">
        <v>15803.4</v>
      </c>
      <c r="BQ36" s="493">
        <v>0</v>
      </c>
      <c r="BR36" s="493">
        <v>0</v>
      </c>
      <c r="BS36" s="493">
        <v>0</v>
      </c>
      <c r="BT36" s="493">
        <v>0</v>
      </c>
      <c r="BU36" s="493">
        <v>0</v>
      </c>
      <c r="BV36" s="494">
        <v>6328.75</v>
      </c>
      <c r="BW36" s="493">
        <v>0</v>
      </c>
      <c r="BX36" s="493">
        <v>0</v>
      </c>
      <c r="BY36" s="493">
        <v>6000</v>
      </c>
      <c r="BZ36" s="493">
        <v>0</v>
      </c>
      <c r="CA36" s="493">
        <v>23773</v>
      </c>
      <c r="CB36" s="493">
        <v>0</v>
      </c>
      <c r="CC36" s="493">
        <v>6109.5</v>
      </c>
      <c r="CD36" s="493">
        <v>0</v>
      </c>
      <c r="CE36" s="493">
        <v>65267.17</v>
      </c>
      <c r="CF36" s="493">
        <v>6954.25</v>
      </c>
      <c r="CG36" s="493">
        <v>0</v>
      </c>
      <c r="CH36" s="493">
        <v>0</v>
      </c>
      <c r="CI36" s="493">
        <v>0</v>
      </c>
      <c r="CJ36" s="495">
        <f t="shared" ref="CJ36:CJ67" si="7">CD36+CE36+CH36</f>
        <v>65267.17</v>
      </c>
      <c r="CK36" s="495">
        <f t="shared" ref="CK36:CK67" si="8">CF36+CG36+CI36</f>
        <v>6954.25</v>
      </c>
      <c r="CL36" s="495">
        <f t="shared" ref="CL36:CL67" si="9">CD36+CE36</f>
        <v>65267.17</v>
      </c>
      <c r="CM36" s="573">
        <f t="shared" si="3"/>
        <v>1398175.8599999996</v>
      </c>
      <c r="CN36" s="573">
        <f t="shared" si="4"/>
        <v>1407185.69</v>
      </c>
      <c r="CO36" s="573">
        <f t="shared" si="5"/>
        <v>1147047.5799999998</v>
      </c>
      <c r="CP36" s="573">
        <f t="shared" si="6"/>
        <v>-9009.8300000003073</v>
      </c>
    </row>
    <row r="37" spans="1:94" ht="14.25" customHeight="1">
      <c r="A37" s="491">
        <v>302</v>
      </c>
      <c r="B37" s="491">
        <v>2055</v>
      </c>
      <c r="C37" s="492" t="s">
        <v>295</v>
      </c>
      <c r="D37" s="491" t="s">
        <v>586</v>
      </c>
      <c r="E37" s="491" t="s">
        <v>725</v>
      </c>
      <c r="F37" s="491" t="s">
        <v>588</v>
      </c>
      <c r="G37" s="491">
        <v>0</v>
      </c>
      <c r="H37" s="491">
        <v>2</v>
      </c>
      <c r="I37" s="491" t="s">
        <v>717</v>
      </c>
      <c r="J37" s="491" t="s">
        <v>718</v>
      </c>
      <c r="K37" s="491" t="s">
        <v>591</v>
      </c>
      <c r="L37" s="491" t="s">
        <v>592</v>
      </c>
      <c r="M37" s="491" t="s">
        <v>591</v>
      </c>
      <c r="N37" s="491" t="s">
        <v>593</v>
      </c>
      <c r="O37" s="491" t="s">
        <v>188</v>
      </c>
      <c r="P37" s="491" t="s">
        <v>188</v>
      </c>
      <c r="Q37" s="493">
        <v>-134832</v>
      </c>
      <c r="R37" s="493">
        <v>0</v>
      </c>
      <c r="S37" s="493">
        <v>32761</v>
      </c>
      <c r="T37" s="493">
        <v>1404475.28</v>
      </c>
      <c r="U37" s="493">
        <v>0</v>
      </c>
      <c r="V37" s="493">
        <v>79423.39</v>
      </c>
      <c r="W37" s="493">
        <v>0</v>
      </c>
      <c r="X37" s="493">
        <v>89482.47</v>
      </c>
      <c r="Y37" s="493">
        <v>15296.54</v>
      </c>
      <c r="Z37" s="493">
        <v>94212.12</v>
      </c>
      <c r="AA37" s="493">
        <v>2356.65</v>
      </c>
      <c r="AB37" s="493">
        <v>18621.73</v>
      </c>
      <c r="AC37" s="493">
        <v>8198.41</v>
      </c>
      <c r="AD37" s="493">
        <v>0</v>
      </c>
      <c r="AE37" s="493">
        <v>0</v>
      </c>
      <c r="AF37" s="493">
        <v>23839.05</v>
      </c>
      <c r="AG37" s="493">
        <v>7091.06</v>
      </c>
      <c r="AH37" s="493">
        <v>0</v>
      </c>
      <c r="AI37" s="493">
        <v>0</v>
      </c>
      <c r="AJ37" s="493">
        <v>0</v>
      </c>
      <c r="AK37" s="493">
        <v>0</v>
      </c>
      <c r="AL37" s="493">
        <v>0</v>
      </c>
      <c r="AM37" s="493">
        <v>16776.009999999998</v>
      </c>
      <c r="AN37" s="493">
        <v>44041</v>
      </c>
      <c r="AO37" s="493">
        <v>813302.76</v>
      </c>
      <c r="AP37" s="493">
        <v>0</v>
      </c>
      <c r="AQ37" s="493">
        <v>430093.98</v>
      </c>
      <c r="AR37" s="493">
        <v>34785.300000000003</v>
      </c>
      <c r="AS37" s="493">
        <v>41602.370000000003</v>
      </c>
      <c r="AT37" s="493">
        <v>0</v>
      </c>
      <c r="AU37" s="493">
        <v>46913.55</v>
      </c>
      <c r="AV37" s="493">
        <v>6161.76</v>
      </c>
      <c r="AW37" s="493">
        <v>1045</v>
      </c>
      <c r="AX37" s="493">
        <v>368.52</v>
      </c>
      <c r="AY37" s="493">
        <v>0</v>
      </c>
      <c r="AZ37" s="493">
        <v>18034.93</v>
      </c>
      <c r="BA37" s="493">
        <v>4258.3999999999996</v>
      </c>
      <c r="BB37" s="493">
        <v>33739.269999999997</v>
      </c>
      <c r="BC37" s="493">
        <v>12191.33</v>
      </c>
      <c r="BD37" s="493">
        <v>48154.69</v>
      </c>
      <c r="BE37" s="493">
        <v>32448.73</v>
      </c>
      <c r="BF37" s="493">
        <v>10053.27</v>
      </c>
      <c r="BG37" s="493">
        <v>91713.95</v>
      </c>
      <c r="BH37" s="493">
        <v>6282.45</v>
      </c>
      <c r="BI37" s="493">
        <v>0</v>
      </c>
      <c r="BJ37" s="493">
        <v>10646.9</v>
      </c>
      <c r="BK37" s="493">
        <v>3248.38</v>
      </c>
      <c r="BL37" s="493">
        <v>3675.58</v>
      </c>
      <c r="BM37" s="493">
        <v>66230.55</v>
      </c>
      <c r="BN37" s="493">
        <v>39072.07</v>
      </c>
      <c r="BO37" s="493">
        <v>212513.79</v>
      </c>
      <c r="BP37" s="493">
        <v>35007.21</v>
      </c>
      <c r="BQ37" s="493">
        <v>200</v>
      </c>
      <c r="BR37" s="493">
        <v>0</v>
      </c>
      <c r="BS37" s="493">
        <v>0</v>
      </c>
      <c r="BT37" s="493">
        <v>0</v>
      </c>
      <c r="BU37" s="493">
        <v>0</v>
      </c>
      <c r="BV37" s="494">
        <v>6589.75</v>
      </c>
      <c r="BW37" s="493">
        <v>0</v>
      </c>
      <c r="BX37" s="493">
        <v>0</v>
      </c>
      <c r="BY37" s="493">
        <v>6000</v>
      </c>
      <c r="BZ37" s="493">
        <v>0</v>
      </c>
      <c r="CA37" s="493">
        <v>0</v>
      </c>
      <c r="CB37" s="493">
        <v>0</v>
      </c>
      <c r="CC37" s="493">
        <v>15730.72</v>
      </c>
      <c r="CD37" s="493">
        <v>0</v>
      </c>
      <c r="CE37" s="493">
        <v>-332763.03000000003</v>
      </c>
      <c r="CF37" s="493">
        <v>23620.03</v>
      </c>
      <c r="CG37" s="493">
        <v>0</v>
      </c>
      <c r="CH37" s="493">
        <v>0</v>
      </c>
      <c r="CI37" s="493">
        <v>0</v>
      </c>
      <c r="CJ37" s="495">
        <f t="shared" si="7"/>
        <v>-332763.03000000003</v>
      </c>
      <c r="CK37" s="495">
        <f t="shared" si="8"/>
        <v>23620.03</v>
      </c>
      <c r="CL37" s="495">
        <f t="shared" si="9"/>
        <v>-332763.03000000003</v>
      </c>
      <c r="CM37" s="573">
        <f t="shared" si="3"/>
        <v>1803813.7099999997</v>
      </c>
      <c r="CN37" s="573">
        <f t="shared" si="4"/>
        <v>2001744.74</v>
      </c>
      <c r="CO37" s="573">
        <f t="shared" si="5"/>
        <v>1483898.67</v>
      </c>
      <c r="CP37" s="573">
        <f t="shared" si="6"/>
        <v>-197931.03000000026</v>
      </c>
    </row>
    <row r="38" spans="1:94" ht="14.25" customHeight="1">
      <c r="A38" s="491">
        <v>302</v>
      </c>
      <c r="B38" s="491">
        <v>2057</v>
      </c>
      <c r="C38" s="492" t="s">
        <v>433</v>
      </c>
      <c r="D38" s="491" t="s">
        <v>594</v>
      </c>
      <c r="E38" s="491"/>
      <c r="F38" s="491" t="s">
        <v>588</v>
      </c>
      <c r="G38" s="491">
        <v>0</v>
      </c>
      <c r="H38" s="491">
        <v>0</v>
      </c>
      <c r="I38" s="491" t="s">
        <v>717</v>
      </c>
      <c r="J38" s="491" t="s">
        <v>718</v>
      </c>
      <c r="K38" s="491" t="s">
        <v>591</v>
      </c>
      <c r="L38" s="491" t="s">
        <v>592</v>
      </c>
      <c r="M38" s="491" t="s">
        <v>591</v>
      </c>
      <c r="N38" s="491" t="s">
        <v>593</v>
      </c>
      <c r="O38" s="491" t="s">
        <v>188</v>
      </c>
      <c r="P38" s="491" t="s">
        <v>188</v>
      </c>
      <c r="Q38" s="493">
        <v>234098</v>
      </c>
      <c r="R38" s="493">
        <v>12537</v>
      </c>
      <c r="S38" s="493">
        <v>48620</v>
      </c>
      <c r="T38" s="493">
        <v>3054511.95</v>
      </c>
      <c r="U38" s="493">
        <v>0</v>
      </c>
      <c r="V38" s="493">
        <v>209531.15</v>
      </c>
      <c r="W38" s="493">
        <v>0</v>
      </c>
      <c r="X38" s="493">
        <v>291115.03000000003</v>
      </c>
      <c r="Y38" s="493">
        <v>7300</v>
      </c>
      <c r="Z38" s="493">
        <v>100875.63</v>
      </c>
      <c r="AA38" s="493">
        <v>13327.5</v>
      </c>
      <c r="AB38" s="493">
        <v>62022.03</v>
      </c>
      <c r="AC38" s="493">
        <v>9629.7199999999993</v>
      </c>
      <c r="AD38" s="493">
        <v>0</v>
      </c>
      <c r="AE38" s="493">
        <v>8063</v>
      </c>
      <c r="AF38" s="493">
        <v>31029.93</v>
      </c>
      <c r="AG38" s="493">
        <v>15292.22</v>
      </c>
      <c r="AH38" s="493">
        <v>0</v>
      </c>
      <c r="AI38" s="493">
        <v>232107.6</v>
      </c>
      <c r="AJ38" s="493">
        <v>2074</v>
      </c>
      <c r="AK38" s="493">
        <v>0</v>
      </c>
      <c r="AL38" s="493">
        <v>0</v>
      </c>
      <c r="AM38" s="493">
        <v>29108.5</v>
      </c>
      <c r="AN38" s="493">
        <v>87765</v>
      </c>
      <c r="AO38" s="493">
        <v>1498759.13</v>
      </c>
      <c r="AP38" s="493">
        <v>0</v>
      </c>
      <c r="AQ38" s="493">
        <v>858538.86</v>
      </c>
      <c r="AR38" s="493">
        <v>71654.41</v>
      </c>
      <c r="AS38" s="493">
        <v>117895.83</v>
      </c>
      <c r="AT38" s="493">
        <v>0</v>
      </c>
      <c r="AU38" s="493">
        <v>92617.01</v>
      </c>
      <c r="AV38" s="493">
        <v>14326.94</v>
      </c>
      <c r="AW38" s="493">
        <v>7154.59</v>
      </c>
      <c r="AX38" s="493">
        <v>836.64</v>
      </c>
      <c r="AY38" s="493">
        <v>0</v>
      </c>
      <c r="AZ38" s="493">
        <v>23149.06</v>
      </c>
      <c r="BA38" s="493">
        <v>11013.98</v>
      </c>
      <c r="BB38" s="493">
        <v>24679.01</v>
      </c>
      <c r="BC38" s="493">
        <v>13685.83</v>
      </c>
      <c r="BD38" s="493">
        <v>73020.479999999996</v>
      </c>
      <c r="BE38" s="493">
        <v>53000</v>
      </c>
      <c r="BF38" s="493">
        <v>19359.61</v>
      </c>
      <c r="BG38" s="493">
        <v>92034.58</v>
      </c>
      <c r="BH38" s="493">
        <v>10496.37</v>
      </c>
      <c r="BI38" s="493">
        <v>0</v>
      </c>
      <c r="BJ38" s="493">
        <v>20642.29</v>
      </c>
      <c r="BK38" s="493">
        <v>17861.759999999998</v>
      </c>
      <c r="BL38" s="493">
        <v>22320.57</v>
      </c>
      <c r="BM38" s="493">
        <v>140239.94</v>
      </c>
      <c r="BN38" s="493">
        <v>202213.65</v>
      </c>
      <c r="BO38" s="493">
        <v>282831.84999999998</v>
      </c>
      <c r="BP38" s="493">
        <v>32329.17</v>
      </c>
      <c r="BQ38" s="493">
        <v>0</v>
      </c>
      <c r="BR38" s="493">
        <v>0</v>
      </c>
      <c r="BS38" s="493">
        <v>0</v>
      </c>
      <c r="BT38" s="493">
        <v>167216.91</v>
      </c>
      <c r="BU38" s="493">
        <v>62115.76</v>
      </c>
      <c r="BV38" s="494">
        <v>9773.9500000000007</v>
      </c>
      <c r="BW38" s="493">
        <v>0</v>
      </c>
      <c r="BX38" s="493">
        <v>0</v>
      </c>
      <c r="BY38" s="493">
        <v>6000</v>
      </c>
      <c r="BZ38" s="493">
        <v>0</v>
      </c>
      <c r="CA38" s="493">
        <v>0</v>
      </c>
      <c r="CB38" s="493">
        <v>0</v>
      </c>
      <c r="CC38" s="493">
        <v>35194.559999999998</v>
      </c>
      <c r="CD38" s="493">
        <v>0</v>
      </c>
      <c r="CE38" s="493">
        <v>453008.1</v>
      </c>
      <c r="CF38" s="493">
        <v>23199.39</v>
      </c>
      <c r="CG38" s="493">
        <v>0</v>
      </c>
      <c r="CH38" s="493">
        <v>17385.93</v>
      </c>
      <c r="CI38" s="493">
        <v>0</v>
      </c>
      <c r="CJ38" s="495">
        <f t="shared" si="7"/>
        <v>470394.02999999997</v>
      </c>
      <c r="CK38" s="495">
        <f t="shared" si="8"/>
        <v>23199.39</v>
      </c>
      <c r="CL38" s="495">
        <f t="shared" si="9"/>
        <v>453008.1</v>
      </c>
      <c r="CM38" s="573">
        <f t="shared" si="3"/>
        <v>3919571.66</v>
      </c>
      <c r="CN38" s="573">
        <f t="shared" si="4"/>
        <v>3700661.5599999991</v>
      </c>
      <c r="CO38" s="573">
        <f t="shared" si="5"/>
        <v>3264043.1</v>
      </c>
      <c r="CP38" s="573">
        <f t="shared" si="6"/>
        <v>218910.10000000102</v>
      </c>
    </row>
    <row r="39" spans="1:94" ht="14.25" customHeight="1">
      <c r="A39" s="491">
        <v>302</v>
      </c>
      <c r="B39" s="491">
        <v>2060</v>
      </c>
      <c r="C39" s="492" t="s">
        <v>297</v>
      </c>
      <c r="D39" s="491" t="s">
        <v>594</v>
      </c>
      <c r="E39" s="491"/>
      <c r="F39" s="491" t="s">
        <v>588</v>
      </c>
      <c r="G39" s="491">
        <v>0</v>
      </c>
      <c r="H39" s="491">
        <v>0</v>
      </c>
      <c r="I39" s="491" t="s">
        <v>717</v>
      </c>
      <c r="J39" s="491" t="s">
        <v>718</v>
      </c>
      <c r="K39" s="491" t="s">
        <v>591</v>
      </c>
      <c r="L39" s="491" t="s">
        <v>592</v>
      </c>
      <c r="M39" s="491" t="s">
        <v>591</v>
      </c>
      <c r="N39" s="491" t="s">
        <v>593</v>
      </c>
      <c r="O39" s="491" t="s">
        <v>188</v>
      </c>
      <c r="P39" s="491" t="s">
        <v>188</v>
      </c>
      <c r="Q39" s="493">
        <v>222904</v>
      </c>
      <c r="R39" s="493">
        <v>0</v>
      </c>
      <c r="S39" s="493">
        <v>34699</v>
      </c>
      <c r="T39" s="493">
        <v>2860467.13</v>
      </c>
      <c r="U39" s="493">
        <v>0</v>
      </c>
      <c r="V39" s="493">
        <v>181528.21</v>
      </c>
      <c r="W39" s="493">
        <v>0</v>
      </c>
      <c r="X39" s="493">
        <v>186330.01</v>
      </c>
      <c r="Y39" s="493">
        <v>1600</v>
      </c>
      <c r="Z39" s="493">
        <v>68148.990000000005</v>
      </c>
      <c r="AA39" s="493">
        <v>103368.96000000001</v>
      </c>
      <c r="AB39" s="493">
        <v>63037.35</v>
      </c>
      <c r="AC39" s="493">
        <v>9497.4</v>
      </c>
      <c r="AD39" s="493">
        <v>0</v>
      </c>
      <c r="AE39" s="493">
        <v>0</v>
      </c>
      <c r="AF39" s="493">
        <v>41722.019999999997</v>
      </c>
      <c r="AG39" s="493">
        <v>6451.25</v>
      </c>
      <c r="AH39" s="493">
        <v>0</v>
      </c>
      <c r="AI39" s="493">
        <v>0</v>
      </c>
      <c r="AJ39" s="493">
        <v>0</v>
      </c>
      <c r="AK39" s="493">
        <v>0</v>
      </c>
      <c r="AL39" s="493">
        <v>0</v>
      </c>
      <c r="AM39" s="493">
        <v>22172.5</v>
      </c>
      <c r="AN39" s="493">
        <v>88763</v>
      </c>
      <c r="AO39" s="493">
        <v>1326283.43</v>
      </c>
      <c r="AP39" s="493">
        <v>0</v>
      </c>
      <c r="AQ39" s="493">
        <v>958232.6</v>
      </c>
      <c r="AR39" s="493">
        <v>72989.320000000007</v>
      </c>
      <c r="AS39" s="493">
        <v>104032.24</v>
      </c>
      <c r="AT39" s="493">
        <v>0</v>
      </c>
      <c r="AU39" s="493">
        <v>119989.17</v>
      </c>
      <c r="AV39" s="493">
        <v>16021.99</v>
      </c>
      <c r="AW39" s="493">
        <v>2126.71</v>
      </c>
      <c r="AX39" s="493">
        <v>700.52</v>
      </c>
      <c r="AY39" s="493">
        <v>0</v>
      </c>
      <c r="AZ39" s="493">
        <v>53296.97</v>
      </c>
      <c r="BA39" s="493">
        <v>9307</v>
      </c>
      <c r="BB39" s="493">
        <v>46469.05</v>
      </c>
      <c r="BC39" s="493">
        <v>9473.9599999999991</v>
      </c>
      <c r="BD39" s="493">
        <v>191518.35</v>
      </c>
      <c r="BE39" s="493">
        <v>93100</v>
      </c>
      <c r="BF39" s="493">
        <v>16544.95</v>
      </c>
      <c r="BG39" s="493">
        <v>85422.37</v>
      </c>
      <c r="BH39" s="493">
        <v>19053.099999999999</v>
      </c>
      <c r="BI39" s="493">
        <v>0</v>
      </c>
      <c r="BJ39" s="493">
        <v>14660.94</v>
      </c>
      <c r="BK39" s="493">
        <v>17731.580000000002</v>
      </c>
      <c r="BL39" s="493">
        <v>10914.52</v>
      </c>
      <c r="BM39" s="493">
        <v>144492.89000000001</v>
      </c>
      <c r="BN39" s="493">
        <v>56506.59</v>
      </c>
      <c r="BO39" s="493">
        <v>119168.43</v>
      </c>
      <c r="BP39" s="493">
        <v>55929.87</v>
      </c>
      <c r="BQ39" s="493">
        <v>0</v>
      </c>
      <c r="BR39" s="493">
        <v>0</v>
      </c>
      <c r="BS39" s="493">
        <v>0</v>
      </c>
      <c r="BT39" s="493">
        <v>0</v>
      </c>
      <c r="BU39" s="493">
        <v>0</v>
      </c>
      <c r="BV39" s="494">
        <v>9087.25</v>
      </c>
      <c r="BW39" s="493">
        <v>49189.37</v>
      </c>
      <c r="BX39" s="493">
        <v>0</v>
      </c>
      <c r="BY39" s="493">
        <v>6000</v>
      </c>
      <c r="BZ39" s="493">
        <v>0</v>
      </c>
      <c r="CA39" s="493">
        <v>8239</v>
      </c>
      <c r="CB39" s="493">
        <v>61001.47</v>
      </c>
      <c r="CC39" s="493">
        <v>7668</v>
      </c>
      <c r="CD39" s="493">
        <v>0</v>
      </c>
      <c r="CE39" s="493">
        <v>312024.27</v>
      </c>
      <c r="CF39" s="493">
        <v>16067.15</v>
      </c>
      <c r="CG39" s="493">
        <v>0</v>
      </c>
      <c r="CH39" s="493">
        <v>0</v>
      </c>
      <c r="CI39" s="493">
        <v>0</v>
      </c>
      <c r="CJ39" s="495">
        <f t="shared" si="7"/>
        <v>312024.27</v>
      </c>
      <c r="CK39" s="495">
        <f t="shared" si="8"/>
        <v>16067.15</v>
      </c>
      <c r="CL39" s="495">
        <f t="shared" si="9"/>
        <v>312024.27</v>
      </c>
      <c r="CM39" s="573">
        <f t="shared" si="3"/>
        <v>3633086.82</v>
      </c>
      <c r="CN39" s="573">
        <f t="shared" si="4"/>
        <v>3543966.5500000007</v>
      </c>
      <c r="CO39" s="573">
        <f t="shared" si="5"/>
        <v>3041995.34</v>
      </c>
      <c r="CP39" s="573">
        <f t="shared" si="6"/>
        <v>89120.269999999087</v>
      </c>
    </row>
    <row r="40" spans="1:94" ht="14.25" customHeight="1">
      <c r="A40" s="491">
        <v>302</v>
      </c>
      <c r="B40" s="491">
        <v>2067</v>
      </c>
      <c r="C40" s="492" t="s">
        <v>263</v>
      </c>
      <c r="D40" s="491" t="s">
        <v>594</v>
      </c>
      <c r="E40" s="491"/>
      <c r="F40" s="491" t="s">
        <v>588</v>
      </c>
      <c r="G40" s="491">
        <v>0</v>
      </c>
      <c r="H40" s="491">
        <v>1</v>
      </c>
      <c r="I40" s="491" t="s">
        <v>717</v>
      </c>
      <c r="J40" s="491" t="s">
        <v>718</v>
      </c>
      <c r="K40" s="491" t="s">
        <v>591</v>
      </c>
      <c r="L40" s="491" t="s">
        <v>592</v>
      </c>
      <c r="M40" s="491" t="s">
        <v>591</v>
      </c>
      <c r="N40" s="491" t="s">
        <v>593</v>
      </c>
      <c r="O40" s="491" t="s">
        <v>188</v>
      </c>
      <c r="P40" s="491" t="s">
        <v>188</v>
      </c>
      <c r="Q40" s="493">
        <v>27365</v>
      </c>
      <c r="R40" s="493">
        <v>0</v>
      </c>
      <c r="S40" s="493">
        <v>20908</v>
      </c>
      <c r="T40" s="493">
        <v>1349076.67</v>
      </c>
      <c r="U40" s="493">
        <v>0</v>
      </c>
      <c r="V40" s="493">
        <v>389581.82</v>
      </c>
      <c r="W40" s="493">
        <v>0</v>
      </c>
      <c r="X40" s="493">
        <v>58200</v>
      </c>
      <c r="Y40" s="493">
        <v>8060</v>
      </c>
      <c r="Z40" s="493">
        <v>79617.34</v>
      </c>
      <c r="AA40" s="493">
        <v>11678.8</v>
      </c>
      <c r="AB40" s="493">
        <v>22563.21</v>
      </c>
      <c r="AC40" s="493">
        <v>7643.41</v>
      </c>
      <c r="AD40" s="493">
        <v>0</v>
      </c>
      <c r="AE40" s="493">
        <v>0</v>
      </c>
      <c r="AF40" s="493">
        <v>21549.49</v>
      </c>
      <c r="AG40" s="493">
        <v>4055.42</v>
      </c>
      <c r="AH40" s="493">
        <v>0</v>
      </c>
      <c r="AI40" s="493">
        <v>0</v>
      </c>
      <c r="AJ40" s="493">
        <v>0</v>
      </c>
      <c r="AK40" s="493">
        <v>0</v>
      </c>
      <c r="AL40" s="493">
        <v>0</v>
      </c>
      <c r="AM40" s="493">
        <v>0</v>
      </c>
      <c r="AN40" s="493">
        <v>62891.43</v>
      </c>
      <c r="AO40" s="493">
        <v>906372</v>
      </c>
      <c r="AP40" s="493">
        <v>0</v>
      </c>
      <c r="AQ40" s="493">
        <v>372008.81</v>
      </c>
      <c r="AR40" s="493">
        <v>35810.339999999997</v>
      </c>
      <c r="AS40" s="493">
        <v>83985.74</v>
      </c>
      <c r="AT40" s="493">
        <v>0</v>
      </c>
      <c r="AU40" s="493">
        <v>9898.7199999999993</v>
      </c>
      <c r="AV40" s="493">
        <v>6752.79</v>
      </c>
      <c r="AW40" s="493">
        <v>930</v>
      </c>
      <c r="AX40" s="493">
        <v>363.54</v>
      </c>
      <c r="AY40" s="493">
        <v>34.85</v>
      </c>
      <c r="AZ40" s="493">
        <v>20285.04</v>
      </c>
      <c r="BA40" s="493">
        <v>9426.5400000000009</v>
      </c>
      <c r="BB40" s="493">
        <v>37884.36</v>
      </c>
      <c r="BC40" s="493">
        <v>2378.0700000000002</v>
      </c>
      <c r="BD40" s="493">
        <v>40869.300000000003</v>
      </c>
      <c r="BE40" s="493">
        <v>29785.87</v>
      </c>
      <c r="BF40" s="493">
        <v>12816</v>
      </c>
      <c r="BG40" s="493">
        <v>67012.820000000007</v>
      </c>
      <c r="BH40" s="493">
        <v>20570</v>
      </c>
      <c r="BI40" s="493">
        <v>0</v>
      </c>
      <c r="BJ40" s="493">
        <v>12241.4</v>
      </c>
      <c r="BK40" s="493">
        <v>8516.91</v>
      </c>
      <c r="BL40" s="493">
        <v>6247.07</v>
      </c>
      <c r="BM40" s="493">
        <v>75812.679999999993</v>
      </c>
      <c r="BN40" s="493">
        <v>49478.62</v>
      </c>
      <c r="BO40" s="493">
        <v>247559.57</v>
      </c>
      <c r="BP40" s="493">
        <v>25256.18</v>
      </c>
      <c r="BQ40" s="493">
        <v>0</v>
      </c>
      <c r="BR40" s="493">
        <v>0</v>
      </c>
      <c r="BS40" s="493">
        <v>0</v>
      </c>
      <c r="BT40" s="493">
        <v>0</v>
      </c>
      <c r="BU40" s="493">
        <v>0</v>
      </c>
      <c r="BV40" s="494">
        <v>6508.75</v>
      </c>
      <c r="BW40" s="493">
        <v>0</v>
      </c>
      <c r="BX40" s="493">
        <v>0</v>
      </c>
      <c r="BY40" s="493">
        <v>6000</v>
      </c>
      <c r="BZ40" s="493">
        <v>0</v>
      </c>
      <c r="CA40" s="493">
        <v>14568.55</v>
      </c>
      <c r="CB40" s="493">
        <v>0</v>
      </c>
      <c r="CC40" s="493">
        <v>0</v>
      </c>
      <c r="CD40" s="493">
        <v>0</v>
      </c>
      <c r="CE40" s="493">
        <v>-40014.629999999997</v>
      </c>
      <c r="CF40" s="493">
        <v>12848.2</v>
      </c>
      <c r="CG40" s="493">
        <v>0</v>
      </c>
      <c r="CH40" s="493">
        <v>0</v>
      </c>
      <c r="CI40" s="493">
        <v>0</v>
      </c>
      <c r="CJ40" s="495">
        <f t="shared" si="7"/>
        <v>-40014.629999999997</v>
      </c>
      <c r="CK40" s="495">
        <f t="shared" si="8"/>
        <v>12848.2</v>
      </c>
      <c r="CL40" s="495">
        <f t="shared" si="9"/>
        <v>-40014.629999999997</v>
      </c>
      <c r="CM40" s="573">
        <f t="shared" si="3"/>
        <v>2014917.5899999999</v>
      </c>
      <c r="CN40" s="573">
        <f t="shared" si="4"/>
        <v>2082297.2200000007</v>
      </c>
      <c r="CO40" s="573">
        <f t="shared" si="5"/>
        <v>1738658.49</v>
      </c>
      <c r="CP40" s="573">
        <f t="shared" si="6"/>
        <v>-67379.63000000082</v>
      </c>
    </row>
    <row r="41" spans="1:94" ht="14.25" customHeight="1">
      <c r="A41" s="491">
        <v>302</v>
      </c>
      <c r="B41" s="491">
        <v>2070</v>
      </c>
      <c r="C41" s="492" t="s">
        <v>290</v>
      </c>
      <c r="D41" s="491" t="s">
        <v>594</v>
      </c>
      <c r="E41" s="491"/>
      <c r="F41" s="491" t="s">
        <v>588</v>
      </c>
      <c r="G41" s="491">
        <v>0</v>
      </c>
      <c r="H41" s="491">
        <v>0</v>
      </c>
      <c r="I41" s="491" t="s">
        <v>717</v>
      </c>
      <c r="J41" s="491" t="s">
        <v>718</v>
      </c>
      <c r="K41" s="491" t="s">
        <v>591</v>
      </c>
      <c r="L41" s="491" t="s">
        <v>592</v>
      </c>
      <c r="M41" s="491" t="s">
        <v>591</v>
      </c>
      <c r="N41" s="491" t="s">
        <v>593</v>
      </c>
      <c r="O41" s="491" t="s">
        <v>188</v>
      </c>
      <c r="P41" s="491" t="s">
        <v>188</v>
      </c>
      <c r="Q41" s="493">
        <v>308372</v>
      </c>
      <c r="R41" s="493">
        <v>0</v>
      </c>
      <c r="S41" s="493">
        <v>18368</v>
      </c>
      <c r="T41" s="493">
        <v>1445214.34</v>
      </c>
      <c r="U41" s="493">
        <v>0</v>
      </c>
      <c r="V41" s="493">
        <v>102072.2</v>
      </c>
      <c r="W41" s="493">
        <v>0</v>
      </c>
      <c r="X41" s="493">
        <v>110580.04</v>
      </c>
      <c r="Y41" s="493">
        <v>6931.43</v>
      </c>
      <c r="Z41" s="493">
        <v>33739.75</v>
      </c>
      <c r="AA41" s="493">
        <v>13530.05</v>
      </c>
      <c r="AB41" s="493">
        <v>13042.83</v>
      </c>
      <c r="AC41" s="493">
        <v>7888.52</v>
      </c>
      <c r="AD41" s="493">
        <v>0</v>
      </c>
      <c r="AE41" s="493">
        <v>0</v>
      </c>
      <c r="AF41" s="493">
        <v>31801.24</v>
      </c>
      <c r="AG41" s="493">
        <v>2219.0700000000002</v>
      </c>
      <c r="AH41" s="493">
        <v>0</v>
      </c>
      <c r="AI41" s="493">
        <v>0</v>
      </c>
      <c r="AJ41" s="493">
        <v>0</v>
      </c>
      <c r="AK41" s="493">
        <v>0</v>
      </c>
      <c r="AL41" s="493">
        <v>0</v>
      </c>
      <c r="AM41" s="493">
        <v>18934.38</v>
      </c>
      <c r="AN41" s="493">
        <v>48422</v>
      </c>
      <c r="AO41" s="493">
        <v>837676.54</v>
      </c>
      <c r="AP41" s="493">
        <v>352.79</v>
      </c>
      <c r="AQ41" s="493">
        <v>336590.7</v>
      </c>
      <c r="AR41" s="493">
        <v>59358.82</v>
      </c>
      <c r="AS41" s="493">
        <v>127104.26</v>
      </c>
      <c r="AT41" s="493">
        <v>0</v>
      </c>
      <c r="AU41" s="493">
        <v>38130</v>
      </c>
      <c r="AV41" s="493">
        <v>75159.509999999995</v>
      </c>
      <c r="AW41" s="493">
        <v>3615</v>
      </c>
      <c r="AX41" s="493">
        <v>345.28</v>
      </c>
      <c r="AY41" s="493">
        <v>0</v>
      </c>
      <c r="AZ41" s="493">
        <v>11826.9</v>
      </c>
      <c r="BA41" s="493">
        <v>1537.99</v>
      </c>
      <c r="BB41" s="493">
        <v>1729.52</v>
      </c>
      <c r="BC41" s="493">
        <v>5865.02</v>
      </c>
      <c r="BD41" s="493">
        <v>27337.27</v>
      </c>
      <c r="BE41" s="493">
        <v>25199.5</v>
      </c>
      <c r="BF41" s="493">
        <v>6949.23</v>
      </c>
      <c r="BG41" s="493">
        <v>67327.210000000006</v>
      </c>
      <c r="BH41" s="493">
        <v>14097.3</v>
      </c>
      <c r="BI41" s="493">
        <v>0</v>
      </c>
      <c r="BJ41" s="493">
        <v>13954.64</v>
      </c>
      <c r="BK41" s="493">
        <v>8791.52</v>
      </c>
      <c r="BL41" s="493">
        <v>5789.4</v>
      </c>
      <c r="BM41" s="493">
        <v>76687.3</v>
      </c>
      <c r="BN41" s="493">
        <v>7192.6</v>
      </c>
      <c r="BO41" s="493">
        <v>40626.629999999997</v>
      </c>
      <c r="BP41" s="493">
        <v>20639.830000000002</v>
      </c>
      <c r="BQ41" s="493">
        <v>0</v>
      </c>
      <c r="BR41" s="493">
        <v>0</v>
      </c>
      <c r="BS41" s="493">
        <v>30240</v>
      </c>
      <c r="BT41" s="493">
        <v>0</v>
      </c>
      <c r="BU41" s="493">
        <v>0</v>
      </c>
      <c r="BV41" s="494">
        <v>6724.75</v>
      </c>
      <c r="BW41" s="493">
        <v>0</v>
      </c>
      <c r="BX41" s="493">
        <v>30240</v>
      </c>
      <c r="BY41" s="493">
        <v>6000</v>
      </c>
      <c r="BZ41" s="493">
        <v>0</v>
      </c>
      <c r="CA41" s="493">
        <v>0</v>
      </c>
      <c r="CB41" s="493">
        <v>45831.33</v>
      </c>
      <c r="CC41" s="493">
        <v>9500.9</v>
      </c>
      <c r="CD41" s="493">
        <v>0</v>
      </c>
      <c r="CE41" s="493">
        <v>298623.09000000003</v>
      </c>
      <c r="CF41" s="493">
        <v>0.52</v>
      </c>
      <c r="CG41" s="493">
        <v>0</v>
      </c>
      <c r="CH41" s="493">
        <v>0</v>
      </c>
      <c r="CI41" s="493">
        <v>0</v>
      </c>
      <c r="CJ41" s="495">
        <f t="shared" si="7"/>
        <v>298623.09000000003</v>
      </c>
      <c r="CK41" s="495">
        <f t="shared" si="8"/>
        <v>0.52</v>
      </c>
      <c r="CL41" s="495">
        <f t="shared" si="9"/>
        <v>298623.09000000003</v>
      </c>
      <c r="CM41" s="573">
        <f t="shared" si="3"/>
        <v>1834375.85</v>
      </c>
      <c r="CN41" s="573">
        <f t="shared" si="4"/>
        <v>1844124.76</v>
      </c>
      <c r="CO41" s="573">
        <f t="shared" si="5"/>
        <v>1547286.54</v>
      </c>
      <c r="CP41" s="573">
        <f t="shared" si="6"/>
        <v>-9748.9099999999162</v>
      </c>
    </row>
    <row r="42" spans="1:94" ht="14.25" customHeight="1">
      <c r="A42" s="491">
        <v>302</v>
      </c>
      <c r="B42" s="491">
        <v>2072</v>
      </c>
      <c r="C42" s="492" t="s">
        <v>88</v>
      </c>
      <c r="D42" s="491" t="s">
        <v>586</v>
      </c>
      <c r="E42" s="491" t="s">
        <v>602</v>
      </c>
      <c r="F42" s="491" t="s">
        <v>588</v>
      </c>
      <c r="G42" s="491">
        <v>0</v>
      </c>
      <c r="H42" s="491">
        <v>0</v>
      </c>
      <c r="I42" s="491" t="s">
        <v>717</v>
      </c>
      <c r="J42" s="491" t="s">
        <v>718</v>
      </c>
      <c r="K42" s="491" t="s">
        <v>591</v>
      </c>
      <c r="L42" s="491" t="s">
        <v>592</v>
      </c>
      <c r="M42" s="491" t="s">
        <v>591</v>
      </c>
      <c r="N42" s="491" t="s">
        <v>593</v>
      </c>
      <c r="O42" s="491" t="s">
        <v>188</v>
      </c>
      <c r="P42" s="491" t="s">
        <v>188</v>
      </c>
      <c r="Q42" s="493">
        <v>93855</v>
      </c>
      <c r="R42" s="493">
        <v>0</v>
      </c>
      <c r="S42" s="493">
        <v>31494</v>
      </c>
      <c r="T42" s="493">
        <v>2901785.86</v>
      </c>
      <c r="U42" s="493">
        <v>0</v>
      </c>
      <c r="V42" s="493">
        <v>543651.43999999994</v>
      </c>
      <c r="W42" s="493">
        <v>0</v>
      </c>
      <c r="X42" s="493">
        <v>217794.97</v>
      </c>
      <c r="Y42" s="493">
        <v>3430</v>
      </c>
      <c r="Z42" s="493">
        <v>130420.87</v>
      </c>
      <c r="AA42" s="493">
        <v>42371.49</v>
      </c>
      <c r="AB42" s="493">
        <v>93795.07</v>
      </c>
      <c r="AC42" s="493">
        <v>17589.53</v>
      </c>
      <c r="AD42" s="493">
        <v>7200</v>
      </c>
      <c r="AE42" s="493">
        <v>23433.94</v>
      </c>
      <c r="AF42" s="493">
        <v>49046.400000000001</v>
      </c>
      <c r="AG42" s="493">
        <v>18215.04</v>
      </c>
      <c r="AH42" s="493">
        <v>0</v>
      </c>
      <c r="AI42" s="493">
        <v>0</v>
      </c>
      <c r="AJ42" s="493">
        <v>0</v>
      </c>
      <c r="AK42" s="493">
        <v>0</v>
      </c>
      <c r="AL42" s="493">
        <v>0</v>
      </c>
      <c r="AM42" s="493">
        <v>21550.49</v>
      </c>
      <c r="AN42" s="493">
        <v>78525</v>
      </c>
      <c r="AO42" s="493">
        <v>1708812.99</v>
      </c>
      <c r="AP42" s="493">
        <v>0</v>
      </c>
      <c r="AQ42" s="493">
        <v>1038760.3</v>
      </c>
      <c r="AR42" s="493">
        <v>75330.75</v>
      </c>
      <c r="AS42" s="493">
        <v>192344.18</v>
      </c>
      <c r="AT42" s="493">
        <v>0</v>
      </c>
      <c r="AU42" s="493">
        <v>80296.710000000006</v>
      </c>
      <c r="AV42" s="493">
        <v>19937.240000000002</v>
      </c>
      <c r="AW42" s="493">
        <v>5933</v>
      </c>
      <c r="AX42" s="493">
        <v>10262.64</v>
      </c>
      <c r="AY42" s="493">
        <v>9538.8700000000008</v>
      </c>
      <c r="AZ42" s="493">
        <v>45055.839999999997</v>
      </c>
      <c r="BA42" s="493">
        <v>13826.75</v>
      </c>
      <c r="BB42" s="493">
        <v>75729.23</v>
      </c>
      <c r="BC42" s="493">
        <v>14879.36</v>
      </c>
      <c r="BD42" s="493">
        <v>63491.66</v>
      </c>
      <c r="BE42" s="493">
        <v>46825.74</v>
      </c>
      <c r="BF42" s="493">
        <v>21598.5</v>
      </c>
      <c r="BG42" s="493">
        <v>83964.06</v>
      </c>
      <c r="BH42" s="493">
        <v>14694.29</v>
      </c>
      <c r="BI42" s="493">
        <v>0</v>
      </c>
      <c r="BJ42" s="493">
        <v>26699.91</v>
      </c>
      <c r="BK42" s="493">
        <v>16966.04</v>
      </c>
      <c r="BL42" s="493">
        <v>16170.13</v>
      </c>
      <c r="BM42" s="493">
        <v>114165.48</v>
      </c>
      <c r="BN42" s="493">
        <v>93114.23</v>
      </c>
      <c r="BO42" s="493">
        <v>286355.56</v>
      </c>
      <c r="BP42" s="493">
        <v>20822.490000000002</v>
      </c>
      <c r="BQ42" s="493">
        <v>0</v>
      </c>
      <c r="BR42" s="493">
        <v>0</v>
      </c>
      <c r="BS42" s="493">
        <v>66977</v>
      </c>
      <c r="BT42" s="493">
        <v>0</v>
      </c>
      <c r="BU42" s="493">
        <v>0</v>
      </c>
      <c r="BV42" s="494">
        <v>52898.25</v>
      </c>
      <c r="BW42" s="493">
        <v>0</v>
      </c>
      <c r="BX42" s="493">
        <v>66977</v>
      </c>
      <c r="BY42" s="493">
        <v>6000</v>
      </c>
      <c r="BZ42" s="493">
        <v>0</v>
      </c>
      <c r="CA42" s="493">
        <v>105730.33</v>
      </c>
      <c r="CB42" s="493">
        <v>0</v>
      </c>
      <c r="CC42" s="493">
        <v>14595</v>
      </c>
      <c r="CD42" s="493">
        <v>0</v>
      </c>
      <c r="CE42" s="493">
        <v>80112.149999999994</v>
      </c>
      <c r="CF42" s="493">
        <v>31043.919999999998</v>
      </c>
      <c r="CG42" s="493">
        <v>0</v>
      </c>
      <c r="CH42" s="493">
        <v>0</v>
      </c>
      <c r="CI42" s="493">
        <v>0</v>
      </c>
      <c r="CJ42" s="495">
        <f t="shared" si="7"/>
        <v>80112.149999999994</v>
      </c>
      <c r="CK42" s="495">
        <f t="shared" si="8"/>
        <v>31043.919999999998</v>
      </c>
      <c r="CL42" s="495">
        <f t="shared" si="9"/>
        <v>80112.149999999994</v>
      </c>
      <c r="CM42" s="573">
        <f t="shared" si="3"/>
        <v>4148810.1</v>
      </c>
      <c r="CN42" s="573">
        <f t="shared" si="4"/>
        <v>4162552.9500000011</v>
      </c>
      <c r="CO42" s="573">
        <f t="shared" si="5"/>
        <v>3445437.3</v>
      </c>
      <c r="CP42" s="573">
        <f t="shared" si="6"/>
        <v>-13742.850000001024</v>
      </c>
    </row>
    <row r="43" spans="1:94" ht="14.25" customHeight="1">
      <c r="A43" s="491">
        <v>302</v>
      </c>
      <c r="B43" s="491">
        <v>2073</v>
      </c>
      <c r="C43" s="492" t="s">
        <v>269</v>
      </c>
      <c r="D43" s="491" t="s">
        <v>594</v>
      </c>
      <c r="E43" s="491"/>
      <c r="F43" s="491" t="s">
        <v>588</v>
      </c>
      <c r="G43" s="491">
        <v>0</v>
      </c>
      <c r="H43" s="491">
        <v>1</v>
      </c>
      <c r="I43" s="491" t="s">
        <v>717</v>
      </c>
      <c r="J43" s="491" t="s">
        <v>718</v>
      </c>
      <c r="K43" s="491" t="s">
        <v>591</v>
      </c>
      <c r="L43" s="491" t="s">
        <v>592</v>
      </c>
      <c r="M43" s="491" t="s">
        <v>591</v>
      </c>
      <c r="N43" s="491" t="s">
        <v>593</v>
      </c>
      <c r="O43" s="491" t="s">
        <v>188</v>
      </c>
      <c r="P43" s="491" t="s">
        <v>188</v>
      </c>
      <c r="Q43" s="493">
        <v>-68537</v>
      </c>
      <c r="R43" s="493">
        <v>-1965</v>
      </c>
      <c r="S43" s="493">
        <v>31781</v>
      </c>
      <c r="T43" s="493">
        <v>3360428.46</v>
      </c>
      <c r="U43" s="493">
        <v>0</v>
      </c>
      <c r="V43" s="493">
        <v>344137.19</v>
      </c>
      <c r="W43" s="493">
        <v>0</v>
      </c>
      <c r="X43" s="493">
        <v>296841.98</v>
      </c>
      <c r="Y43" s="493">
        <v>13870.4</v>
      </c>
      <c r="Z43" s="493">
        <v>82120.320000000007</v>
      </c>
      <c r="AA43" s="493">
        <v>5200.25</v>
      </c>
      <c r="AB43" s="493">
        <v>126957.08</v>
      </c>
      <c r="AC43" s="493">
        <v>26342.67</v>
      </c>
      <c r="AD43" s="493">
        <v>0</v>
      </c>
      <c r="AE43" s="493">
        <v>0</v>
      </c>
      <c r="AF43" s="493">
        <v>40086.25</v>
      </c>
      <c r="AG43" s="493">
        <v>17499.98</v>
      </c>
      <c r="AH43" s="493">
        <v>0</v>
      </c>
      <c r="AI43" s="493">
        <v>0</v>
      </c>
      <c r="AJ43" s="493">
        <v>0</v>
      </c>
      <c r="AK43" s="493">
        <v>0</v>
      </c>
      <c r="AL43" s="493">
        <v>0</v>
      </c>
      <c r="AM43" s="493">
        <v>46590.01</v>
      </c>
      <c r="AN43" s="493">
        <v>91258</v>
      </c>
      <c r="AO43" s="493">
        <v>1795658.13</v>
      </c>
      <c r="AP43" s="493">
        <v>0</v>
      </c>
      <c r="AQ43" s="493">
        <v>1105366.45</v>
      </c>
      <c r="AR43" s="493">
        <v>195053.02</v>
      </c>
      <c r="AS43" s="493">
        <v>131470.14000000001</v>
      </c>
      <c r="AT43" s="493">
        <v>14617.67</v>
      </c>
      <c r="AU43" s="493">
        <v>219507.08</v>
      </c>
      <c r="AV43" s="493">
        <v>16216.68</v>
      </c>
      <c r="AW43" s="493">
        <v>5822.19</v>
      </c>
      <c r="AX43" s="493">
        <v>1039.1600000000001</v>
      </c>
      <c r="AY43" s="493">
        <v>0</v>
      </c>
      <c r="AZ43" s="493">
        <v>18491.599999999999</v>
      </c>
      <c r="BA43" s="493">
        <v>18047.82</v>
      </c>
      <c r="BB43" s="493">
        <v>4648.32</v>
      </c>
      <c r="BC43" s="493">
        <v>5983.56</v>
      </c>
      <c r="BD43" s="493">
        <v>146240.63</v>
      </c>
      <c r="BE43" s="493">
        <v>52298.400000000001</v>
      </c>
      <c r="BF43" s="493">
        <v>26815.41</v>
      </c>
      <c r="BG43" s="493">
        <v>91040.22</v>
      </c>
      <c r="BH43" s="493">
        <v>24747.55</v>
      </c>
      <c r="BI43" s="493">
        <v>0</v>
      </c>
      <c r="BJ43" s="493">
        <v>36694.400000000001</v>
      </c>
      <c r="BK43" s="493">
        <v>28521.14</v>
      </c>
      <c r="BL43" s="493">
        <v>17683.22</v>
      </c>
      <c r="BM43" s="493">
        <v>260963.27</v>
      </c>
      <c r="BN43" s="493">
        <v>0</v>
      </c>
      <c r="BO43" s="493">
        <v>178497.24</v>
      </c>
      <c r="BP43" s="493">
        <v>44204.32</v>
      </c>
      <c r="BQ43" s="493">
        <v>0</v>
      </c>
      <c r="BR43" s="493">
        <v>0</v>
      </c>
      <c r="BS43" s="493">
        <v>0</v>
      </c>
      <c r="BT43" s="493">
        <v>0</v>
      </c>
      <c r="BU43" s="493">
        <v>0</v>
      </c>
      <c r="BV43" s="494">
        <v>21373.919999999998</v>
      </c>
      <c r="BW43" s="493">
        <v>0</v>
      </c>
      <c r="BX43" s="493">
        <v>0</v>
      </c>
      <c r="BY43" s="493">
        <v>6000</v>
      </c>
      <c r="BZ43" s="493">
        <v>0</v>
      </c>
      <c r="CA43" s="493">
        <v>27608.85</v>
      </c>
      <c r="CB43" s="493">
        <v>0</v>
      </c>
      <c r="CC43" s="493">
        <v>13490</v>
      </c>
      <c r="CD43" s="493">
        <v>0</v>
      </c>
      <c r="CE43" s="493">
        <v>-56832.03</v>
      </c>
      <c r="CF43" s="493">
        <v>12056.07</v>
      </c>
      <c r="CG43" s="493">
        <v>0</v>
      </c>
      <c r="CH43" s="493">
        <v>-1965</v>
      </c>
      <c r="CI43" s="493">
        <v>0</v>
      </c>
      <c r="CJ43" s="495">
        <f t="shared" si="7"/>
        <v>-58797.03</v>
      </c>
      <c r="CK43" s="495">
        <f t="shared" si="8"/>
        <v>12056.07</v>
      </c>
      <c r="CL43" s="495">
        <f t="shared" si="9"/>
        <v>-56832.03</v>
      </c>
      <c r="CM43" s="573">
        <f t="shared" si="3"/>
        <v>4451332.59</v>
      </c>
      <c r="CN43" s="573">
        <f t="shared" si="4"/>
        <v>4439627.620000001</v>
      </c>
      <c r="CO43" s="573">
        <f t="shared" si="5"/>
        <v>3704565.65</v>
      </c>
      <c r="CP43" s="573">
        <f t="shared" si="6"/>
        <v>11704.969999998808</v>
      </c>
    </row>
    <row r="44" spans="1:94" ht="14.25" customHeight="1">
      <c r="A44" s="491">
        <v>302</v>
      </c>
      <c r="B44" s="491">
        <v>2076</v>
      </c>
      <c r="C44" s="492" t="s">
        <v>296</v>
      </c>
      <c r="D44" s="491" t="s">
        <v>594</v>
      </c>
      <c r="E44" s="491"/>
      <c r="F44" s="491" t="s">
        <v>588</v>
      </c>
      <c r="G44" s="491">
        <v>0</v>
      </c>
      <c r="H44" s="491">
        <v>0</v>
      </c>
      <c r="I44" s="491" t="s">
        <v>717</v>
      </c>
      <c r="J44" s="491" t="s">
        <v>718</v>
      </c>
      <c r="K44" s="491" t="s">
        <v>591</v>
      </c>
      <c r="L44" s="491" t="s">
        <v>592</v>
      </c>
      <c r="M44" s="491" t="s">
        <v>591</v>
      </c>
      <c r="N44" s="491" t="s">
        <v>593</v>
      </c>
      <c r="O44" s="491" t="s">
        <v>188</v>
      </c>
      <c r="P44" s="491" t="s">
        <v>188</v>
      </c>
      <c r="Q44" s="493">
        <v>157115</v>
      </c>
      <c r="R44" s="493">
        <v>0</v>
      </c>
      <c r="S44" s="493">
        <v>24093</v>
      </c>
      <c r="T44" s="493">
        <v>1964786.15</v>
      </c>
      <c r="U44" s="493">
        <v>0</v>
      </c>
      <c r="V44" s="493">
        <v>140890.43</v>
      </c>
      <c r="W44" s="493">
        <v>0</v>
      </c>
      <c r="X44" s="493">
        <v>164415.03</v>
      </c>
      <c r="Y44" s="493">
        <v>200</v>
      </c>
      <c r="Z44" s="493">
        <v>98702.84</v>
      </c>
      <c r="AA44" s="493">
        <v>79205.5</v>
      </c>
      <c r="AB44" s="493">
        <v>29458.83</v>
      </c>
      <c r="AC44" s="493">
        <v>11223.29</v>
      </c>
      <c r="AD44" s="493">
        <v>0</v>
      </c>
      <c r="AE44" s="493">
        <v>890</v>
      </c>
      <c r="AF44" s="493">
        <v>8531.5</v>
      </c>
      <c r="AG44" s="493">
        <v>4224.54</v>
      </c>
      <c r="AH44" s="493">
        <v>0</v>
      </c>
      <c r="AI44" s="493">
        <v>0</v>
      </c>
      <c r="AJ44" s="493">
        <v>0</v>
      </c>
      <c r="AK44" s="493">
        <v>0</v>
      </c>
      <c r="AL44" s="493">
        <v>0</v>
      </c>
      <c r="AM44" s="493">
        <v>27691.26</v>
      </c>
      <c r="AN44" s="493">
        <v>57699</v>
      </c>
      <c r="AO44" s="493">
        <v>1008286.01</v>
      </c>
      <c r="AP44" s="493">
        <v>2478.4499999999998</v>
      </c>
      <c r="AQ44" s="493">
        <v>423943.89</v>
      </c>
      <c r="AR44" s="493">
        <v>9880.16</v>
      </c>
      <c r="AS44" s="493">
        <v>216622.98</v>
      </c>
      <c r="AT44" s="493">
        <v>0</v>
      </c>
      <c r="AU44" s="493">
        <v>49178.07</v>
      </c>
      <c r="AV44" s="493">
        <v>10714.41</v>
      </c>
      <c r="AW44" s="493">
        <v>5610.18</v>
      </c>
      <c r="AX44" s="493">
        <v>534.52</v>
      </c>
      <c r="AY44" s="493">
        <v>0</v>
      </c>
      <c r="AZ44" s="493">
        <v>23134.69</v>
      </c>
      <c r="BA44" s="493">
        <v>3456.86</v>
      </c>
      <c r="BB44" s="493">
        <v>80433.55</v>
      </c>
      <c r="BC44" s="493">
        <v>9494.76</v>
      </c>
      <c r="BD44" s="493">
        <v>99735.23</v>
      </c>
      <c r="BE44" s="493">
        <v>31250</v>
      </c>
      <c r="BF44" s="493">
        <v>10850.02</v>
      </c>
      <c r="BG44" s="493">
        <v>44780.4</v>
      </c>
      <c r="BH44" s="493">
        <v>28386.639999999999</v>
      </c>
      <c r="BI44" s="493">
        <v>0</v>
      </c>
      <c r="BJ44" s="493">
        <v>15094.03</v>
      </c>
      <c r="BK44" s="493">
        <v>13758.07</v>
      </c>
      <c r="BL44" s="493">
        <v>7778.01</v>
      </c>
      <c r="BM44" s="493">
        <v>103567.79</v>
      </c>
      <c r="BN44" s="493">
        <v>67328</v>
      </c>
      <c r="BO44" s="493">
        <v>242556.53</v>
      </c>
      <c r="BP44" s="493">
        <v>30618.19</v>
      </c>
      <c r="BQ44" s="493">
        <v>0</v>
      </c>
      <c r="BR44" s="493">
        <v>0</v>
      </c>
      <c r="BS44" s="493">
        <v>25003</v>
      </c>
      <c r="BT44" s="493">
        <v>0</v>
      </c>
      <c r="BU44" s="493">
        <v>0</v>
      </c>
      <c r="BV44" s="494">
        <v>7998.25</v>
      </c>
      <c r="BW44" s="493">
        <v>20375</v>
      </c>
      <c r="BX44" s="493">
        <v>25003</v>
      </c>
      <c r="BY44" s="493">
        <v>6000</v>
      </c>
      <c r="BZ44" s="493">
        <v>0</v>
      </c>
      <c r="CA44" s="493">
        <v>41237.599999999999</v>
      </c>
      <c r="CB44" s="493">
        <v>7875</v>
      </c>
      <c r="CC44" s="493">
        <v>7949.6</v>
      </c>
      <c r="CD44" s="493">
        <v>0</v>
      </c>
      <c r="CE44" s="493">
        <v>180558.93</v>
      </c>
      <c r="CF44" s="493">
        <v>20407.05</v>
      </c>
      <c r="CG44" s="493">
        <v>0</v>
      </c>
      <c r="CH44" s="493">
        <v>0</v>
      </c>
      <c r="CI44" s="493">
        <v>0</v>
      </c>
      <c r="CJ44" s="495">
        <f t="shared" si="7"/>
        <v>180558.93</v>
      </c>
      <c r="CK44" s="495">
        <f t="shared" si="8"/>
        <v>20407.05</v>
      </c>
      <c r="CL44" s="495">
        <f t="shared" si="9"/>
        <v>180558.93</v>
      </c>
      <c r="CM44" s="573">
        <f t="shared" si="3"/>
        <v>2587918.3699999996</v>
      </c>
      <c r="CN44" s="573">
        <f t="shared" si="4"/>
        <v>2564474.4399999995</v>
      </c>
      <c r="CO44" s="573">
        <f t="shared" si="5"/>
        <v>2105676.58</v>
      </c>
      <c r="CP44" s="573">
        <f t="shared" si="6"/>
        <v>23443.930000000168</v>
      </c>
    </row>
    <row r="45" spans="1:94" ht="14.25" customHeight="1">
      <c r="A45" s="491">
        <v>302</v>
      </c>
      <c r="B45" s="491">
        <v>2077</v>
      </c>
      <c r="C45" s="492" t="s">
        <v>293</v>
      </c>
      <c r="D45" s="491" t="s">
        <v>586</v>
      </c>
      <c r="E45" s="491" t="s">
        <v>726</v>
      </c>
      <c r="F45" s="491" t="s">
        <v>588</v>
      </c>
      <c r="G45" s="491">
        <v>0</v>
      </c>
      <c r="H45" s="491">
        <v>2</v>
      </c>
      <c r="I45" s="491" t="s">
        <v>717</v>
      </c>
      <c r="J45" s="491" t="s">
        <v>718</v>
      </c>
      <c r="K45" s="491" t="s">
        <v>591</v>
      </c>
      <c r="L45" s="491" t="s">
        <v>592</v>
      </c>
      <c r="M45" s="491" t="s">
        <v>591</v>
      </c>
      <c r="N45" s="491" t="s">
        <v>593</v>
      </c>
      <c r="O45" s="491" t="s">
        <v>188</v>
      </c>
      <c r="P45" s="491" t="s">
        <v>188</v>
      </c>
      <c r="Q45" s="493">
        <v>-147250</v>
      </c>
      <c r="R45" s="493">
        <v>0</v>
      </c>
      <c r="S45" s="493">
        <v>51626</v>
      </c>
      <c r="T45" s="493">
        <v>5883581.4800000004</v>
      </c>
      <c r="U45" s="493">
        <v>0</v>
      </c>
      <c r="V45" s="493">
        <v>785217.2</v>
      </c>
      <c r="W45" s="493">
        <v>0</v>
      </c>
      <c r="X45" s="493">
        <v>598544</v>
      </c>
      <c r="Y45" s="493">
        <v>1874.42</v>
      </c>
      <c r="Z45" s="493">
        <v>106116.99</v>
      </c>
      <c r="AA45" s="493">
        <v>14647.5</v>
      </c>
      <c r="AB45" s="493">
        <v>139971.35</v>
      </c>
      <c r="AC45" s="493">
        <v>36872.89</v>
      </c>
      <c r="AD45" s="493">
        <v>0</v>
      </c>
      <c r="AE45" s="493">
        <v>0</v>
      </c>
      <c r="AF45" s="493">
        <v>91826.3</v>
      </c>
      <c r="AG45" s="493">
        <v>30257.93</v>
      </c>
      <c r="AH45" s="493">
        <v>0</v>
      </c>
      <c r="AI45" s="493">
        <v>0</v>
      </c>
      <c r="AJ45" s="493">
        <v>0</v>
      </c>
      <c r="AK45" s="493">
        <v>0</v>
      </c>
      <c r="AL45" s="493">
        <v>0</v>
      </c>
      <c r="AM45" s="493">
        <v>78736.929999999993</v>
      </c>
      <c r="AN45" s="493">
        <v>143551</v>
      </c>
      <c r="AO45" s="493">
        <v>3507231.71</v>
      </c>
      <c r="AP45" s="493">
        <v>0</v>
      </c>
      <c r="AQ45" s="493">
        <v>2104772.04</v>
      </c>
      <c r="AR45" s="493">
        <v>360597.77</v>
      </c>
      <c r="AS45" s="493">
        <v>283316.15000000002</v>
      </c>
      <c r="AT45" s="493">
        <v>156877.79</v>
      </c>
      <c r="AU45" s="493">
        <v>350810.71</v>
      </c>
      <c r="AV45" s="493">
        <v>32168.3</v>
      </c>
      <c r="AW45" s="493">
        <v>7283.19</v>
      </c>
      <c r="AX45" s="493">
        <v>1392.74</v>
      </c>
      <c r="AY45" s="493">
        <v>0</v>
      </c>
      <c r="AZ45" s="493">
        <v>130253.71</v>
      </c>
      <c r="BA45" s="493">
        <v>21197.119999999999</v>
      </c>
      <c r="BB45" s="493">
        <v>14736</v>
      </c>
      <c r="BC45" s="493">
        <v>45726.33</v>
      </c>
      <c r="BD45" s="493">
        <v>201165.75</v>
      </c>
      <c r="BE45" s="493">
        <v>0</v>
      </c>
      <c r="BF45" s="493">
        <v>19696.91</v>
      </c>
      <c r="BG45" s="493">
        <v>298826.53999999998</v>
      </c>
      <c r="BH45" s="493">
        <v>21880.01</v>
      </c>
      <c r="BI45" s="493">
        <v>0</v>
      </c>
      <c r="BJ45" s="493">
        <v>98513.2</v>
      </c>
      <c r="BK45" s="493">
        <v>34794.67</v>
      </c>
      <c r="BL45" s="493">
        <v>53030.73</v>
      </c>
      <c r="BM45" s="493">
        <v>252883.83</v>
      </c>
      <c r="BN45" s="493">
        <v>140725.13</v>
      </c>
      <c r="BO45" s="493">
        <v>430324.98</v>
      </c>
      <c r="BP45" s="493">
        <v>84679.84</v>
      </c>
      <c r="BQ45" s="493">
        <v>0</v>
      </c>
      <c r="BR45" s="493">
        <v>0</v>
      </c>
      <c r="BS45" s="493">
        <v>0</v>
      </c>
      <c r="BT45" s="493">
        <v>0</v>
      </c>
      <c r="BU45" s="493">
        <v>796.15</v>
      </c>
      <c r="BV45" s="494">
        <v>14386</v>
      </c>
      <c r="BW45" s="493">
        <v>0</v>
      </c>
      <c r="BX45" s="493">
        <v>0</v>
      </c>
      <c r="BY45" s="493">
        <v>6000</v>
      </c>
      <c r="BZ45" s="493">
        <v>0</v>
      </c>
      <c r="CA45" s="493">
        <v>39034.949999999997</v>
      </c>
      <c r="CB45" s="493">
        <v>22545</v>
      </c>
      <c r="CC45" s="493">
        <v>0</v>
      </c>
      <c r="CD45" s="493">
        <v>0</v>
      </c>
      <c r="CE45" s="493">
        <v>-888937.16</v>
      </c>
      <c r="CF45" s="493">
        <v>4432.05</v>
      </c>
      <c r="CG45" s="493">
        <v>0</v>
      </c>
      <c r="CH45" s="493">
        <v>-796.15</v>
      </c>
      <c r="CI45" s="493">
        <v>0</v>
      </c>
      <c r="CJ45" s="495">
        <f t="shared" si="7"/>
        <v>-889733.31</v>
      </c>
      <c r="CK45" s="495">
        <f t="shared" si="8"/>
        <v>4432.05</v>
      </c>
      <c r="CL45" s="495">
        <f t="shared" si="9"/>
        <v>-888937.16</v>
      </c>
      <c r="CM45" s="573">
        <f t="shared" si="3"/>
        <v>7911197.9899999993</v>
      </c>
      <c r="CN45" s="573">
        <f t="shared" si="4"/>
        <v>8652885.1500000004</v>
      </c>
      <c r="CO45" s="573">
        <f t="shared" si="5"/>
        <v>6668798.6800000006</v>
      </c>
      <c r="CP45" s="573">
        <f t="shared" si="6"/>
        <v>-741687.16000000108</v>
      </c>
    </row>
    <row r="46" spans="1:94" ht="14.25" customHeight="1">
      <c r="A46" s="491">
        <v>302</v>
      </c>
      <c r="B46" s="491">
        <v>2078</v>
      </c>
      <c r="C46" s="492" t="s">
        <v>282</v>
      </c>
      <c r="D46" s="491" t="s">
        <v>594</v>
      </c>
      <c r="E46" s="491"/>
      <c r="F46" s="491" t="s">
        <v>588</v>
      </c>
      <c r="G46" s="491">
        <v>0</v>
      </c>
      <c r="H46" s="491">
        <v>1</v>
      </c>
      <c r="I46" s="491" t="s">
        <v>717</v>
      </c>
      <c r="J46" s="491" t="s">
        <v>718</v>
      </c>
      <c r="K46" s="491" t="s">
        <v>591</v>
      </c>
      <c r="L46" s="491" t="s">
        <v>592</v>
      </c>
      <c r="M46" s="491" t="s">
        <v>591</v>
      </c>
      <c r="N46" s="491" t="s">
        <v>593</v>
      </c>
      <c r="O46" s="491" t="s">
        <v>188</v>
      </c>
      <c r="P46" s="491" t="s">
        <v>188</v>
      </c>
      <c r="Q46" s="493">
        <v>-220285</v>
      </c>
      <c r="R46" s="493">
        <v>0</v>
      </c>
      <c r="S46" s="493">
        <v>1378</v>
      </c>
      <c r="T46" s="493">
        <v>1691229.41</v>
      </c>
      <c r="U46" s="493">
        <v>0</v>
      </c>
      <c r="V46" s="493">
        <v>78425.279999999999</v>
      </c>
      <c r="W46" s="493">
        <v>0</v>
      </c>
      <c r="X46" s="493">
        <v>30554.99</v>
      </c>
      <c r="Y46" s="493">
        <v>61937.33</v>
      </c>
      <c r="Z46" s="493">
        <v>83328</v>
      </c>
      <c r="AA46" s="493">
        <v>0</v>
      </c>
      <c r="AB46" s="493">
        <v>7919.99</v>
      </c>
      <c r="AC46" s="493">
        <v>9.85</v>
      </c>
      <c r="AD46" s="493">
        <v>9800</v>
      </c>
      <c r="AE46" s="493">
        <v>1976</v>
      </c>
      <c r="AF46" s="493">
        <v>27418.51</v>
      </c>
      <c r="AG46" s="493">
        <v>125630.82</v>
      </c>
      <c r="AH46" s="493">
        <v>0</v>
      </c>
      <c r="AI46" s="493">
        <v>0</v>
      </c>
      <c r="AJ46" s="493">
        <v>0</v>
      </c>
      <c r="AK46" s="493">
        <v>0</v>
      </c>
      <c r="AL46" s="493">
        <v>0</v>
      </c>
      <c r="AM46" s="493">
        <v>0</v>
      </c>
      <c r="AN46" s="493">
        <v>58783.63</v>
      </c>
      <c r="AO46" s="493">
        <v>1055097.33</v>
      </c>
      <c r="AP46" s="493">
        <v>0</v>
      </c>
      <c r="AQ46" s="493">
        <v>328136.76</v>
      </c>
      <c r="AR46" s="493">
        <v>35509.15</v>
      </c>
      <c r="AS46" s="493">
        <v>182071.35</v>
      </c>
      <c r="AT46" s="493">
        <v>0</v>
      </c>
      <c r="AU46" s="493">
        <v>37911.4</v>
      </c>
      <c r="AV46" s="493">
        <v>5438.7</v>
      </c>
      <c r="AW46" s="493">
        <v>2276.25</v>
      </c>
      <c r="AX46" s="493">
        <v>8053.03</v>
      </c>
      <c r="AY46" s="493">
        <v>0</v>
      </c>
      <c r="AZ46" s="493">
        <v>60449.96</v>
      </c>
      <c r="BA46" s="493">
        <v>0</v>
      </c>
      <c r="BB46" s="493">
        <v>45433.08</v>
      </c>
      <c r="BC46" s="493">
        <v>6474.31</v>
      </c>
      <c r="BD46" s="493">
        <v>35748.39</v>
      </c>
      <c r="BE46" s="493">
        <v>0</v>
      </c>
      <c r="BF46" s="493">
        <v>80620.97</v>
      </c>
      <c r="BG46" s="493">
        <v>92572.76</v>
      </c>
      <c r="BH46" s="493">
        <v>7463.98</v>
      </c>
      <c r="BI46" s="493">
        <v>0</v>
      </c>
      <c r="BJ46" s="493">
        <v>9677.1</v>
      </c>
      <c r="BK46" s="493">
        <v>5656.84</v>
      </c>
      <c r="BL46" s="493">
        <v>7958.4</v>
      </c>
      <c r="BM46" s="493">
        <v>59160.12</v>
      </c>
      <c r="BN46" s="493">
        <v>70450.600000000006</v>
      </c>
      <c r="BO46" s="493">
        <v>76811.5</v>
      </c>
      <c r="BP46" s="493">
        <v>0</v>
      </c>
      <c r="BQ46" s="493">
        <v>0</v>
      </c>
      <c r="BR46" s="493">
        <v>0</v>
      </c>
      <c r="BS46" s="493">
        <v>0</v>
      </c>
      <c r="BT46" s="493">
        <v>0</v>
      </c>
      <c r="BU46" s="493">
        <v>0</v>
      </c>
      <c r="BV46" s="494">
        <v>0</v>
      </c>
      <c r="BW46" s="493">
        <v>0</v>
      </c>
      <c r="BX46" s="493">
        <v>0</v>
      </c>
      <c r="BY46" s="493">
        <v>6000</v>
      </c>
      <c r="BZ46" s="493">
        <v>0</v>
      </c>
      <c r="CA46" s="493">
        <v>0</v>
      </c>
      <c r="CB46" s="493">
        <v>0</v>
      </c>
      <c r="CC46" s="493">
        <v>0</v>
      </c>
      <c r="CD46" s="493">
        <v>0</v>
      </c>
      <c r="CE46" s="493">
        <v>-256243.17</v>
      </c>
      <c r="CF46" s="493">
        <v>1378</v>
      </c>
      <c r="CG46" s="493">
        <v>0</v>
      </c>
      <c r="CH46" s="493">
        <v>0</v>
      </c>
      <c r="CI46" s="493">
        <v>0</v>
      </c>
      <c r="CJ46" s="495">
        <f t="shared" si="7"/>
        <v>-256243.17</v>
      </c>
      <c r="CK46" s="495">
        <f t="shared" si="8"/>
        <v>1378</v>
      </c>
      <c r="CL46" s="495">
        <f t="shared" si="9"/>
        <v>-256243.17</v>
      </c>
      <c r="CM46" s="573">
        <f t="shared" si="3"/>
        <v>2177013.81</v>
      </c>
      <c r="CN46" s="573">
        <f t="shared" si="4"/>
        <v>2212971.98</v>
      </c>
      <c r="CO46" s="573">
        <f t="shared" si="5"/>
        <v>1769654.69</v>
      </c>
      <c r="CP46" s="573">
        <f t="shared" si="6"/>
        <v>-35958.169999999925</v>
      </c>
    </row>
    <row r="47" spans="1:94" ht="14.25" customHeight="1">
      <c r="A47" s="491">
        <v>302</v>
      </c>
      <c r="B47" s="491">
        <v>2079</v>
      </c>
      <c r="C47" s="492" t="s">
        <v>259</v>
      </c>
      <c r="D47" s="491" t="s">
        <v>594</v>
      </c>
      <c r="E47" s="491"/>
      <c r="F47" s="491" t="s">
        <v>588</v>
      </c>
      <c r="G47" s="491">
        <v>0</v>
      </c>
      <c r="H47" s="491">
        <v>0</v>
      </c>
      <c r="I47" s="491" t="s">
        <v>717</v>
      </c>
      <c r="J47" s="491" t="s">
        <v>718</v>
      </c>
      <c r="K47" s="491" t="s">
        <v>591</v>
      </c>
      <c r="L47" s="491" t="s">
        <v>592</v>
      </c>
      <c r="M47" s="491" t="s">
        <v>591</v>
      </c>
      <c r="N47" s="491" t="s">
        <v>593</v>
      </c>
      <c r="O47" s="491" t="s">
        <v>188</v>
      </c>
      <c r="P47" s="491" t="s">
        <v>188</v>
      </c>
      <c r="Q47" s="493">
        <v>-56282</v>
      </c>
      <c r="R47" s="493">
        <v>0</v>
      </c>
      <c r="S47" s="493">
        <v>0</v>
      </c>
      <c r="T47" s="493">
        <v>2213022.2400000002</v>
      </c>
      <c r="U47" s="493">
        <v>0</v>
      </c>
      <c r="V47" s="493">
        <v>31374.68</v>
      </c>
      <c r="W47" s="493">
        <v>0</v>
      </c>
      <c r="X47" s="493">
        <v>20370.02</v>
      </c>
      <c r="Y47" s="493">
        <v>0</v>
      </c>
      <c r="Z47" s="493">
        <v>92971.85</v>
      </c>
      <c r="AA47" s="493">
        <v>0</v>
      </c>
      <c r="AB47" s="493">
        <v>0</v>
      </c>
      <c r="AC47" s="493">
        <v>0</v>
      </c>
      <c r="AD47" s="493">
        <v>0</v>
      </c>
      <c r="AE47" s="493">
        <v>0</v>
      </c>
      <c r="AF47" s="493">
        <v>4941.3500000000004</v>
      </c>
      <c r="AG47" s="493">
        <v>0</v>
      </c>
      <c r="AH47" s="493">
        <v>0</v>
      </c>
      <c r="AI47" s="493">
        <v>0</v>
      </c>
      <c r="AJ47" s="493">
        <v>0</v>
      </c>
      <c r="AK47" s="493">
        <v>0</v>
      </c>
      <c r="AL47" s="493">
        <v>0</v>
      </c>
      <c r="AM47" s="493">
        <v>0</v>
      </c>
      <c r="AN47" s="493">
        <v>111121.08</v>
      </c>
      <c r="AO47" s="493">
        <v>1486837.4</v>
      </c>
      <c r="AP47" s="493">
        <v>0</v>
      </c>
      <c r="AQ47" s="493">
        <v>192759.3</v>
      </c>
      <c r="AR47" s="493">
        <v>15784.59</v>
      </c>
      <c r="AS47" s="493">
        <v>127878.6</v>
      </c>
      <c r="AT47" s="493">
        <v>0</v>
      </c>
      <c r="AU47" s="493">
        <v>51701.71</v>
      </c>
      <c r="AV47" s="493">
        <v>11708.38</v>
      </c>
      <c r="AW47" s="493">
        <v>3332.5</v>
      </c>
      <c r="AX47" s="493">
        <v>687.24</v>
      </c>
      <c r="AY47" s="493">
        <v>0</v>
      </c>
      <c r="AZ47" s="493">
        <v>42113.61</v>
      </c>
      <c r="BA47" s="493">
        <v>0</v>
      </c>
      <c r="BB47" s="493">
        <v>69472.78</v>
      </c>
      <c r="BC47" s="493">
        <v>13243.24</v>
      </c>
      <c r="BD47" s="493">
        <v>43163.93</v>
      </c>
      <c r="BE47" s="493">
        <v>34473.599999999999</v>
      </c>
      <c r="BF47" s="493">
        <v>21630.77</v>
      </c>
      <c r="BG47" s="493">
        <v>18943.87</v>
      </c>
      <c r="BH47" s="493">
        <v>22277</v>
      </c>
      <c r="BI47" s="493">
        <v>0</v>
      </c>
      <c r="BJ47" s="493">
        <v>19856.03</v>
      </c>
      <c r="BK47" s="493">
        <v>17411.46</v>
      </c>
      <c r="BL47" s="493">
        <v>84992.57</v>
      </c>
      <c r="BM47" s="493">
        <v>41046.29</v>
      </c>
      <c r="BN47" s="493">
        <v>0</v>
      </c>
      <c r="BO47" s="493">
        <v>39498.269999999997</v>
      </c>
      <c r="BP47" s="493">
        <v>46986.89</v>
      </c>
      <c r="BQ47" s="493">
        <v>0</v>
      </c>
      <c r="BR47" s="493">
        <v>0</v>
      </c>
      <c r="BS47" s="493">
        <v>0</v>
      </c>
      <c r="BT47" s="493">
        <v>0</v>
      </c>
      <c r="BU47" s="493">
        <v>0</v>
      </c>
      <c r="BV47" s="494">
        <v>0</v>
      </c>
      <c r="BW47" s="493">
        <v>0</v>
      </c>
      <c r="BX47" s="493">
        <v>0</v>
      </c>
      <c r="BY47" s="493">
        <v>6000</v>
      </c>
      <c r="BZ47" s="493">
        <v>0</v>
      </c>
      <c r="CA47" s="493">
        <v>0</v>
      </c>
      <c r="CB47" s="493">
        <v>0</v>
      </c>
      <c r="CC47" s="493">
        <v>0</v>
      </c>
      <c r="CD47" s="493">
        <v>0</v>
      </c>
      <c r="CE47" s="493">
        <v>11719.19</v>
      </c>
      <c r="CF47" s="493">
        <v>0</v>
      </c>
      <c r="CG47" s="493">
        <v>0</v>
      </c>
      <c r="CH47" s="493">
        <v>0</v>
      </c>
      <c r="CI47" s="493">
        <v>0</v>
      </c>
      <c r="CJ47" s="495">
        <f t="shared" si="7"/>
        <v>11719.19</v>
      </c>
      <c r="CK47" s="495">
        <f t="shared" si="8"/>
        <v>0</v>
      </c>
      <c r="CL47" s="495">
        <f t="shared" si="9"/>
        <v>11719.19</v>
      </c>
      <c r="CM47" s="573">
        <f t="shared" si="3"/>
        <v>2473801.2200000007</v>
      </c>
      <c r="CN47" s="573">
        <f t="shared" si="4"/>
        <v>2405800.0299999998</v>
      </c>
      <c r="CO47" s="573">
        <f t="shared" si="5"/>
        <v>2244396.9200000004</v>
      </c>
      <c r="CP47" s="573">
        <f t="shared" si="6"/>
        <v>68001.190000000875</v>
      </c>
    </row>
    <row r="48" spans="1:94" ht="14.25" customHeight="1">
      <c r="A48" s="491">
        <v>302</v>
      </c>
      <c r="B48" s="491">
        <v>3300</v>
      </c>
      <c r="C48" s="492" t="s">
        <v>604</v>
      </c>
      <c r="D48" s="491" t="s">
        <v>594</v>
      </c>
      <c r="E48" s="491"/>
      <c r="F48" s="491" t="s">
        <v>588</v>
      </c>
      <c r="G48" s="491">
        <v>0</v>
      </c>
      <c r="H48" s="491">
        <v>0</v>
      </c>
      <c r="I48" s="491" t="s">
        <v>717</v>
      </c>
      <c r="J48" s="491" t="s">
        <v>718</v>
      </c>
      <c r="K48" s="491" t="s">
        <v>591</v>
      </c>
      <c r="L48" s="491" t="s">
        <v>592</v>
      </c>
      <c r="M48" s="491" t="s">
        <v>591</v>
      </c>
      <c r="N48" s="491" t="s">
        <v>593</v>
      </c>
      <c r="O48" s="491" t="s">
        <v>188</v>
      </c>
      <c r="P48" s="491" t="s">
        <v>188</v>
      </c>
      <c r="Q48" s="493">
        <v>94219</v>
      </c>
      <c r="R48" s="493">
        <v>0</v>
      </c>
      <c r="S48" s="493">
        <v>0</v>
      </c>
      <c r="T48" s="493">
        <v>1084094.58</v>
      </c>
      <c r="U48" s="493">
        <v>0</v>
      </c>
      <c r="V48" s="493">
        <v>76068.61</v>
      </c>
      <c r="W48" s="493">
        <v>0</v>
      </c>
      <c r="X48" s="493">
        <v>133860.04</v>
      </c>
      <c r="Y48" s="493">
        <v>400</v>
      </c>
      <c r="Z48" s="493">
        <v>18960.22</v>
      </c>
      <c r="AA48" s="493">
        <v>0</v>
      </c>
      <c r="AB48" s="493">
        <v>17490.57</v>
      </c>
      <c r="AC48" s="493">
        <v>3049.45</v>
      </c>
      <c r="AD48" s="493">
        <v>0</v>
      </c>
      <c r="AE48" s="493">
        <v>0</v>
      </c>
      <c r="AF48" s="493">
        <v>8501.5</v>
      </c>
      <c r="AG48" s="493">
        <v>5747.92</v>
      </c>
      <c r="AH48" s="493">
        <v>0</v>
      </c>
      <c r="AI48" s="493">
        <v>0</v>
      </c>
      <c r="AJ48" s="493">
        <v>0</v>
      </c>
      <c r="AK48" s="493">
        <v>0</v>
      </c>
      <c r="AL48" s="493">
        <v>0</v>
      </c>
      <c r="AM48" s="493">
        <v>13195</v>
      </c>
      <c r="AN48" s="493">
        <v>30051</v>
      </c>
      <c r="AO48" s="493">
        <v>565161.04</v>
      </c>
      <c r="AP48" s="493">
        <v>0</v>
      </c>
      <c r="AQ48" s="493">
        <v>150424.54999999999</v>
      </c>
      <c r="AR48" s="493">
        <v>42614.59</v>
      </c>
      <c r="AS48" s="493">
        <v>28069.94</v>
      </c>
      <c r="AT48" s="493">
        <v>0</v>
      </c>
      <c r="AU48" s="493">
        <v>17284.060000000001</v>
      </c>
      <c r="AV48" s="493">
        <v>627</v>
      </c>
      <c r="AW48" s="493">
        <v>1805.89</v>
      </c>
      <c r="AX48" s="493">
        <v>268.92</v>
      </c>
      <c r="AY48" s="493">
        <v>0</v>
      </c>
      <c r="AZ48" s="493">
        <v>11365.95</v>
      </c>
      <c r="BA48" s="493">
        <v>1994.28</v>
      </c>
      <c r="BB48" s="493">
        <v>24888.25</v>
      </c>
      <c r="BC48" s="493">
        <v>5101.6499999999996</v>
      </c>
      <c r="BD48" s="493">
        <v>29133.69</v>
      </c>
      <c r="BE48" s="493">
        <v>3068</v>
      </c>
      <c r="BF48" s="493">
        <v>6097.94</v>
      </c>
      <c r="BG48" s="493">
        <v>62150.66</v>
      </c>
      <c r="BH48" s="493">
        <v>15343.99</v>
      </c>
      <c r="BI48" s="493">
        <v>0</v>
      </c>
      <c r="BJ48" s="493">
        <v>10354.57</v>
      </c>
      <c r="BK48" s="493">
        <v>6300.18</v>
      </c>
      <c r="BL48" s="493">
        <v>1561.95</v>
      </c>
      <c r="BM48" s="493">
        <v>56186.37</v>
      </c>
      <c r="BN48" s="493">
        <v>64451.07</v>
      </c>
      <c r="BO48" s="493">
        <v>223355.8</v>
      </c>
      <c r="BP48" s="493">
        <v>37119.68</v>
      </c>
      <c r="BQ48" s="493">
        <v>0</v>
      </c>
      <c r="BR48" s="493">
        <v>0</v>
      </c>
      <c r="BS48" s="493">
        <v>0</v>
      </c>
      <c r="BT48" s="493">
        <v>0</v>
      </c>
      <c r="BU48" s="493">
        <v>0</v>
      </c>
      <c r="BV48" s="494">
        <v>0</v>
      </c>
      <c r="BW48" s="493">
        <v>0</v>
      </c>
      <c r="BX48" s="493">
        <v>0</v>
      </c>
      <c r="BY48" s="493">
        <v>6000</v>
      </c>
      <c r="BZ48" s="493">
        <v>0</v>
      </c>
      <c r="CA48" s="493">
        <v>0</v>
      </c>
      <c r="CB48" s="493">
        <v>0</v>
      </c>
      <c r="CC48" s="493">
        <v>0</v>
      </c>
      <c r="CD48" s="493">
        <v>0</v>
      </c>
      <c r="CE48" s="493">
        <v>120907.87</v>
      </c>
      <c r="CF48" s="493">
        <v>0</v>
      </c>
      <c r="CG48" s="493">
        <v>0</v>
      </c>
      <c r="CH48" s="493">
        <v>0</v>
      </c>
      <c r="CI48" s="493">
        <v>0</v>
      </c>
      <c r="CJ48" s="495">
        <f t="shared" si="7"/>
        <v>120907.87</v>
      </c>
      <c r="CK48" s="495">
        <f t="shared" si="8"/>
        <v>0</v>
      </c>
      <c r="CL48" s="495">
        <f t="shared" si="9"/>
        <v>120907.87</v>
      </c>
      <c r="CM48" s="573">
        <f t="shared" si="3"/>
        <v>1391418.8900000001</v>
      </c>
      <c r="CN48" s="573">
        <f t="shared" si="4"/>
        <v>1364730.02</v>
      </c>
      <c r="CO48" s="573">
        <f t="shared" si="5"/>
        <v>1160163.1900000002</v>
      </c>
      <c r="CP48" s="573">
        <f t="shared" si="6"/>
        <v>26688.870000000112</v>
      </c>
    </row>
    <row r="49" spans="1:94" ht="14.25" customHeight="1">
      <c r="A49" s="491">
        <v>302</v>
      </c>
      <c r="B49" s="491">
        <v>3302</v>
      </c>
      <c r="C49" s="492" t="s">
        <v>264</v>
      </c>
      <c r="D49" s="491" t="s">
        <v>594</v>
      </c>
      <c r="E49" s="491"/>
      <c r="F49" s="491" t="s">
        <v>588</v>
      </c>
      <c r="G49" s="491">
        <v>0</v>
      </c>
      <c r="H49" s="491">
        <v>0</v>
      </c>
      <c r="I49" s="491" t="s">
        <v>717</v>
      </c>
      <c r="J49" s="491" t="s">
        <v>718</v>
      </c>
      <c r="K49" s="491" t="s">
        <v>591</v>
      </c>
      <c r="L49" s="491" t="s">
        <v>592</v>
      </c>
      <c r="M49" s="491" t="s">
        <v>591</v>
      </c>
      <c r="N49" s="491" t="s">
        <v>593</v>
      </c>
      <c r="O49" s="491" t="s">
        <v>188</v>
      </c>
      <c r="P49" s="491" t="s">
        <v>188</v>
      </c>
      <c r="Q49" s="493">
        <v>367095</v>
      </c>
      <c r="R49" s="493">
        <v>0</v>
      </c>
      <c r="S49" s="493">
        <v>0</v>
      </c>
      <c r="T49" s="493">
        <v>1171653.19</v>
      </c>
      <c r="U49" s="493">
        <v>0</v>
      </c>
      <c r="V49" s="493">
        <v>74150.7</v>
      </c>
      <c r="W49" s="493">
        <v>0</v>
      </c>
      <c r="X49" s="493">
        <v>41054.97</v>
      </c>
      <c r="Y49" s="493">
        <v>19072.990000000002</v>
      </c>
      <c r="Z49" s="493">
        <v>32638.560000000001</v>
      </c>
      <c r="AA49" s="493">
        <v>8077.75</v>
      </c>
      <c r="AB49" s="493">
        <v>50022.11</v>
      </c>
      <c r="AC49" s="493">
        <v>13466.5</v>
      </c>
      <c r="AD49" s="493">
        <v>0</v>
      </c>
      <c r="AE49" s="493">
        <v>5040</v>
      </c>
      <c r="AF49" s="493">
        <v>54861.46</v>
      </c>
      <c r="AG49" s="493">
        <v>34874.949999999997</v>
      </c>
      <c r="AH49" s="493">
        <v>0</v>
      </c>
      <c r="AI49" s="493">
        <v>0</v>
      </c>
      <c r="AJ49" s="493">
        <v>0</v>
      </c>
      <c r="AK49" s="493">
        <v>0</v>
      </c>
      <c r="AL49" s="493">
        <v>0</v>
      </c>
      <c r="AM49" s="493">
        <v>6023.75</v>
      </c>
      <c r="AN49" s="493">
        <v>57977</v>
      </c>
      <c r="AO49" s="493">
        <v>750594.82</v>
      </c>
      <c r="AP49" s="493">
        <v>0</v>
      </c>
      <c r="AQ49" s="493">
        <v>312595.24</v>
      </c>
      <c r="AR49" s="493">
        <v>44784.42</v>
      </c>
      <c r="AS49" s="493">
        <v>62848.02</v>
      </c>
      <c r="AT49" s="493">
        <v>0</v>
      </c>
      <c r="AU49" s="493">
        <v>42733.02</v>
      </c>
      <c r="AV49" s="493">
        <v>2378.3000000000002</v>
      </c>
      <c r="AW49" s="493">
        <v>3591.91</v>
      </c>
      <c r="AX49" s="493">
        <v>8508.69</v>
      </c>
      <c r="AY49" s="493">
        <v>0</v>
      </c>
      <c r="AZ49" s="493">
        <v>18303.419999999998</v>
      </c>
      <c r="BA49" s="493">
        <v>639.03</v>
      </c>
      <c r="BB49" s="493">
        <v>19985.32</v>
      </c>
      <c r="BC49" s="493">
        <v>1552.05</v>
      </c>
      <c r="BD49" s="493">
        <v>35969.660000000003</v>
      </c>
      <c r="BE49" s="493">
        <v>4710.29</v>
      </c>
      <c r="BF49" s="493">
        <v>2672.54</v>
      </c>
      <c r="BG49" s="493">
        <v>97798.98</v>
      </c>
      <c r="BH49" s="493">
        <v>13883.04</v>
      </c>
      <c r="BI49" s="493">
        <v>0</v>
      </c>
      <c r="BJ49" s="493">
        <v>7031.76</v>
      </c>
      <c r="BK49" s="493">
        <v>11258.15</v>
      </c>
      <c r="BL49" s="493">
        <v>13881.66</v>
      </c>
      <c r="BM49" s="493">
        <v>82913.440000000002</v>
      </c>
      <c r="BN49" s="493">
        <v>179</v>
      </c>
      <c r="BO49" s="493">
        <v>25796.32</v>
      </c>
      <c r="BP49" s="493">
        <v>23763.95</v>
      </c>
      <c r="BQ49" s="493">
        <v>0</v>
      </c>
      <c r="BR49" s="493">
        <v>0</v>
      </c>
      <c r="BS49" s="493">
        <v>0</v>
      </c>
      <c r="BT49" s="493">
        <v>0</v>
      </c>
      <c r="BU49" s="493">
        <v>0</v>
      </c>
      <c r="BV49" s="494">
        <v>0</v>
      </c>
      <c r="BW49" s="493">
        <v>0</v>
      </c>
      <c r="BX49" s="493">
        <v>0</v>
      </c>
      <c r="BY49" s="493">
        <v>6000</v>
      </c>
      <c r="BZ49" s="493">
        <v>0</v>
      </c>
      <c r="CA49" s="493">
        <v>0</v>
      </c>
      <c r="CB49" s="493">
        <v>0</v>
      </c>
      <c r="CC49" s="493">
        <v>0</v>
      </c>
      <c r="CD49" s="493">
        <v>0</v>
      </c>
      <c r="CE49" s="493">
        <v>347635.9</v>
      </c>
      <c r="CF49" s="493">
        <v>0</v>
      </c>
      <c r="CG49" s="493">
        <v>0</v>
      </c>
      <c r="CH49" s="493">
        <v>0</v>
      </c>
      <c r="CI49" s="493">
        <v>0</v>
      </c>
      <c r="CJ49" s="495">
        <f t="shared" si="7"/>
        <v>347635.9</v>
      </c>
      <c r="CK49" s="495">
        <f t="shared" si="8"/>
        <v>0</v>
      </c>
      <c r="CL49" s="495">
        <f t="shared" si="9"/>
        <v>347635.9</v>
      </c>
      <c r="CM49" s="573">
        <f t="shared" si="3"/>
        <v>1568913.93</v>
      </c>
      <c r="CN49" s="573">
        <f t="shared" si="4"/>
        <v>1588373.0299999998</v>
      </c>
      <c r="CO49" s="573">
        <f t="shared" si="5"/>
        <v>1245803.8899999999</v>
      </c>
      <c r="CP49" s="573">
        <f t="shared" si="6"/>
        <v>-19459.09999999986</v>
      </c>
    </row>
    <row r="50" spans="1:94" ht="14.25" customHeight="1">
      <c r="A50" s="491">
        <v>302</v>
      </c>
      <c r="B50" s="491">
        <v>3304</v>
      </c>
      <c r="C50" s="492" t="s">
        <v>274</v>
      </c>
      <c r="D50" s="491" t="s">
        <v>594</v>
      </c>
      <c r="E50" s="491"/>
      <c r="F50" s="491" t="s">
        <v>588</v>
      </c>
      <c r="G50" s="491">
        <v>0</v>
      </c>
      <c r="H50" s="491">
        <v>0</v>
      </c>
      <c r="I50" s="491" t="s">
        <v>717</v>
      </c>
      <c r="J50" s="491" t="s">
        <v>718</v>
      </c>
      <c r="K50" s="491" t="s">
        <v>591</v>
      </c>
      <c r="L50" s="491" t="s">
        <v>592</v>
      </c>
      <c r="M50" s="491" t="s">
        <v>591</v>
      </c>
      <c r="N50" s="491" t="s">
        <v>593</v>
      </c>
      <c r="O50" s="491" t="s">
        <v>188</v>
      </c>
      <c r="P50" s="491" t="s">
        <v>188</v>
      </c>
      <c r="Q50" s="493">
        <v>-84418</v>
      </c>
      <c r="R50" s="493">
        <v>0</v>
      </c>
      <c r="S50" s="493">
        <v>0</v>
      </c>
      <c r="T50" s="493">
        <v>1215853.76</v>
      </c>
      <c r="U50" s="493">
        <v>0</v>
      </c>
      <c r="V50" s="493">
        <v>146180.91</v>
      </c>
      <c r="W50" s="493">
        <v>0</v>
      </c>
      <c r="X50" s="493">
        <v>66550.03</v>
      </c>
      <c r="Y50" s="493">
        <v>7881.56</v>
      </c>
      <c r="Z50" s="493">
        <v>33388.559999999998</v>
      </c>
      <c r="AA50" s="493">
        <v>0</v>
      </c>
      <c r="AB50" s="493">
        <v>53840.15</v>
      </c>
      <c r="AC50" s="493">
        <v>9174.7099999999991</v>
      </c>
      <c r="AD50" s="493">
        <v>0</v>
      </c>
      <c r="AE50" s="493">
        <v>0</v>
      </c>
      <c r="AF50" s="493">
        <v>12704.25</v>
      </c>
      <c r="AG50" s="493">
        <v>14176.48</v>
      </c>
      <c r="AH50" s="493">
        <v>0</v>
      </c>
      <c r="AI50" s="493">
        <v>0</v>
      </c>
      <c r="AJ50" s="493">
        <v>0</v>
      </c>
      <c r="AK50" s="493">
        <v>0</v>
      </c>
      <c r="AL50" s="493">
        <v>0</v>
      </c>
      <c r="AM50" s="493">
        <v>11482.51</v>
      </c>
      <c r="AN50" s="493">
        <v>49507</v>
      </c>
      <c r="AO50" s="493">
        <v>554974.27</v>
      </c>
      <c r="AP50" s="493">
        <v>3791.41</v>
      </c>
      <c r="AQ50" s="493">
        <v>302075.87</v>
      </c>
      <c r="AR50" s="493">
        <v>41036.57</v>
      </c>
      <c r="AS50" s="493">
        <v>69042.149999999994</v>
      </c>
      <c r="AT50" s="493">
        <v>0</v>
      </c>
      <c r="AU50" s="493">
        <v>30265.69</v>
      </c>
      <c r="AV50" s="493">
        <v>16917.96</v>
      </c>
      <c r="AW50" s="493">
        <v>11037.26</v>
      </c>
      <c r="AX50" s="493">
        <v>330.34</v>
      </c>
      <c r="AY50" s="493">
        <v>0</v>
      </c>
      <c r="AZ50" s="493">
        <v>15426.21</v>
      </c>
      <c r="BA50" s="493">
        <v>0</v>
      </c>
      <c r="BB50" s="493">
        <v>28031.72</v>
      </c>
      <c r="BC50" s="493">
        <v>3114.77</v>
      </c>
      <c r="BD50" s="493">
        <v>35707.89</v>
      </c>
      <c r="BE50" s="493">
        <v>3614</v>
      </c>
      <c r="BF50" s="493">
        <v>11377.62</v>
      </c>
      <c r="BG50" s="493">
        <v>38573.269999999997</v>
      </c>
      <c r="BH50" s="493">
        <v>5917.9</v>
      </c>
      <c r="BI50" s="493">
        <v>0</v>
      </c>
      <c r="BJ50" s="493">
        <v>9007.24</v>
      </c>
      <c r="BK50" s="493">
        <v>8026.61</v>
      </c>
      <c r="BL50" s="493">
        <v>4321.87</v>
      </c>
      <c r="BM50" s="493">
        <v>75226.95</v>
      </c>
      <c r="BN50" s="493">
        <v>83923.49</v>
      </c>
      <c r="BO50" s="493">
        <v>84468.83</v>
      </c>
      <c r="BP50" s="493">
        <v>58874.37</v>
      </c>
      <c r="BQ50" s="493">
        <v>0</v>
      </c>
      <c r="BR50" s="493">
        <v>0</v>
      </c>
      <c r="BS50" s="493">
        <v>0</v>
      </c>
      <c r="BT50" s="493">
        <v>0</v>
      </c>
      <c r="BU50" s="493">
        <v>0</v>
      </c>
      <c r="BV50" s="494">
        <v>0</v>
      </c>
      <c r="BW50" s="493">
        <v>0</v>
      </c>
      <c r="BX50" s="493">
        <v>0</v>
      </c>
      <c r="BY50" s="493">
        <v>6000</v>
      </c>
      <c r="BZ50" s="493">
        <v>0</v>
      </c>
      <c r="CA50" s="493">
        <v>0</v>
      </c>
      <c r="CB50" s="493">
        <v>0</v>
      </c>
      <c r="CC50" s="493">
        <v>0</v>
      </c>
      <c r="CD50" s="493">
        <v>0</v>
      </c>
      <c r="CE50" s="493">
        <v>41237.660000000003</v>
      </c>
      <c r="CF50" s="493">
        <v>0</v>
      </c>
      <c r="CG50" s="493">
        <v>0</v>
      </c>
      <c r="CH50" s="493">
        <v>0</v>
      </c>
      <c r="CI50" s="493">
        <v>0</v>
      </c>
      <c r="CJ50" s="495">
        <f t="shared" si="7"/>
        <v>41237.660000000003</v>
      </c>
      <c r="CK50" s="495">
        <f t="shared" si="8"/>
        <v>0</v>
      </c>
      <c r="CL50" s="495">
        <f t="shared" si="9"/>
        <v>41237.660000000003</v>
      </c>
      <c r="CM50" s="573">
        <f t="shared" si="3"/>
        <v>1620739.92</v>
      </c>
      <c r="CN50" s="573">
        <f t="shared" si="4"/>
        <v>1495084.2600000002</v>
      </c>
      <c r="CO50" s="573">
        <f t="shared" si="5"/>
        <v>1362034.67</v>
      </c>
      <c r="CP50" s="573">
        <f t="shared" si="6"/>
        <v>125655.65999999968</v>
      </c>
    </row>
    <row r="51" spans="1:94" ht="27.6">
      <c r="A51" s="491">
        <v>302</v>
      </c>
      <c r="B51" s="491">
        <v>3305</v>
      </c>
      <c r="C51" s="492" t="s">
        <v>278</v>
      </c>
      <c r="D51" s="491" t="s">
        <v>594</v>
      </c>
      <c r="E51" s="491"/>
      <c r="F51" s="491" t="s">
        <v>588</v>
      </c>
      <c r="G51" s="491">
        <v>0</v>
      </c>
      <c r="H51" s="491">
        <v>0</v>
      </c>
      <c r="I51" s="491" t="s">
        <v>717</v>
      </c>
      <c r="J51" s="491" t="s">
        <v>718</v>
      </c>
      <c r="K51" s="491" t="s">
        <v>591</v>
      </c>
      <c r="L51" s="491" t="s">
        <v>592</v>
      </c>
      <c r="M51" s="491" t="s">
        <v>591</v>
      </c>
      <c r="N51" s="491" t="s">
        <v>593</v>
      </c>
      <c r="O51" s="491" t="s">
        <v>188</v>
      </c>
      <c r="P51" s="491" t="s">
        <v>188</v>
      </c>
      <c r="Q51" s="493">
        <v>43774</v>
      </c>
      <c r="R51" s="493">
        <v>0</v>
      </c>
      <c r="S51" s="493">
        <v>0</v>
      </c>
      <c r="T51" s="493">
        <v>812445.33</v>
      </c>
      <c r="U51" s="493">
        <v>0</v>
      </c>
      <c r="V51" s="493">
        <v>23145.27</v>
      </c>
      <c r="W51" s="493">
        <v>0</v>
      </c>
      <c r="X51" s="493">
        <v>24354.99</v>
      </c>
      <c r="Y51" s="493">
        <v>200</v>
      </c>
      <c r="Z51" s="493">
        <v>71161.67</v>
      </c>
      <c r="AA51" s="493">
        <v>5370</v>
      </c>
      <c r="AB51" s="493">
        <v>7936.26</v>
      </c>
      <c r="AC51" s="493">
        <v>6843.12</v>
      </c>
      <c r="AD51" s="493">
        <v>0</v>
      </c>
      <c r="AE51" s="493">
        <v>476</v>
      </c>
      <c r="AF51" s="493">
        <v>19677.189999999999</v>
      </c>
      <c r="AG51" s="493">
        <v>5178.07</v>
      </c>
      <c r="AH51" s="493">
        <v>0</v>
      </c>
      <c r="AI51" s="493">
        <v>0</v>
      </c>
      <c r="AJ51" s="493">
        <v>0</v>
      </c>
      <c r="AK51" s="493">
        <v>0</v>
      </c>
      <c r="AL51" s="493">
        <v>0</v>
      </c>
      <c r="AM51" s="493">
        <v>4055.01</v>
      </c>
      <c r="AN51" s="493">
        <v>40979</v>
      </c>
      <c r="AO51" s="493">
        <v>534768.46</v>
      </c>
      <c r="AP51" s="493">
        <v>0</v>
      </c>
      <c r="AQ51" s="493">
        <v>143477.19</v>
      </c>
      <c r="AR51" s="493">
        <v>46793.15</v>
      </c>
      <c r="AS51" s="493">
        <v>41925.07</v>
      </c>
      <c r="AT51" s="493">
        <v>0</v>
      </c>
      <c r="AU51" s="493">
        <v>35577.51</v>
      </c>
      <c r="AV51" s="493">
        <v>4671.68</v>
      </c>
      <c r="AW51" s="493">
        <v>1553</v>
      </c>
      <c r="AX51" s="493">
        <v>245.68</v>
      </c>
      <c r="AY51" s="493">
        <v>0</v>
      </c>
      <c r="AZ51" s="493">
        <v>11499.82</v>
      </c>
      <c r="BA51" s="493">
        <v>0</v>
      </c>
      <c r="BB51" s="493">
        <v>1021.88</v>
      </c>
      <c r="BC51" s="493">
        <v>1059.0899999999999</v>
      </c>
      <c r="BD51" s="493">
        <v>14042.08</v>
      </c>
      <c r="BE51" s="493">
        <v>1587.2</v>
      </c>
      <c r="BF51" s="493">
        <v>5470.2</v>
      </c>
      <c r="BG51" s="493">
        <v>39240.199999999997</v>
      </c>
      <c r="BH51" s="493">
        <v>4894.12</v>
      </c>
      <c r="BI51" s="493">
        <v>0</v>
      </c>
      <c r="BJ51" s="493">
        <v>9616.76</v>
      </c>
      <c r="BK51" s="493">
        <v>4719.72</v>
      </c>
      <c r="BL51" s="493">
        <v>4812.78</v>
      </c>
      <c r="BM51" s="493">
        <v>50405.47</v>
      </c>
      <c r="BN51" s="493">
        <v>1000</v>
      </c>
      <c r="BO51" s="493">
        <v>20380.150000000001</v>
      </c>
      <c r="BP51" s="493">
        <v>29358.82</v>
      </c>
      <c r="BQ51" s="493">
        <v>0</v>
      </c>
      <c r="BR51" s="493">
        <v>0</v>
      </c>
      <c r="BS51" s="493">
        <v>0</v>
      </c>
      <c r="BT51" s="493">
        <v>0</v>
      </c>
      <c r="BU51" s="493">
        <v>0</v>
      </c>
      <c r="BV51" s="494">
        <v>0</v>
      </c>
      <c r="BW51" s="493">
        <v>0</v>
      </c>
      <c r="BX51" s="493">
        <v>0</v>
      </c>
      <c r="BY51" s="493">
        <v>6000</v>
      </c>
      <c r="BZ51" s="493">
        <v>0</v>
      </c>
      <c r="CA51" s="493">
        <v>0</v>
      </c>
      <c r="CB51" s="493">
        <v>0</v>
      </c>
      <c r="CC51" s="493">
        <v>0</v>
      </c>
      <c r="CD51" s="493">
        <v>0</v>
      </c>
      <c r="CE51" s="493">
        <v>57475.88</v>
      </c>
      <c r="CF51" s="493">
        <v>0</v>
      </c>
      <c r="CG51" s="493">
        <v>0</v>
      </c>
      <c r="CH51" s="493">
        <v>0</v>
      </c>
      <c r="CI51" s="493">
        <v>0</v>
      </c>
      <c r="CJ51" s="495">
        <f t="shared" si="7"/>
        <v>57475.88</v>
      </c>
      <c r="CK51" s="495">
        <f t="shared" si="8"/>
        <v>0</v>
      </c>
      <c r="CL51" s="495">
        <f t="shared" si="9"/>
        <v>57475.88</v>
      </c>
      <c r="CM51" s="573">
        <f t="shared" si="3"/>
        <v>1021821.9099999999</v>
      </c>
      <c r="CN51" s="573">
        <f t="shared" si="4"/>
        <v>1008120.0299999997</v>
      </c>
      <c r="CO51" s="573">
        <f t="shared" si="5"/>
        <v>835590.6</v>
      </c>
      <c r="CP51" s="573">
        <f t="shared" si="6"/>
        <v>13701.880000000237</v>
      </c>
    </row>
    <row r="52" spans="1:94" ht="27.6">
      <c r="A52" s="491">
        <v>302</v>
      </c>
      <c r="B52" s="491">
        <v>3307</v>
      </c>
      <c r="C52" s="492" t="s">
        <v>727</v>
      </c>
      <c r="D52" s="491" t="s">
        <v>594</v>
      </c>
      <c r="E52" s="491"/>
      <c r="F52" s="491" t="s">
        <v>588</v>
      </c>
      <c r="G52" s="491">
        <v>0</v>
      </c>
      <c r="H52" s="491">
        <v>0</v>
      </c>
      <c r="I52" s="491" t="s">
        <v>717</v>
      </c>
      <c r="J52" s="491" t="s">
        <v>718</v>
      </c>
      <c r="K52" s="491" t="s">
        <v>591</v>
      </c>
      <c r="L52" s="491" t="s">
        <v>592</v>
      </c>
      <c r="M52" s="491" t="s">
        <v>591</v>
      </c>
      <c r="N52" s="491" t="s">
        <v>593</v>
      </c>
      <c r="O52" s="491" t="s">
        <v>188</v>
      </c>
      <c r="P52" s="491" t="s">
        <v>188</v>
      </c>
      <c r="Q52" s="493">
        <v>57845</v>
      </c>
      <c r="R52" s="493">
        <v>0</v>
      </c>
      <c r="S52" s="493">
        <v>0</v>
      </c>
      <c r="T52" s="493">
        <v>1232447.27</v>
      </c>
      <c r="U52" s="493">
        <v>0</v>
      </c>
      <c r="V52" s="493">
        <v>46407.08</v>
      </c>
      <c r="W52" s="493">
        <v>0</v>
      </c>
      <c r="X52" s="493">
        <v>40360</v>
      </c>
      <c r="Y52" s="493">
        <v>3644.42</v>
      </c>
      <c r="Z52" s="493">
        <v>37295.65</v>
      </c>
      <c r="AA52" s="493">
        <v>65702.3</v>
      </c>
      <c r="AB52" s="493">
        <v>5027.79</v>
      </c>
      <c r="AC52" s="493">
        <v>9903.1299999999992</v>
      </c>
      <c r="AD52" s="493">
        <v>0</v>
      </c>
      <c r="AE52" s="493">
        <v>0</v>
      </c>
      <c r="AF52" s="493">
        <v>51641</v>
      </c>
      <c r="AG52" s="493">
        <v>103001.65</v>
      </c>
      <c r="AH52" s="493">
        <v>0</v>
      </c>
      <c r="AI52" s="493">
        <v>0</v>
      </c>
      <c r="AJ52" s="493">
        <v>0</v>
      </c>
      <c r="AK52" s="493">
        <v>0</v>
      </c>
      <c r="AL52" s="493">
        <v>0</v>
      </c>
      <c r="AM52" s="493">
        <v>0</v>
      </c>
      <c r="AN52" s="493">
        <v>56574.75</v>
      </c>
      <c r="AO52" s="493">
        <v>494172.53</v>
      </c>
      <c r="AP52" s="493">
        <v>0</v>
      </c>
      <c r="AQ52" s="493">
        <v>308535.01</v>
      </c>
      <c r="AR52" s="493">
        <v>74739.7</v>
      </c>
      <c r="AS52" s="493">
        <v>67264.12</v>
      </c>
      <c r="AT52" s="493">
        <v>0</v>
      </c>
      <c r="AU52" s="493">
        <v>22365.85</v>
      </c>
      <c r="AV52" s="493">
        <v>1725.46</v>
      </c>
      <c r="AW52" s="493">
        <v>1786.67</v>
      </c>
      <c r="AX52" s="493">
        <v>348.6</v>
      </c>
      <c r="AY52" s="493">
        <v>0</v>
      </c>
      <c r="AZ52" s="493">
        <v>58659.69</v>
      </c>
      <c r="BA52" s="493">
        <v>1579.46</v>
      </c>
      <c r="BB52" s="493">
        <v>7850.88</v>
      </c>
      <c r="BC52" s="493">
        <v>1704.86</v>
      </c>
      <c r="BD52" s="493">
        <v>55141.66</v>
      </c>
      <c r="BE52" s="493">
        <v>4187.3900000000003</v>
      </c>
      <c r="BF52" s="493">
        <v>10484.64</v>
      </c>
      <c r="BG52" s="493">
        <v>59199.95</v>
      </c>
      <c r="BH52" s="493">
        <v>12651.24</v>
      </c>
      <c r="BI52" s="493">
        <v>0</v>
      </c>
      <c r="BJ52" s="493">
        <v>8505.7999999999993</v>
      </c>
      <c r="BK52" s="493">
        <v>14727.16</v>
      </c>
      <c r="BL52" s="493">
        <v>1422.5</v>
      </c>
      <c r="BM52" s="493">
        <v>76420.72</v>
      </c>
      <c r="BN52" s="493">
        <v>147076.12</v>
      </c>
      <c r="BO52" s="493">
        <v>75556.789999999994</v>
      </c>
      <c r="BP52" s="493">
        <v>38358.04</v>
      </c>
      <c r="BQ52" s="493">
        <v>0</v>
      </c>
      <c r="BR52" s="493">
        <v>0</v>
      </c>
      <c r="BS52" s="493">
        <v>0</v>
      </c>
      <c r="BT52" s="493">
        <v>0</v>
      </c>
      <c r="BU52" s="493">
        <v>0</v>
      </c>
      <c r="BV52" s="494">
        <v>0</v>
      </c>
      <c r="BW52" s="493">
        <v>0</v>
      </c>
      <c r="BX52" s="493">
        <v>0</v>
      </c>
      <c r="BY52" s="493">
        <v>6000</v>
      </c>
      <c r="BZ52" s="493">
        <v>0</v>
      </c>
      <c r="CA52" s="493">
        <v>0</v>
      </c>
      <c r="CB52" s="493">
        <v>0</v>
      </c>
      <c r="CC52" s="493">
        <v>0</v>
      </c>
      <c r="CD52" s="493">
        <v>0</v>
      </c>
      <c r="CE52" s="493">
        <v>165385.20000000001</v>
      </c>
      <c r="CF52" s="493">
        <v>0</v>
      </c>
      <c r="CG52" s="493">
        <v>0</v>
      </c>
      <c r="CH52" s="493">
        <v>0</v>
      </c>
      <c r="CI52" s="493">
        <v>0</v>
      </c>
      <c r="CJ52" s="495">
        <f t="shared" si="7"/>
        <v>165385.20000000001</v>
      </c>
      <c r="CK52" s="495">
        <f t="shared" si="8"/>
        <v>0</v>
      </c>
      <c r="CL52" s="495">
        <f t="shared" si="9"/>
        <v>165385.20000000001</v>
      </c>
      <c r="CM52" s="573">
        <f t="shared" si="3"/>
        <v>1652005.0399999998</v>
      </c>
      <c r="CN52" s="573">
        <f t="shared" si="4"/>
        <v>1544464.8399999994</v>
      </c>
      <c r="CO52" s="573">
        <f t="shared" si="5"/>
        <v>1278854.3500000001</v>
      </c>
      <c r="CP52" s="573">
        <f t="shared" si="6"/>
        <v>107540.20000000042</v>
      </c>
    </row>
    <row r="53" spans="1:94" ht="27.6">
      <c r="A53" s="491">
        <v>302</v>
      </c>
      <c r="B53" s="491">
        <v>3309</v>
      </c>
      <c r="C53" s="492" t="s">
        <v>728</v>
      </c>
      <c r="D53" s="491" t="s">
        <v>594</v>
      </c>
      <c r="E53" s="491"/>
      <c r="F53" s="491" t="s">
        <v>588</v>
      </c>
      <c r="G53" s="491">
        <v>0</v>
      </c>
      <c r="H53" s="491">
        <v>0</v>
      </c>
      <c r="I53" s="491" t="s">
        <v>717</v>
      </c>
      <c r="J53" s="491" t="s">
        <v>718</v>
      </c>
      <c r="K53" s="491" t="s">
        <v>591</v>
      </c>
      <c r="L53" s="491" t="s">
        <v>592</v>
      </c>
      <c r="M53" s="491" t="s">
        <v>591</v>
      </c>
      <c r="N53" s="491" t="s">
        <v>593</v>
      </c>
      <c r="O53" s="491" t="s">
        <v>188</v>
      </c>
      <c r="P53" s="491" t="s">
        <v>188</v>
      </c>
      <c r="Q53" s="493">
        <v>140989</v>
      </c>
      <c r="R53" s="493">
        <v>0</v>
      </c>
      <c r="S53" s="493">
        <v>0</v>
      </c>
      <c r="T53" s="493">
        <v>1168255.5</v>
      </c>
      <c r="U53" s="493">
        <v>0</v>
      </c>
      <c r="V53" s="493">
        <v>60427.68</v>
      </c>
      <c r="W53" s="493">
        <v>0</v>
      </c>
      <c r="X53" s="493">
        <v>41054.97</v>
      </c>
      <c r="Y53" s="493">
        <v>800</v>
      </c>
      <c r="Z53" s="493">
        <v>38280.379999999997</v>
      </c>
      <c r="AA53" s="493">
        <v>11982</v>
      </c>
      <c r="AB53" s="493">
        <v>83796.479999999996</v>
      </c>
      <c r="AC53" s="493">
        <v>13673.01</v>
      </c>
      <c r="AD53" s="493">
        <v>0</v>
      </c>
      <c r="AE53" s="493">
        <v>0</v>
      </c>
      <c r="AF53" s="493">
        <v>65863.53</v>
      </c>
      <c r="AG53" s="493">
        <v>12954.75</v>
      </c>
      <c r="AH53" s="493">
        <v>0</v>
      </c>
      <c r="AI53" s="493">
        <v>0</v>
      </c>
      <c r="AJ53" s="493">
        <v>0</v>
      </c>
      <c r="AK53" s="493">
        <v>0</v>
      </c>
      <c r="AL53" s="493">
        <v>0</v>
      </c>
      <c r="AM53" s="493">
        <v>3697.25</v>
      </c>
      <c r="AN53" s="493">
        <v>54413</v>
      </c>
      <c r="AO53" s="493">
        <v>635124.75</v>
      </c>
      <c r="AP53" s="493">
        <v>0</v>
      </c>
      <c r="AQ53" s="493">
        <v>264608.03999999998</v>
      </c>
      <c r="AR53" s="493">
        <v>40169.660000000003</v>
      </c>
      <c r="AS53" s="493">
        <v>50298.71</v>
      </c>
      <c r="AT53" s="493">
        <v>0</v>
      </c>
      <c r="AU53" s="493">
        <v>65426.44</v>
      </c>
      <c r="AV53" s="493">
        <v>3305.74</v>
      </c>
      <c r="AW53" s="493">
        <v>6889.35</v>
      </c>
      <c r="AX53" s="493">
        <v>348.6</v>
      </c>
      <c r="AY53" s="493">
        <v>0</v>
      </c>
      <c r="AZ53" s="493">
        <v>11913.59</v>
      </c>
      <c r="BA53" s="493">
        <v>3325.25</v>
      </c>
      <c r="BB53" s="493">
        <v>23599.67</v>
      </c>
      <c r="BC53" s="493">
        <v>4586.3100000000004</v>
      </c>
      <c r="BD53" s="493">
        <v>36294.25</v>
      </c>
      <c r="BE53" s="493">
        <v>4745.3599999999997</v>
      </c>
      <c r="BF53" s="493">
        <v>8931.9</v>
      </c>
      <c r="BG53" s="493">
        <v>93721.65</v>
      </c>
      <c r="BH53" s="493">
        <v>14293.08</v>
      </c>
      <c r="BI53" s="493">
        <v>0</v>
      </c>
      <c r="BJ53" s="493">
        <v>9441.2800000000007</v>
      </c>
      <c r="BK53" s="493">
        <v>8603.9</v>
      </c>
      <c r="BL53" s="493">
        <v>4835.18</v>
      </c>
      <c r="BM53" s="493">
        <v>78228.62</v>
      </c>
      <c r="BN53" s="493">
        <v>63123.01</v>
      </c>
      <c r="BO53" s="493">
        <v>77398.67</v>
      </c>
      <c r="BP53" s="493">
        <v>31969.55</v>
      </c>
      <c r="BQ53" s="493">
        <v>0</v>
      </c>
      <c r="BR53" s="493">
        <v>0</v>
      </c>
      <c r="BS53" s="493">
        <v>0</v>
      </c>
      <c r="BT53" s="493">
        <v>0</v>
      </c>
      <c r="BU53" s="493">
        <v>0</v>
      </c>
      <c r="BV53" s="494">
        <v>0</v>
      </c>
      <c r="BW53" s="493">
        <v>0</v>
      </c>
      <c r="BX53" s="493">
        <v>0</v>
      </c>
      <c r="BY53" s="493">
        <v>6000</v>
      </c>
      <c r="BZ53" s="493">
        <v>0</v>
      </c>
      <c r="CA53" s="493">
        <v>0</v>
      </c>
      <c r="CB53" s="493">
        <v>0</v>
      </c>
      <c r="CC53" s="493">
        <v>0</v>
      </c>
      <c r="CD53" s="493">
        <v>0</v>
      </c>
      <c r="CE53" s="493">
        <v>155004.99</v>
      </c>
      <c r="CF53" s="493">
        <v>0</v>
      </c>
      <c r="CG53" s="493">
        <v>0</v>
      </c>
      <c r="CH53" s="493">
        <v>0</v>
      </c>
      <c r="CI53" s="493">
        <v>0</v>
      </c>
      <c r="CJ53" s="495">
        <f t="shared" si="7"/>
        <v>155004.99</v>
      </c>
      <c r="CK53" s="495">
        <f t="shared" si="8"/>
        <v>0</v>
      </c>
      <c r="CL53" s="495">
        <f t="shared" si="9"/>
        <v>155004.99</v>
      </c>
      <c r="CM53" s="573">
        <f t="shared" si="3"/>
        <v>1555198.5499999998</v>
      </c>
      <c r="CN53" s="573">
        <f t="shared" si="4"/>
        <v>1541182.56</v>
      </c>
      <c r="CO53" s="573">
        <f t="shared" si="5"/>
        <v>1228683.18</v>
      </c>
      <c r="CP53" s="573">
        <f t="shared" si="6"/>
        <v>14015.989999999758</v>
      </c>
    </row>
    <row r="54" spans="1:94" ht="14.4">
      <c r="A54" s="491">
        <v>302</v>
      </c>
      <c r="B54" s="491">
        <v>3311</v>
      </c>
      <c r="C54" s="492" t="s">
        <v>729</v>
      </c>
      <c r="D54" s="491" t="s">
        <v>594</v>
      </c>
      <c r="E54" s="491"/>
      <c r="F54" s="491" t="s">
        <v>588</v>
      </c>
      <c r="G54" s="491">
        <v>0</v>
      </c>
      <c r="H54" s="491">
        <v>1</v>
      </c>
      <c r="I54" s="491" t="s">
        <v>717</v>
      </c>
      <c r="J54" s="491" t="s">
        <v>718</v>
      </c>
      <c r="K54" s="491" t="s">
        <v>591</v>
      </c>
      <c r="L54" s="491" t="s">
        <v>592</v>
      </c>
      <c r="M54" s="491" t="s">
        <v>591</v>
      </c>
      <c r="N54" s="491" t="s">
        <v>593</v>
      </c>
      <c r="O54" s="491" t="s">
        <v>188</v>
      </c>
      <c r="P54" s="491" t="s">
        <v>188</v>
      </c>
      <c r="Q54" s="493">
        <v>100162</v>
      </c>
      <c r="R54" s="493">
        <v>0</v>
      </c>
      <c r="S54" s="493">
        <v>0</v>
      </c>
      <c r="T54" s="493">
        <v>2304685.84</v>
      </c>
      <c r="U54" s="493">
        <v>0</v>
      </c>
      <c r="V54" s="493">
        <v>71344.42</v>
      </c>
      <c r="W54" s="493">
        <v>0</v>
      </c>
      <c r="X54" s="493">
        <v>108679.99</v>
      </c>
      <c r="Y54" s="493">
        <v>1344.42</v>
      </c>
      <c r="Z54" s="493">
        <v>83573.48</v>
      </c>
      <c r="AA54" s="493">
        <v>42487.9</v>
      </c>
      <c r="AB54" s="493">
        <v>1483.29</v>
      </c>
      <c r="AC54" s="493">
        <v>24419.71</v>
      </c>
      <c r="AD54" s="493">
        <v>0</v>
      </c>
      <c r="AE54" s="493">
        <v>0</v>
      </c>
      <c r="AF54" s="493">
        <v>102981.07</v>
      </c>
      <c r="AG54" s="493">
        <v>45758.45</v>
      </c>
      <c r="AH54" s="493">
        <v>0</v>
      </c>
      <c r="AI54" s="493">
        <v>0</v>
      </c>
      <c r="AJ54" s="493">
        <v>0</v>
      </c>
      <c r="AK54" s="493">
        <v>0</v>
      </c>
      <c r="AL54" s="493">
        <v>0</v>
      </c>
      <c r="AM54" s="493">
        <v>17474.509999999998</v>
      </c>
      <c r="AN54" s="493">
        <v>69598.5</v>
      </c>
      <c r="AO54" s="493">
        <v>1299646.44</v>
      </c>
      <c r="AP54" s="493">
        <v>0</v>
      </c>
      <c r="AQ54" s="493">
        <v>576450.03</v>
      </c>
      <c r="AR54" s="493">
        <v>26201.33</v>
      </c>
      <c r="AS54" s="493">
        <v>99327.34</v>
      </c>
      <c r="AT54" s="493">
        <v>0</v>
      </c>
      <c r="AU54" s="493">
        <v>35883.730000000003</v>
      </c>
      <c r="AV54" s="493">
        <v>17301.07</v>
      </c>
      <c r="AW54" s="493">
        <v>4705.58</v>
      </c>
      <c r="AX54" s="493">
        <v>678.94</v>
      </c>
      <c r="AY54" s="493">
        <v>0</v>
      </c>
      <c r="AZ54" s="493">
        <v>95571.13</v>
      </c>
      <c r="BA54" s="493">
        <v>4019.68</v>
      </c>
      <c r="BB54" s="493">
        <v>60108.34</v>
      </c>
      <c r="BC54" s="493">
        <v>1862.67</v>
      </c>
      <c r="BD54" s="493">
        <v>73963.63</v>
      </c>
      <c r="BE54" s="493">
        <v>24259.200000000001</v>
      </c>
      <c r="BF54" s="493">
        <v>20241.330000000002</v>
      </c>
      <c r="BG54" s="493">
        <v>159422.07999999999</v>
      </c>
      <c r="BH54" s="493">
        <v>24032.62</v>
      </c>
      <c r="BI54" s="493">
        <v>0</v>
      </c>
      <c r="BJ54" s="493">
        <v>14815.6</v>
      </c>
      <c r="BK54" s="493">
        <v>16734.009999999998</v>
      </c>
      <c r="BL54" s="493">
        <v>929.43</v>
      </c>
      <c r="BM54" s="493">
        <v>137346.49</v>
      </c>
      <c r="BN54" s="493">
        <v>75815.960000000006</v>
      </c>
      <c r="BO54" s="493">
        <v>187916.62</v>
      </c>
      <c r="BP54" s="493">
        <v>39206.61</v>
      </c>
      <c r="BQ54" s="493">
        <v>0</v>
      </c>
      <c r="BR54" s="493">
        <v>0</v>
      </c>
      <c r="BS54" s="493">
        <v>0</v>
      </c>
      <c r="BT54" s="493">
        <v>0</v>
      </c>
      <c r="BU54" s="493">
        <v>0</v>
      </c>
      <c r="BV54" s="494">
        <v>0</v>
      </c>
      <c r="BW54" s="493">
        <v>0</v>
      </c>
      <c r="BX54" s="493">
        <v>0</v>
      </c>
      <c r="BY54" s="493">
        <v>6000</v>
      </c>
      <c r="BZ54" s="493">
        <v>0</v>
      </c>
      <c r="CA54" s="493">
        <v>0</v>
      </c>
      <c r="CB54" s="493">
        <v>0</v>
      </c>
      <c r="CC54" s="493">
        <v>0</v>
      </c>
      <c r="CD54" s="493">
        <v>0</v>
      </c>
      <c r="CE54" s="493">
        <v>-22446.28</v>
      </c>
      <c r="CF54" s="493">
        <v>0</v>
      </c>
      <c r="CG54" s="493">
        <v>0</v>
      </c>
      <c r="CH54" s="493">
        <v>0</v>
      </c>
      <c r="CI54" s="493">
        <v>0</v>
      </c>
      <c r="CJ54" s="495">
        <f t="shared" si="7"/>
        <v>-22446.28</v>
      </c>
      <c r="CK54" s="495">
        <f t="shared" si="8"/>
        <v>0</v>
      </c>
      <c r="CL54" s="495">
        <f t="shared" si="9"/>
        <v>-22446.28</v>
      </c>
      <c r="CM54" s="573">
        <f t="shared" si="3"/>
        <v>2873831.5799999996</v>
      </c>
      <c r="CN54" s="573">
        <f t="shared" si="4"/>
        <v>2996439.8600000008</v>
      </c>
      <c r="CO54" s="573">
        <f t="shared" si="5"/>
        <v>2376030.2599999998</v>
      </c>
      <c r="CP54" s="573">
        <f t="shared" si="6"/>
        <v>-122608.28000000119</v>
      </c>
    </row>
    <row r="55" spans="1:94" ht="27.6">
      <c r="A55" s="491">
        <v>302</v>
      </c>
      <c r="B55" s="491">
        <v>3312</v>
      </c>
      <c r="C55" s="492" t="s">
        <v>288</v>
      </c>
      <c r="D55" s="491" t="s">
        <v>594</v>
      </c>
      <c r="E55" s="491"/>
      <c r="F55" s="491" t="s">
        <v>588</v>
      </c>
      <c r="G55" s="491">
        <v>0</v>
      </c>
      <c r="H55" s="491">
        <v>0</v>
      </c>
      <c r="I55" s="491" t="s">
        <v>717</v>
      </c>
      <c r="J55" s="491" t="s">
        <v>718</v>
      </c>
      <c r="K55" s="491" t="s">
        <v>591</v>
      </c>
      <c r="L55" s="491" t="s">
        <v>592</v>
      </c>
      <c r="M55" s="491" t="s">
        <v>591</v>
      </c>
      <c r="N55" s="491" t="s">
        <v>593</v>
      </c>
      <c r="O55" s="491" t="s">
        <v>188</v>
      </c>
      <c r="P55" s="491" t="s">
        <v>188</v>
      </c>
      <c r="Q55" s="493">
        <v>91857</v>
      </c>
      <c r="R55" s="493">
        <v>0</v>
      </c>
      <c r="S55" s="493">
        <v>0</v>
      </c>
      <c r="T55" s="493">
        <v>1125928.1599999999</v>
      </c>
      <c r="U55" s="493">
        <v>0</v>
      </c>
      <c r="V55" s="493">
        <v>52595.69</v>
      </c>
      <c r="W55" s="493">
        <v>0</v>
      </c>
      <c r="X55" s="493">
        <v>38524.980000000003</v>
      </c>
      <c r="Y55" s="493">
        <v>5662.99</v>
      </c>
      <c r="Z55" s="493">
        <v>33930.800000000003</v>
      </c>
      <c r="AA55" s="493">
        <v>130</v>
      </c>
      <c r="AB55" s="493">
        <v>14612.55</v>
      </c>
      <c r="AC55" s="493">
        <v>11715</v>
      </c>
      <c r="AD55" s="493">
        <v>0</v>
      </c>
      <c r="AE55" s="493">
        <v>624</v>
      </c>
      <c r="AF55" s="493">
        <v>37414.79</v>
      </c>
      <c r="AG55" s="493">
        <v>11702.37</v>
      </c>
      <c r="AH55" s="493">
        <v>0</v>
      </c>
      <c r="AI55" s="493">
        <v>0</v>
      </c>
      <c r="AJ55" s="493">
        <v>0</v>
      </c>
      <c r="AK55" s="493">
        <v>0</v>
      </c>
      <c r="AL55" s="493">
        <v>0</v>
      </c>
      <c r="AM55" s="493">
        <v>5421.26</v>
      </c>
      <c r="AN55" s="493">
        <v>56814</v>
      </c>
      <c r="AO55" s="493">
        <v>620530.31000000006</v>
      </c>
      <c r="AP55" s="493">
        <v>0</v>
      </c>
      <c r="AQ55" s="493">
        <v>308346.3</v>
      </c>
      <c r="AR55" s="493">
        <v>42953.29</v>
      </c>
      <c r="AS55" s="493">
        <v>67624.55</v>
      </c>
      <c r="AT55" s="493">
        <v>0</v>
      </c>
      <c r="AU55" s="493">
        <v>1287.73</v>
      </c>
      <c r="AV55" s="493">
        <v>1210.7</v>
      </c>
      <c r="AW55" s="493">
        <v>4889.18</v>
      </c>
      <c r="AX55" s="493">
        <v>358.56</v>
      </c>
      <c r="AY55" s="493">
        <v>5293.6</v>
      </c>
      <c r="AZ55" s="493">
        <v>11911.43</v>
      </c>
      <c r="BA55" s="493">
        <v>3745.12</v>
      </c>
      <c r="BB55" s="493">
        <v>18763.7</v>
      </c>
      <c r="BC55" s="493">
        <v>6508.81</v>
      </c>
      <c r="BD55" s="493">
        <v>19913.650000000001</v>
      </c>
      <c r="BE55" s="493">
        <v>3614</v>
      </c>
      <c r="BF55" s="493">
        <v>9328.41</v>
      </c>
      <c r="BG55" s="493">
        <v>70092.509999999995</v>
      </c>
      <c r="BH55" s="493">
        <v>8061.36</v>
      </c>
      <c r="BI55" s="493">
        <v>0</v>
      </c>
      <c r="BJ55" s="493">
        <v>10102.26</v>
      </c>
      <c r="BK55" s="493">
        <v>8400.24</v>
      </c>
      <c r="BL55" s="493">
        <v>2496.4299999999998</v>
      </c>
      <c r="BM55" s="493">
        <v>73202.59</v>
      </c>
      <c r="BN55" s="493">
        <v>0</v>
      </c>
      <c r="BO55" s="493">
        <v>27893.39</v>
      </c>
      <c r="BP55" s="493">
        <v>28560.2</v>
      </c>
      <c r="BQ55" s="493">
        <v>2709.8</v>
      </c>
      <c r="BR55" s="493">
        <v>0</v>
      </c>
      <c r="BS55" s="493">
        <v>0</v>
      </c>
      <c r="BT55" s="493">
        <v>0</v>
      </c>
      <c r="BU55" s="493">
        <v>0</v>
      </c>
      <c r="BV55" s="494">
        <v>0</v>
      </c>
      <c r="BW55" s="493">
        <v>0</v>
      </c>
      <c r="BX55" s="493">
        <v>0</v>
      </c>
      <c r="BY55" s="493">
        <v>6000</v>
      </c>
      <c r="BZ55" s="493">
        <v>0</v>
      </c>
      <c r="CA55" s="493">
        <v>0</v>
      </c>
      <c r="CB55" s="493">
        <v>0</v>
      </c>
      <c r="CC55" s="493">
        <v>0</v>
      </c>
      <c r="CD55" s="493">
        <v>0</v>
      </c>
      <c r="CE55" s="493">
        <v>129135.47</v>
      </c>
      <c r="CF55" s="493">
        <v>0</v>
      </c>
      <c r="CG55" s="493">
        <v>0</v>
      </c>
      <c r="CH55" s="493">
        <v>0</v>
      </c>
      <c r="CI55" s="493">
        <v>0</v>
      </c>
      <c r="CJ55" s="495">
        <f t="shared" si="7"/>
        <v>129135.47</v>
      </c>
      <c r="CK55" s="495">
        <f t="shared" si="8"/>
        <v>0</v>
      </c>
      <c r="CL55" s="495">
        <f t="shared" si="9"/>
        <v>129135.47</v>
      </c>
      <c r="CM55" s="573">
        <f t="shared" si="3"/>
        <v>1395076.59</v>
      </c>
      <c r="CN55" s="573">
        <f t="shared" si="4"/>
        <v>1357798.12</v>
      </c>
      <c r="CO55" s="573">
        <f t="shared" si="5"/>
        <v>1178523.8499999999</v>
      </c>
      <c r="CP55" s="573">
        <f t="shared" si="6"/>
        <v>37278.469999999972</v>
      </c>
    </row>
    <row r="56" spans="1:94" ht="14.4">
      <c r="A56" s="491">
        <v>302</v>
      </c>
      <c r="B56" s="491">
        <v>3313</v>
      </c>
      <c r="C56" s="492" t="s">
        <v>289</v>
      </c>
      <c r="D56" s="491" t="s">
        <v>594</v>
      </c>
      <c r="E56" s="491"/>
      <c r="F56" s="491" t="s">
        <v>588</v>
      </c>
      <c r="G56" s="491">
        <v>0</v>
      </c>
      <c r="H56" s="491">
        <v>0</v>
      </c>
      <c r="I56" s="491" t="s">
        <v>717</v>
      </c>
      <c r="J56" s="491" t="s">
        <v>718</v>
      </c>
      <c r="K56" s="491" t="s">
        <v>591</v>
      </c>
      <c r="L56" s="491" t="s">
        <v>592</v>
      </c>
      <c r="M56" s="491" t="s">
        <v>591</v>
      </c>
      <c r="N56" s="491" t="s">
        <v>593</v>
      </c>
      <c r="O56" s="491" t="s">
        <v>188</v>
      </c>
      <c r="P56" s="491" t="s">
        <v>188</v>
      </c>
      <c r="Q56" s="493">
        <v>168719</v>
      </c>
      <c r="R56" s="493">
        <v>0</v>
      </c>
      <c r="S56" s="493">
        <v>0</v>
      </c>
      <c r="T56" s="493">
        <v>1243134.72</v>
      </c>
      <c r="U56" s="493">
        <v>0</v>
      </c>
      <c r="V56" s="493">
        <v>90228.18</v>
      </c>
      <c r="W56" s="493">
        <v>0</v>
      </c>
      <c r="X56" s="493">
        <v>85084.98</v>
      </c>
      <c r="Y56" s="493">
        <v>3439</v>
      </c>
      <c r="Z56" s="493">
        <v>36628.559999999998</v>
      </c>
      <c r="AA56" s="493">
        <v>713.87</v>
      </c>
      <c r="AB56" s="493">
        <v>15099.87</v>
      </c>
      <c r="AC56" s="493">
        <v>7342.46</v>
      </c>
      <c r="AD56" s="493">
        <v>5000</v>
      </c>
      <c r="AE56" s="493">
        <v>0</v>
      </c>
      <c r="AF56" s="493">
        <v>28573.759999999998</v>
      </c>
      <c r="AG56" s="493">
        <v>6066.6</v>
      </c>
      <c r="AH56" s="493">
        <v>0</v>
      </c>
      <c r="AI56" s="493">
        <v>0</v>
      </c>
      <c r="AJ56" s="493">
        <v>0</v>
      </c>
      <c r="AK56" s="493">
        <v>0</v>
      </c>
      <c r="AL56" s="493">
        <v>0</v>
      </c>
      <c r="AM56" s="493">
        <v>14490.62</v>
      </c>
      <c r="AN56" s="493">
        <v>44002</v>
      </c>
      <c r="AO56" s="493">
        <v>645134.65</v>
      </c>
      <c r="AP56" s="493">
        <v>19440.490000000002</v>
      </c>
      <c r="AQ56" s="493">
        <v>361440.5</v>
      </c>
      <c r="AR56" s="493">
        <v>44249.66</v>
      </c>
      <c r="AS56" s="493">
        <v>69504.86</v>
      </c>
      <c r="AT56" s="493">
        <v>0</v>
      </c>
      <c r="AU56" s="493">
        <v>13487.05</v>
      </c>
      <c r="AV56" s="493">
        <v>3340.16</v>
      </c>
      <c r="AW56" s="493">
        <v>7568</v>
      </c>
      <c r="AX56" s="493">
        <v>317.06</v>
      </c>
      <c r="AY56" s="493">
        <v>0</v>
      </c>
      <c r="AZ56" s="493">
        <v>31542.66</v>
      </c>
      <c r="BA56" s="493">
        <v>4796.96</v>
      </c>
      <c r="BB56" s="493">
        <v>22494.01</v>
      </c>
      <c r="BC56" s="493">
        <v>2278.42</v>
      </c>
      <c r="BD56" s="493">
        <v>38112.94</v>
      </c>
      <c r="BE56" s="493">
        <v>3328</v>
      </c>
      <c r="BF56" s="493">
        <v>8325.68</v>
      </c>
      <c r="BG56" s="493">
        <v>49863.39</v>
      </c>
      <c r="BH56" s="493">
        <v>5791.48</v>
      </c>
      <c r="BI56" s="493">
        <v>0</v>
      </c>
      <c r="BJ56" s="493">
        <v>12819.33</v>
      </c>
      <c r="BK56" s="493">
        <v>8319.1</v>
      </c>
      <c r="BL56" s="493">
        <v>4836.2</v>
      </c>
      <c r="BM56" s="493">
        <v>70686.429999999993</v>
      </c>
      <c r="BN56" s="493">
        <v>11323.75</v>
      </c>
      <c r="BO56" s="493">
        <v>94767.24</v>
      </c>
      <c r="BP56" s="493">
        <v>32974.699999999997</v>
      </c>
      <c r="BQ56" s="493">
        <v>0</v>
      </c>
      <c r="BR56" s="493">
        <v>0</v>
      </c>
      <c r="BS56" s="493">
        <v>0</v>
      </c>
      <c r="BT56" s="493">
        <v>0</v>
      </c>
      <c r="BU56" s="493">
        <v>0</v>
      </c>
      <c r="BV56" s="494">
        <v>0</v>
      </c>
      <c r="BW56" s="493">
        <v>0</v>
      </c>
      <c r="BX56" s="493">
        <v>0</v>
      </c>
      <c r="BY56" s="493">
        <v>6000</v>
      </c>
      <c r="BZ56" s="493">
        <v>0</v>
      </c>
      <c r="CA56" s="493">
        <v>0</v>
      </c>
      <c r="CB56" s="493">
        <v>0</v>
      </c>
      <c r="CC56" s="493">
        <v>0</v>
      </c>
      <c r="CD56" s="493">
        <v>0</v>
      </c>
      <c r="CE56" s="493">
        <v>181780.9</v>
      </c>
      <c r="CF56" s="493">
        <v>0</v>
      </c>
      <c r="CG56" s="493">
        <v>0</v>
      </c>
      <c r="CH56" s="493">
        <v>0</v>
      </c>
      <c r="CI56" s="493">
        <v>0</v>
      </c>
      <c r="CJ56" s="495">
        <f t="shared" si="7"/>
        <v>181780.9</v>
      </c>
      <c r="CK56" s="495">
        <f t="shared" si="8"/>
        <v>0</v>
      </c>
      <c r="CL56" s="495">
        <f t="shared" si="9"/>
        <v>181780.9</v>
      </c>
      <c r="CM56" s="573">
        <f t="shared" si="3"/>
        <v>1579804.6200000003</v>
      </c>
      <c r="CN56" s="573">
        <f t="shared" si="4"/>
        <v>1566742.7199999997</v>
      </c>
      <c r="CO56" s="573">
        <f t="shared" si="5"/>
        <v>1333362.8999999999</v>
      </c>
      <c r="CP56" s="573">
        <f t="shared" si="6"/>
        <v>13061.900000000605</v>
      </c>
    </row>
    <row r="57" spans="1:94" ht="14.4">
      <c r="A57" s="491">
        <v>302</v>
      </c>
      <c r="B57" s="491">
        <v>3314</v>
      </c>
      <c r="C57" s="492" t="s">
        <v>338</v>
      </c>
      <c r="D57" s="491" t="s">
        <v>594</v>
      </c>
      <c r="E57" s="491"/>
      <c r="F57" s="491" t="s">
        <v>588</v>
      </c>
      <c r="G57" s="491">
        <v>0</v>
      </c>
      <c r="H57" s="491">
        <v>0</v>
      </c>
      <c r="I57" s="491" t="s">
        <v>717</v>
      </c>
      <c r="J57" s="491" t="s">
        <v>718</v>
      </c>
      <c r="K57" s="491" t="s">
        <v>591</v>
      </c>
      <c r="L57" s="491" t="s">
        <v>592</v>
      </c>
      <c r="M57" s="491" t="s">
        <v>591</v>
      </c>
      <c r="N57" s="491" t="s">
        <v>593</v>
      </c>
      <c r="O57" s="491" t="s">
        <v>188</v>
      </c>
      <c r="P57" s="491" t="s">
        <v>188</v>
      </c>
      <c r="Q57" s="493">
        <v>37325</v>
      </c>
      <c r="R57" s="493">
        <v>0</v>
      </c>
      <c r="S57" s="493">
        <v>0</v>
      </c>
      <c r="T57" s="493">
        <v>1113834.3400000001</v>
      </c>
      <c r="U57" s="493">
        <v>0</v>
      </c>
      <c r="V57" s="493">
        <v>78231.509999999995</v>
      </c>
      <c r="W57" s="493">
        <v>0</v>
      </c>
      <c r="X57" s="493">
        <v>64309.99</v>
      </c>
      <c r="Y57" s="493">
        <v>400</v>
      </c>
      <c r="Z57" s="493">
        <v>143645.20000000001</v>
      </c>
      <c r="AA57" s="493">
        <v>0</v>
      </c>
      <c r="AB57" s="493">
        <v>44002.35</v>
      </c>
      <c r="AC57" s="493">
        <v>6242.79</v>
      </c>
      <c r="AD57" s="493">
        <v>58</v>
      </c>
      <c r="AE57" s="493">
        <v>0</v>
      </c>
      <c r="AF57" s="493">
        <v>27579.35</v>
      </c>
      <c r="AG57" s="493">
        <v>7067.09</v>
      </c>
      <c r="AH57" s="493">
        <v>0</v>
      </c>
      <c r="AI57" s="493">
        <v>0</v>
      </c>
      <c r="AJ57" s="493">
        <v>0</v>
      </c>
      <c r="AK57" s="493">
        <v>0</v>
      </c>
      <c r="AL57" s="493">
        <v>0</v>
      </c>
      <c r="AM57" s="493">
        <v>10156.26</v>
      </c>
      <c r="AN57" s="493">
        <v>45734</v>
      </c>
      <c r="AO57" s="493">
        <v>724996.93</v>
      </c>
      <c r="AP57" s="493">
        <v>0</v>
      </c>
      <c r="AQ57" s="493">
        <v>256788.69</v>
      </c>
      <c r="AR57" s="493">
        <v>36847.019999999997</v>
      </c>
      <c r="AS57" s="493">
        <v>61386.93</v>
      </c>
      <c r="AT57" s="493">
        <v>0</v>
      </c>
      <c r="AU57" s="493">
        <v>74032.2</v>
      </c>
      <c r="AV57" s="493">
        <v>8076.52</v>
      </c>
      <c r="AW57" s="493">
        <v>3426.76</v>
      </c>
      <c r="AX57" s="493">
        <v>346.94</v>
      </c>
      <c r="AY57" s="493">
        <v>0</v>
      </c>
      <c r="AZ57" s="493">
        <v>9874.17</v>
      </c>
      <c r="BA57" s="493">
        <v>129.32</v>
      </c>
      <c r="BB57" s="493">
        <v>10630.49</v>
      </c>
      <c r="BC57" s="493">
        <v>3360.2</v>
      </c>
      <c r="BD57" s="493">
        <v>41730.589999999997</v>
      </c>
      <c r="BE57" s="493">
        <v>3681.2</v>
      </c>
      <c r="BF57" s="493">
        <v>10338.549999999999</v>
      </c>
      <c r="BG57" s="493">
        <v>61047.34</v>
      </c>
      <c r="BH57" s="493">
        <v>13774.65</v>
      </c>
      <c r="BI57" s="493">
        <v>0</v>
      </c>
      <c r="BJ57" s="493">
        <v>14915.29</v>
      </c>
      <c r="BK57" s="493">
        <v>8387.85</v>
      </c>
      <c r="BL57" s="493">
        <v>13482.91</v>
      </c>
      <c r="BM57" s="493">
        <v>74927.06</v>
      </c>
      <c r="BN57" s="493">
        <v>13554.59</v>
      </c>
      <c r="BO57" s="493">
        <v>58140.6</v>
      </c>
      <c r="BP57" s="493">
        <v>38312.980000000003</v>
      </c>
      <c r="BQ57" s="493">
        <v>0</v>
      </c>
      <c r="BR57" s="493">
        <v>0</v>
      </c>
      <c r="BS57" s="493">
        <v>0</v>
      </c>
      <c r="BT57" s="493">
        <v>0</v>
      </c>
      <c r="BU57" s="493">
        <v>0</v>
      </c>
      <c r="BV57" s="494">
        <v>0</v>
      </c>
      <c r="BW57" s="493">
        <v>0</v>
      </c>
      <c r="BX57" s="493">
        <v>0</v>
      </c>
      <c r="BY57" s="493">
        <v>6000</v>
      </c>
      <c r="BZ57" s="493">
        <v>0</v>
      </c>
      <c r="CA57" s="493">
        <v>0</v>
      </c>
      <c r="CB57" s="493">
        <v>0</v>
      </c>
      <c r="CC57" s="493">
        <v>0</v>
      </c>
      <c r="CD57" s="493">
        <v>0</v>
      </c>
      <c r="CE57" s="493">
        <v>36396.1</v>
      </c>
      <c r="CF57" s="493">
        <v>0</v>
      </c>
      <c r="CG57" s="493">
        <v>0</v>
      </c>
      <c r="CH57" s="493">
        <v>0</v>
      </c>
      <c r="CI57" s="493">
        <v>0</v>
      </c>
      <c r="CJ57" s="495">
        <f t="shared" si="7"/>
        <v>36396.1</v>
      </c>
      <c r="CK57" s="495">
        <f t="shared" si="8"/>
        <v>0</v>
      </c>
      <c r="CL57" s="495">
        <f t="shared" si="9"/>
        <v>36396.1</v>
      </c>
      <c r="CM57" s="573">
        <f t="shared" si="3"/>
        <v>1541260.8800000004</v>
      </c>
      <c r="CN57" s="573">
        <f t="shared" si="4"/>
        <v>1542189.7800000003</v>
      </c>
      <c r="CO57" s="573">
        <f t="shared" si="5"/>
        <v>1192065.8500000001</v>
      </c>
      <c r="CP57" s="573">
        <f t="shared" si="6"/>
        <v>-928.89999999990687</v>
      </c>
    </row>
    <row r="58" spans="1:94" ht="27.6">
      <c r="A58" s="491">
        <v>302</v>
      </c>
      <c r="B58" s="491">
        <v>3315</v>
      </c>
      <c r="C58" s="492" t="s">
        <v>428</v>
      </c>
      <c r="D58" s="491" t="s">
        <v>594</v>
      </c>
      <c r="E58" s="491"/>
      <c r="F58" s="491" t="s">
        <v>588</v>
      </c>
      <c r="G58" s="491">
        <v>0</v>
      </c>
      <c r="H58" s="491">
        <v>0</v>
      </c>
      <c r="I58" s="491" t="s">
        <v>717</v>
      </c>
      <c r="J58" s="491" t="s">
        <v>718</v>
      </c>
      <c r="K58" s="491" t="s">
        <v>591</v>
      </c>
      <c r="L58" s="491" t="s">
        <v>592</v>
      </c>
      <c r="M58" s="491" t="s">
        <v>591</v>
      </c>
      <c r="N58" s="491" t="s">
        <v>593</v>
      </c>
      <c r="O58" s="491" t="s">
        <v>188</v>
      </c>
      <c r="P58" s="491" t="s">
        <v>188</v>
      </c>
      <c r="Q58" s="493">
        <v>66443</v>
      </c>
      <c r="R58" s="493">
        <v>0</v>
      </c>
      <c r="S58" s="493">
        <v>0</v>
      </c>
      <c r="T58" s="493">
        <v>1076634.49</v>
      </c>
      <c r="U58" s="493">
        <v>0</v>
      </c>
      <c r="V58" s="493">
        <v>26345.02</v>
      </c>
      <c r="W58" s="493">
        <v>0</v>
      </c>
      <c r="X58" s="493">
        <v>17460.04</v>
      </c>
      <c r="Y58" s="493">
        <v>4935</v>
      </c>
      <c r="Z58" s="493">
        <v>35044.92</v>
      </c>
      <c r="AA58" s="493">
        <v>78601.89</v>
      </c>
      <c r="AB58" s="493">
        <v>0</v>
      </c>
      <c r="AC58" s="493">
        <v>11206.19</v>
      </c>
      <c r="AD58" s="493">
        <v>0</v>
      </c>
      <c r="AE58" s="493">
        <v>0</v>
      </c>
      <c r="AF58" s="493">
        <v>22945.8</v>
      </c>
      <c r="AG58" s="493">
        <v>114539.88</v>
      </c>
      <c r="AH58" s="493">
        <v>0</v>
      </c>
      <c r="AI58" s="493">
        <v>0</v>
      </c>
      <c r="AJ58" s="493">
        <v>0</v>
      </c>
      <c r="AK58" s="493">
        <v>0</v>
      </c>
      <c r="AL58" s="493">
        <v>0</v>
      </c>
      <c r="AM58" s="493">
        <v>0</v>
      </c>
      <c r="AN58" s="493">
        <v>58401.62</v>
      </c>
      <c r="AO58" s="493">
        <v>664170.94999999995</v>
      </c>
      <c r="AP58" s="493">
        <v>0</v>
      </c>
      <c r="AQ58" s="493">
        <v>226871.88</v>
      </c>
      <c r="AR58" s="493">
        <v>45073.35</v>
      </c>
      <c r="AS58" s="493">
        <v>76266.600000000006</v>
      </c>
      <c r="AT58" s="493">
        <v>0</v>
      </c>
      <c r="AU58" s="493">
        <v>52675.64</v>
      </c>
      <c r="AV58" s="493">
        <v>535.73</v>
      </c>
      <c r="AW58" s="493">
        <v>2153.67</v>
      </c>
      <c r="AX58" s="493">
        <v>2047.81</v>
      </c>
      <c r="AY58" s="493">
        <v>3216.78</v>
      </c>
      <c r="AZ58" s="493">
        <v>57089.4</v>
      </c>
      <c r="BA58" s="493">
        <v>0</v>
      </c>
      <c r="BB58" s="493">
        <v>3475.98</v>
      </c>
      <c r="BC58" s="493">
        <v>1134.48</v>
      </c>
      <c r="BD58" s="493">
        <v>15341.55</v>
      </c>
      <c r="BE58" s="493">
        <v>4180.8</v>
      </c>
      <c r="BF58" s="493">
        <v>6844.37</v>
      </c>
      <c r="BG58" s="493">
        <v>66950.509999999995</v>
      </c>
      <c r="BH58" s="493">
        <v>9152.8700000000008</v>
      </c>
      <c r="BI58" s="493">
        <v>0</v>
      </c>
      <c r="BJ58" s="493">
        <v>8447.6200000000008</v>
      </c>
      <c r="BK58" s="493">
        <v>6633.12</v>
      </c>
      <c r="BL58" s="493">
        <v>6758.94</v>
      </c>
      <c r="BM58" s="493">
        <v>84882.07</v>
      </c>
      <c r="BN58" s="493">
        <v>10891.49</v>
      </c>
      <c r="BO58" s="493">
        <v>22954.9</v>
      </c>
      <c r="BP58" s="493">
        <v>32495.62</v>
      </c>
      <c r="BQ58" s="493">
        <v>0</v>
      </c>
      <c r="BR58" s="493">
        <v>0</v>
      </c>
      <c r="BS58" s="493">
        <v>0</v>
      </c>
      <c r="BT58" s="493">
        <v>0</v>
      </c>
      <c r="BU58" s="493">
        <v>0</v>
      </c>
      <c r="BV58" s="494">
        <v>0</v>
      </c>
      <c r="BW58" s="493">
        <v>0</v>
      </c>
      <c r="BX58" s="493">
        <v>0</v>
      </c>
      <c r="BY58" s="493">
        <v>6000</v>
      </c>
      <c r="BZ58" s="493">
        <v>0</v>
      </c>
      <c r="CA58" s="493">
        <v>0</v>
      </c>
      <c r="CB58" s="493">
        <v>0</v>
      </c>
      <c r="CC58" s="493">
        <v>0</v>
      </c>
      <c r="CD58" s="493">
        <v>0</v>
      </c>
      <c r="CE58" s="493">
        <v>102311.72</v>
      </c>
      <c r="CF58" s="493">
        <v>0</v>
      </c>
      <c r="CG58" s="493">
        <v>0</v>
      </c>
      <c r="CH58" s="493">
        <v>0</v>
      </c>
      <c r="CI58" s="493">
        <v>0</v>
      </c>
      <c r="CJ58" s="495">
        <f t="shared" si="7"/>
        <v>102311.72</v>
      </c>
      <c r="CK58" s="495">
        <f t="shared" si="8"/>
        <v>0</v>
      </c>
      <c r="CL58" s="495">
        <f t="shared" si="9"/>
        <v>102311.72</v>
      </c>
      <c r="CM58" s="573">
        <f t="shared" si="3"/>
        <v>1446114.85</v>
      </c>
      <c r="CN58" s="573">
        <f t="shared" si="4"/>
        <v>1410246.1300000004</v>
      </c>
      <c r="CO58" s="573">
        <f t="shared" si="5"/>
        <v>1102979.51</v>
      </c>
      <c r="CP58" s="573">
        <f t="shared" si="6"/>
        <v>35868.719999999739</v>
      </c>
    </row>
    <row r="59" spans="1:94" ht="14.25" customHeight="1">
      <c r="A59" s="491">
        <v>302</v>
      </c>
      <c r="B59" s="491">
        <v>3316</v>
      </c>
      <c r="C59" s="492" t="s">
        <v>294</v>
      </c>
      <c r="D59" s="491" t="s">
        <v>594</v>
      </c>
      <c r="E59" s="491"/>
      <c r="F59" s="491" t="s">
        <v>588</v>
      </c>
      <c r="G59" s="491">
        <v>0</v>
      </c>
      <c r="H59" s="491">
        <v>1</v>
      </c>
      <c r="I59" s="491" t="s">
        <v>717</v>
      </c>
      <c r="J59" s="491" t="s">
        <v>718</v>
      </c>
      <c r="K59" s="491" t="s">
        <v>591</v>
      </c>
      <c r="L59" s="491" t="s">
        <v>592</v>
      </c>
      <c r="M59" s="491" t="s">
        <v>591</v>
      </c>
      <c r="N59" s="491" t="s">
        <v>593</v>
      </c>
      <c r="O59" s="491" t="s">
        <v>188</v>
      </c>
      <c r="P59" s="491" t="s">
        <v>188</v>
      </c>
      <c r="Q59" s="493">
        <v>-34610</v>
      </c>
      <c r="R59" s="493">
        <v>0</v>
      </c>
      <c r="S59" s="493">
        <v>0</v>
      </c>
      <c r="T59" s="493">
        <v>1112684.73</v>
      </c>
      <c r="U59" s="493">
        <v>0</v>
      </c>
      <c r="V59" s="493">
        <v>85754.6</v>
      </c>
      <c r="W59" s="493">
        <v>0</v>
      </c>
      <c r="X59" s="493">
        <v>28650.03</v>
      </c>
      <c r="Y59" s="493">
        <v>5346</v>
      </c>
      <c r="Z59" s="493">
        <v>16628.919999999998</v>
      </c>
      <c r="AA59" s="493">
        <v>0</v>
      </c>
      <c r="AB59" s="493">
        <v>42040.66</v>
      </c>
      <c r="AC59" s="493">
        <v>15911.7</v>
      </c>
      <c r="AD59" s="493">
        <v>0</v>
      </c>
      <c r="AE59" s="493">
        <v>0</v>
      </c>
      <c r="AF59" s="493">
        <v>28518.01</v>
      </c>
      <c r="AG59" s="493">
        <v>16631.79</v>
      </c>
      <c r="AH59" s="493">
        <v>0</v>
      </c>
      <c r="AI59" s="493">
        <v>0</v>
      </c>
      <c r="AJ59" s="493">
        <v>0</v>
      </c>
      <c r="AK59" s="493">
        <v>0</v>
      </c>
      <c r="AL59" s="493">
        <v>0</v>
      </c>
      <c r="AM59" s="493">
        <v>4675.63</v>
      </c>
      <c r="AN59" s="493">
        <v>54738</v>
      </c>
      <c r="AO59" s="493">
        <v>701385.62</v>
      </c>
      <c r="AP59" s="493">
        <v>0</v>
      </c>
      <c r="AQ59" s="493">
        <v>225366.49</v>
      </c>
      <c r="AR59" s="493">
        <v>34995.72</v>
      </c>
      <c r="AS59" s="493">
        <v>53397.75</v>
      </c>
      <c r="AT59" s="493">
        <v>0</v>
      </c>
      <c r="AU59" s="493">
        <v>53880.12</v>
      </c>
      <c r="AV59" s="493">
        <v>10038.120000000001</v>
      </c>
      <c r="AW59" s="493">
        <v>3987.65</v>
      </c>
      <c r="AX59" s="493">
        <v>0</v>
      </c>
      <c r="AY59" s="493">
        <v>0</v>
      </c>
      <c r="AZ59" s="493">
        <v>5167.09</v>
      </c>
      <c r="BA59" s="493">
        <v>1606.58</v>
      </c>
      <c r="BB59" s="493">
        <v>11018.71</v>
      </c>
      <c r="BC59" s="493">
        <v>2103.5100000000002</v>
      </c>
      <c r="BD59" s="493">
        <v>22990.33</v>
      </c>
      <c r="BE59" s="493">
        <v>4160</v>
      </c>
      <c r="BF59" s="493">
        <v>8887.83</v>
      </c>
      <c r="BG59" s="493">
        <v>54324.97</v>
      </c>
      <c r="BH59" s="493">
        <v>10005.15</v>
      </c>
      <c r="BI59" s="493">
        <v>0</v>
      </c>
      <c r="BJ59" s="493">
        <v>12152.29</v>
      </c>
      <c r="BK59" s="493">
        <v>6674</v>
      </c>
      <c r="BL59" s="493">
        <v>13439.38</v>
      </c>
      <c r="BM59" s="493">
        <v>80180.95</v>
      </c>
      <c r="BN59" s="493">
        <v>5289.52</v>
      </c>
      <c r="BO59" s="493">
        <v>32532.17</v>
      </c>
      <c r="BP59" s="493">
        <v>62706.82</v>
      </c>
      <c r="BQ59" s="493">
        <v>0</v>
      </c>
      <c r="BR59" s="493">
        <v>0</v>
      </c>
      <c r="BS59" s="493">
        <v>0</v>
      </c>
      <c r="BT59" s="493">
        <v>0</v>
      </c>
      <c r="BU59" s="493">
        <v>0</v>
      </c>
      <c r="BV59" s="494">
        <v>0</v>
      </c>
      <c r="BW59" s="493">
        <v>0</v>
      </c>
      <c r="BX59" s="493">
        <v>0</v>
      </c>
      <c r="BY59" s="493">
        <v>6000</v>
      </c>
      <c r="BZ59" s="493">
        <v>0</v>
      </c>
      <c r="CA59" s="493">
        <v>0</v>
      </c>
      <c r="CB59" s="493">
        <v>0</v>
      </c>
      <c r="CC59" s="493">
        <v>0</v>
      </c>
      <c r="CD59" s="493">
        <v>0</v>
      </c>
      <c r="CE59" s="493">
        <v>-39320.699999999997</v>
      </c>
      <c r="CF59" s="493">
        <v>0</v>
      </c>
      <c r="CG59" s="493">
        <v>0</v>
      </c>
      <c r="CH59" s="493">
        <v>0</v>
      </c>
      <c r="CI59" s="493">
        <v>0</v>
      </c>
      <c r="CJ59" s="495">
        <f t="shared" si="7"/>
        <v>-39320.699999999997</v>
      </c>
      <c r="CK59" s="495">
        <f t="shared" si="8"/>
        <v>0</v>
      </c>
      <c r="CL59" s="495">
        <f t="shared" si="9"/>
        <v>-39320.699999999997</v>
      </c>
      <c r="CM59" s="573">
        <f t="shared" si="3"/>
        <v>1411580.0699999998</v>
      </c>
      <c r="CN59" s="573">
        <f t="shared" si="4"/>
        <v>1416290.77</v>
      </c>
      <c r="CO59" s="573">
        <f t="shared" si="5"/>
        <v>1198439.33</v>
      </c>
      <c r="CP59" s="573">
        <f t="shared" si="6"/>
        <v>-4710.7000000001863</v>
      </c>
    </row>
    <row r="60" spans="1:94" ht="14.25" customHeight="1">
      <c r="A60" s="491">
        <v>302</v>
      </c>
      <c r="B60" s="491">
        <v>3317</v>
      </c>
      <c r="C60" s="492" t="s">
        <v>612</v>
      </c>
      <c r="D60" s="491" t="s">
        <v>594</v>
      </c>
      <c r="E60" s="491"/>
      <c r="F60" s="491" t="s">
        <v>588</v>
      </c>
      <c r="G60" s="491">
        <v>0</v>
      </c>
      <c r="H60" s="491">
        <v>0</v>
      </c>
      <c r="I60" s="491" t="s">
        <v>717</v>
      </c>
      <c r="J60" s="491" t="s">
        <v>718</v>
      </c>
      <c r="K60" s="491" t="s">
        <v>591</v>
      </c>
      <c r="L60" s="491" t="s">
        <v>592</v>
      </c>
      <c r="M60" s="491" t="s">
        <v>591</v>
      </c>
      <c r="N60" s="491" t="s">
        <v>593</v>
      </c>
      <c r="O60" s="491" t="s">
        <v>188</v>
      </c>
      <c r="P60" s="491" t="s">
        <v>188</v>
      </c>
      <c r="Q60" s="493">
        <v>35945</v>
      </c>
      <c r="R60" s="493">
        <v>-2791</v>
      </c>
      <c r="S60" s="493">
        <v>0</v>
      </c>
      <c r="T60" s="493">
        <v>1269589.1200000001</v>
      </c>
      <c r="U60" s="493">
        <v>0</v>
      </c>
      <c r="V60" s="493">
        <v>113460.28</v>
      </c>
      <c r="W60" s="493">
        <v>0</v>
      </c>
      <c r="X60" s="493">
        <v>76124.97</v>
      </c>
      <c r="Y60" s="493">
        <v>27614.41</v>
      </c>
      <c r="Z60" s="493">
        <v>35175.51</v>
      </c>
      <c r="AA60" s="493">
        <v>40735.800000000003</v>
      </c>
      <c r="AB60" s="493">
        <v>20172.240000000002</v>
      </c>
      <c r="AC60" s="493">
        <v>13035.55</v>
      </c>
      <c r="AD60" s="493">
        <v>13140</v>
      </c>
      <c r="AE60" s="493">
        <v>0</v>
      </c>
      <c r="AF60" s="493">
        <v>38913.46</v>
      </c>
      <c r="AG60" s="493">
        <v>30395.8</v>
      </c>
      <c r="AH60" s="493">
        <v>0</v>
      </c>
      <c r="AI60" s="493">
        <v>0</v>
      </c>
      <c r="AJ60" s="493">
        <v>0</v>
      </c>
      <c r="AK60" s="493">
        <v>0</v>
      </c>
      <c r="AL60" s="493">
        <v>0</v>
      </c>
      <c r="AM60" s="493">
        <v>0</v>
      </c>
      <c r="AN60" s="493">
        <v>58030.01</v>
      </c>
      <c r="AO60" s="493">
        <v>691634.45</v>
      </c>
      <c r="AP60" s="493">
        <v>28258.45</v>
      </c>
      <c r="AQ60" s="493">
        <v>394568.25</v>
      </c>
      <c r="AR60" s="493">
        <v>42904.55</v>
      </c>
      <c r="AS60" s="493">
        <v>66235.53</v>
      </c>
      <c r="AT60" s="493">
        <v>0</v>
      </c>
      <c r="AU60" s="493">
        <v>40616.6</v>
      </c>
      <c r="AV60" s="493">
        <v>1563.24</v>
      </c>
      <c r="AW60" s="493">
        <v>601.45000000000005</v>
      </c>
      <c r="AX60" s="493">
        <v>7429.89</v>
      </c>
      <c r="AY60" s="493">
        <v>0</v>
      </c>
      <c r="AZ60" s="493">
        <v>17995.16</v>
      </c>
      <c r="BA60" s="493">
        <v>2145.0300000000002</v>
      </c>
      <c r="BB60" s="493">
        <v>34242.65</v>
      </c>
      <c r="BC60" s="493">
        <v>3699.39</v>
      </c>
      <c r="BD60" s="493">
        <v>51904.25</v>
      </c>
      <c r="BE60" s="493">
        <v>4680</v>
      </c>
      <c r="BF60" s="493">
        <v>9647.24</v>
      </c>
      <c r="BG60" s="493">
        <v>44466.99</v>
      </c>
      <c r="BH60" s="493">
        <v>16748.939999999999</v>
      </c>
      <c r="BI60" s="493">
        <v>0</v>
      </c>
      <c r="BJ60" s="493">
        <v>10231.26</v>
      </c>
      <c r="BK60" s="493">
        <v>9988.7900000000009</v>
      </c>
      <c r="BL60" s="493">
        <v>10552.46</v>
      </c>
      <c r="BM60" s="493">
        <v>90587.09</v>
      </c>
      <c r="BN60" s="493">
        <v>35144.660000000003</v>
      </c>
      <c r="BO60" s="493">
        <v>46478.99</v>
      </c>
      <c r="BP60" s="493">
        <v>25878.62</v>
      </c>
      <c r="BQ60" s="493">
        <v>0</v>
      </c>
      <c r="BR60" s="493">
        <v>0</v>
      </c>
      <c r="BS60" s="493">
        <v>0</v>
      </c>
      <c r="BT60" s="493">
        <v>0</v>
      </c>
      <c r="BU60" s="493">
        <v>0</v>
      </c>
      <c r="BV60" s="494">
        <v>0</v>
      </c>
      <c r="BW60" s="493">
        <v>0</v>
      </c>
      <c r="BX60" s="493">
        <v>0</v>
      </c>
      <c r="BY60" s="493">
        <v>6000</v>
      </c>
      <c r="BZ60" s="493">
        <v>0</v>
      </c>
      <c r="CA60" s="493">
        <v>0</v>
      </c>
      <c r="CB60" s="493">
        <v>0</v>
      </c>
      <c r="CC60" s="493">
        <v>0</v>
      </c>
      <c r="CD60" s="493">
        <v>0</v>
      </c>
      <c r="CE60" s="493">
        <v>84128.22</v>
      </c>
      <c r="CF60" s="493">
        <v>0</v>
      </c>
      <c r="CG60" s="493">
        <v>0</v>
      </c>
      <c r="CH60" s="493">
        <v>-2791</v>
      </c>
      <c r="CI60" s="493">
        <v>0</v>
      </c>
      <c r="CJ60" s="495">
        <f t="shared" si="7"/>
        <v>81337.22</v>
      </c>
      <c r="CK60" s="495">
        <f t="shared" si="8"/>
        <v>0</v>
      </c>
      <c r="CL60" s="495">
        <f t="shared" si="9"/>
        <v>84128.22</v>
      </c>
      <c r="CM60" s="573">
        <f t="shared" si="3"/>
        <v>1736387.1500000001</v>
      </c>
      <c r="CN60" s="573">
        <f t="shared" si="4"/>
        <v>1688203.9299999997</v>
      </c>
      <c r="CO60" s="573">
        <f t="shared" si="5"/>
        <v>1383049.4000000001</v>
      </c>
      <c r="CP60" s="573">
        <f t="shared" si="6"/>
        <v>48183.220000000438</v>
      </c>
    </row>
    <row r="61" spans="1:94" ht="27.6">
      <c r="A61" s="491">
        <v>302</v>
      </c>
      <c r="B61" s="491">
        <v>3500</v>
      </c>
      <c r="C61" s="492" t="s">
        <v>382</v>
      </c>
      <c r="D61" s="491" t="s">
        <v>594</v>
      </c>
      <c r="E61" s="491"/>
      <c r="F61" s="491" t="s">
        <v>588</v>
      </c>
      <c r="G61" s="491">
        <v>0</v>
      </c>
      <c r="H61" s="491">
        <v>0</v>
      </c>
      <c r="I61" s="491" t="s">
        <v>717</v>
      </c>
      <c r="J61" s="491" t="s">
        <v>718</v>
      </c>
      <c r="K61" s="491" t="s">
        <v>591</v>
      </c>
      <c r="L61" s="491" t="s">
        <v>592</v>
      </c>
      <c r="M61" s="491" t="s">
        <v>591</v>
      </c>
      <c r="N61" s="491" t="s">
        <v>593</v>
      </c>
      <c r="O61" s="491" t="s">
        <v>188</v>
      </c>
      <c r="P61" s="491" t="s">
        <v>188</v>
      </c>
      <c r="Q61" s="493">
        <v>-108295</v>
      </c>
      <c r="R61" s="493">
        <v>0</v>
      </c>
      <c r="S61" s="493">
        <v>0</v>
      </c>
      <c r="T61" s="493">
        <v>1045665.94</v>
      </c>
      <c r="U61" s="493">
        <v>0</v>
      </c>
      <c r="V61" s="493">
        <v>55625.53</v>
      </c>
      <c r="W61" s="493">
        <v>0</v>
      </c>
      <c r="X61" s="493">
        <v>38164.99</v>
      </c>
      <c r="Y61" s="493">
        <v>14567.89</v>
      </c>
      <c r="Z61" s="493">
        <v>0</v>
      </c>
      <c r="AA61" s="493">
        <v>0</v>
      </c>
      <c r="AB61" s="493">
        <v>10165.15</v>
      </c>
      <c r="AC61" s="493">
        <v>0</v>
      </c>
      <c r="AD61" s="493">
        <v>0</v>
      </c>
      <c r="AE61" s="493">
        <v>0</v>
      </c>
      <c r="AF61" s="493">
        <v>10933</v>
      </c>
      <c r="AG61" s="493">
        <v>2169.16</v>
      </c>
      <c r="AH61" s="493">
        <v>0</v>
      </c>
      <c r="AI61" s="493">
        <v>0</v>
      </c>
      <c r="AJ61" s="493">
        <v>0</v>
      </c>
      <c r="AK61" s="493">
        <v>0</v>
      </c>
      <c r="AL61" s="493">
        <v>0</v>
      </c>
      <c r="AM61" s="493">
        <v>5308.12</v>
      </c>
      <c r="AN61" s="493">
        <v>70047</v>
      </c>
      <c r="AO61" s="493">
        <v>428968.11</v>
      </c>
      <c r="AP61" s="493">
        <v>8875.24</v>
      </c>
      <c r="AQ61" s="493">
        <v>175602.29</v>
      </c>
      <c r="AR61" s="493">
        <v>43106.69</v>
      </c>
      <c r="AS61" s="493">
        <v>45576.74</v>
      </c>
      <c r="AT61" s="493">
        <v>0</v>
      </c>
      <c r="AU61" s="493">
        <v>14004.06</v>
      </c>
      <c r="AV61" s="493">
        <v>289</v>
      </c>
      <c r="AW61" s="493">
        <v>2866.15</v>
      </c>
      <c r="AX61" s="493">
        <v>239.04</v>
      </c>
      <c r="AY61" s="493">
        <v>0</v>
      </c>
      <c r="AZ61" s="493">
        <v>8895.2099999999991</v>
      </c>
      <c r="BA61" s="493">
        <v>90</v>
      </c>
      <c r="BB61" s="493">
        <v>10737.15</v>
      </c>
      <c r="BC61" s="493">
        <v>1485.45</v>
      </c>
      <c r="BD61" s="493">
        <v>20871.04</v>
      </c>
      <c r="BE61" s="493">
        <v>2501.1799999999998</v>
      </c>
      <c r="BF61" s="493">
        <v>3316.85</v>
      </c>
      <c r="BG61" s="493">
        <v>15085.35</v>
      </c>
      <c r="BH61" s="493">
        <v>5877.02</v>
      </c>
      <c r="BI61" s="493">
        <v>0</v>
      </c>
      <c r="BJ61" s="493">
        <v>8272.57</v>
      </c>
      <c r="BK61" s="493">
        <v>9309.43</v>
      </c>
      <c r="BL61" s="493">
        <v>5676.3</v>
      </c>
      <c r="BM61" s="493">
        <v>54177.55</v>
      </c>
      <c r="BN61" s="493">
        <v>131994</v>
      </c>
      <c r="BO61" s="493">
        <v>126940.73</v>
      </c>
      <c r="BP61" s="493">
        <v>16308.31</v>
      </c>
      <c r="BQ61" s="493">
        <v>0</v>
      </c>
      <c r="BR61" s="493">
        <v>0</v>
      </c>
      <c r="BS61" s="493">
        <v>0</v>
      </c>
      <c r="BT61" s="493">
        <v>0</v>
      </c>
      <c r="BU61" s="493">
        <v>0</v>
      </c>
      <c r="BV61" s="494">
        <v>0</v>
      </c>
      <c r="BW61" s="493">
        <v>29610.71</v>
      </c>
      <c r="BX61" s="493">
        <v>0</v>
      </c>
      <c r="BY61" s="493">
        <v>6000</v>
      </c>
      <c r="BZ61" s="493">
        <v>0</v>
      </c>
      <c r="CA61" s="493">
        <v>0</v>
      </c>
      <c r="CB61" s="493">
        <v>0</v>
      </c>
      <c r="CC61" s="493">
        <v>29610.71</v>
      </c>
      <c r="CD61" s="493">
        <v>0</v>
      </c>
      <c r="CE61" s="493">
        <v>3286.32</v>
      </c>
      <c r="CF61" s="493">
        <v>0</v>
      </c>
      <c r="CG61" s="493">
        <v>0</v>
      </c>
      <c r="CH61" s="493">
        <v>0</v>
      </c>
      <c r="CI61" s="493">
        <v>0</v>
      </c>
      <c r="CJ61" s="495">
        <f t="shared" si="7"/>
        <v>3286.32</v>
      </c>
      <c r="CK61" s="495">
        <f t="shared" si="8"/>
        <v>0</v>
      </c>
      <c r="CL61" s="495">
        <f t="shared" si="9"/>
        <v>3286.32</v>
      </c>
      <c r="CM61" s="573">
        <f t="shared" si="3"/>
        <v>1252646.7799999998</v>
      </c>
      <c r="CN61" s="573">
        <f t="shared" si="4"/>
        <v>1141065.4600000004</v>
      </c>
      <c r="CO61" s="573">
        <f t="shared" si="5"/>
        <v>1101291.47</v>
      </c>
      <c r="CP61" s="573">
        <f t="shared" si="6"/>
        <v>111581.31999999937</v>
      </c>
    </row>
    <row r="62" spans="1:94" ht="14.25" customHeight="1">
      <c r="A62" s="491">
        <v>302</v>
      </c>
      <c r="B62" s="491">
        <v>3501</v>
      </c>
      <c r="C62" s="492" t="s">
        <v>730</v>
      </c>
      <c r="D62" s="491" t="s">
        <v>586</v>
      </c>
      <c r="E62" s="491" t="s">
        <v>731</v>
      </c>
      <c r="F62" s="491" t="s">
        <v>588</v>
      </c>
      <c r="G62" s="491">
        <v>0</v>
      </c>
      <c r="H62" s="491">
        <v>2</v>
      </c>
      <c r="I62" s="491" t="s">
        <v>717</v>
      </c>
      <c r="J62" s="491" t="s">
        <v>718</v>
      </c>
      <c r="K62" s="491" t="s">
        <v>591</v>
      </c>
      <c r="L62" s="491" t="s">
        <v>592</v>
      </c>
      <c r="M62" s="491" t="s">
        <v>591</v>
      </c>
      <c r="N62" s="491" t="s">
        <v>593</v>
      </c>
      <c r="O62" s="491" t="s">
        <v>188</v>
      </c>
      <c r="P62" s="491" t="s">
        <v>188</v>
      </c>
      <c r="Q62" s="493">
        <v>-126538</v>
      </c>
      <c r="R62" s="493">
        <v>0</v>
      </c>
      <c r="S62" s="493">
        <v>0</v>
      </c>
      <c r="T62" s="493">
        <v>1243100</v>
      </c>
      <c r="U62" s="493">
        <v>0</v>
      </c>
      <c r="V62" s="493">
        <v>80553</v>
      </c>
      <c r="W62" s="493">
        <v>0</v>
      </c>
      <c r="X62" s="493">
        <v>58515</v>
      </c>
      <c r="Y62" s="493">
        <v>8826</v>
      </c>
      <c r="Z62" s="493">
        <v>39715</v>
      </c>
      <c r="AA62" s="493">
        <v>1825</v>
      </c>
      <c r="AB62" s="493">
        <v>13003</v>
      </c>
      <c r="AC62" s="493">
        <v>10074</v>
      </c>
      <c r="AD62" s="493">
        <v>0</v>
      </c>
      <c r="AE62" s="493">
        <v>0</v>
      </c>
      <c r="AF62" s="493">
        <v>54017</v>
      </c>
      <c r="AG62" s="493">
        <v>16356</v>
      </c>
      <c r="AH62" s="493">
        <v>0</v>
      </c>
      <c r="AI62" s="493">
        <v>0</v>
      </c>
      <c r="AJ62" s="493">
        <v>0</v>
      </c>
      <c r="AK62" s="493">
        <v>0</v>
      </c>
      <c r="AL62" s="493">
        <v>0</v>
      </c>
      <c r="AM62" s="493">
        <v>9101</v>
      </c>
      <c r="AN62" s="493">
        <v>41571</v>
      </c>
      <c r="AO62" s="493">
        <v>645659</v>
      </c>
      <c r="AP62" s="493">
        <v>0</v>
      </c>
      <c r="AQ62" s="493">
        <v>209758</v>
      </c>
      <c r="AR62" s="493">
        <v>77970</v>
      </c>
      <c r="AS62" s="493">
        <v>77297</v>
      </c>
      <c r="AT62" s="493">
        <v>0</v>
      </c>
      <c r="AU62" s="493">
        <v>39956</v>
      </c>
      <c r="AV62" s="493">
        <v>1261</v>
      </c>
      <c r="AW62" s="493">
        <v>7413</v>
      </c>
      <c r="AX62" s="493">
        <v>345</v>
      </c>
      <c r="AY62" s="493">
        <v>0</v>
      </c>
      <c r="AZ62" s="493">
        <v>27875</v>
      </c>
      <c r="BA62" s="493">
        <v>474</v>
      </c>
      <c r="BB62" s="493">
        <v>2290</v>
      </c>
      <c r="BC62" s="493">
        <v>3786</v>
      </c>
      <c r="BD62" s="493">
        <v>63192</v>
      </c>
      <c r="BE62" s="493">
        <v>817</v>
      </c>
      <c r="BF62" s="493">
        <v>7601</v>
      </c>
      <c r="BG62" s="493">
        <v>60497</v>
      </c>
      <c r="BH62" s="493">
        <v>10507</v>
      </c>
      <c r="BI62" s="493">
        <v>0</v>
      </c>
      <c r="BJ62" s="493">
        <v>19765</v>
      </c>
      <c r="BK62" s="493">
        <v>13538</v>
      </c>
      <c r="BL62" s="493">
        <v>3890</v>
      </c>
      <c r="BM62" s="493">
        <v>59778</v>
      </c>
      <c r="BN62" s="493">
        <v>105047</v>
      </c>
      <c r="BO62" s="493">
        <v>167516</v>
      </c>
      <c r="BP62" s="493">
        <v>38493</v>
      </c>
      <c r="BQ62" s="493">
        <v>0</v>
      </c>
      <c r="BR62" s="493">
        <v>0</v>
      </c>
      <c r="BS62" s="493">
        <v>0</v>
      </c>
      <c r="BT62" s="493">
        <v>0</v>
      </c>
      <c r="BU62" s="493">
        <v>0</v>
      </c>
      <c r="BV62" s="494">
        <v>0</v>
      </c>
      <c r="BW62" s="493">
        <v>0</v>
      </c>
      <c r="BX62" s="493">
        <v>0</v>
      </c>
      <c r="BY62" s="493">
        <v>6000</v>
      </c>
      <c r="BZ62" s="493">
        <v>0</v>
      </c>
      <c r="CA62" s="493">
        <v>0</v>
      </c>
      <c r="CB62" s="493">
        <v>0</v>
      </c>
      <c r="CC62" s="493">
        <v>0</v>
      </c>
      <c r="CD62" s="493">
        <v>0</v>
      </c>
      <c r="CE62" s="493">
        <v>-194607</v>
      </c>
      <c r="CF62" s="493">
        <v>0</v>
      </c>
      <c r="CG62" s="493">
        <v>0</v>
      </c>
      <c r="CH62" s="493">
        <v>0</v>
      </c>
      <c r="CI62" s="493">
        <v>0</v>
      </c>
      <c r="CJ62" s="495">
        <f t="shared" si="7"/>
        <v>-194607</v>
      </c>
      <c r="CK62" s="495">
        <f t="shared" si="8"/>
        <v>0</v>
      </c>
      <c r="CL62" s="495">
        <f t="shared" si="9"/>
        <v>-194607</v>
      </c>
      <c r="CM62" s="573">
        <f t="shared" si="3"/>
        <v>1576656</v>
      </c>
      <c r="CN62" s="573">
        <f t="shared" si="4"/>
        <v>1644725</v>
      </c>
      <c r="CO62" s="573">
        <f t="shared" si="5"/>
        <v>1323653</v>
      </c>
      <c r="CP62" s="573">
        <f t="shared" si="6"/>
        <v>-68069</v>
      </c>
    </row>
    <row r="63" spans="1:94" ht="14.25" customHeight="1">
      <c r="A63" s="491">
        <v>302</v>
      </c>
      <c r="B63" s="491">
        <v>3502</v>
      </c>
      <c r="C63" s="492" t="s">
        <v>633</v>
      </c>
      <c r="D63" s="491" t="s">
        <v>594</v>
      </c>
      <c r="E63" s="491"/>
      <c r="F63" s="491" t="s">
        <v>588</v>
      </c>
      <c r="G63" s="491">
        <v>0</v>
      </c>
      <c r="H63" s="491">
        <v>0</v>
      </c>
      <c r="I63" s="491" t="s">
        <v>717</v>
      </c>
      <c r="J63" s="491" t="s">
        <v>718</v>
      </c>
      <c r="K63" s="491" t="s">
        <v>591</v>
      </c>
      <c r="L63" s="491" t="s">
        <v>592</v>
      </c>
      <c r="M63" s="491" t="s">
        <v>591</v>
      </c>
      <c r="N63" s="491" t="s">
        <v>593</v>
      </c>
      <c r="O63" s="491" t="s">
        <v>188</v>
      </c>
      <c r="P63" s="491" t="s">
        <v>188</v>
      </c>
      <c r="Q63" s="493">
        <v>877601</v>
      </c>
      <c r="R63" s="493">
        <v>0</v>
      </c>
      <c r="S63" s="493">
        <v>0</v>
      </c>
      <c r="T63" s="493">
        <v>2363853.86</v>
      </c>
      <c r="U63" s="493">
        <v>0</v>
      </c>
      <c r="V63" s="493">
        <v>154673.85999999999</v>
      </c>
      <c r="W63" s="493">
        <v>0</v>
      </c>
      <c r="X63" s="493">
        <v>173459.98</v>
      </c>
      <c r="Y63" s="493">
        <v>3777.68</v>
      </c>
      <c r="Z63" s="493">
        <v>46597.56</v>
      </c>
      <c r="AA63" s="493">
        <v>2394.5</v>
      </c>
      <c r="AB63" s="493">
        <v>37856.550000000003</v>
      </c>
      <c r="AC63" s="493">
        <v>12528.49</v>
      </c>
      <c r="AD63" s="493">
        <v>0</v>
      </c>
      <c r="AE63" s="493">
        <v>0</v>
      </c>
      <c r="AF63" s="493">
        <v>33445.410000000003</v>
      </c>
      <c r="AG63" s="493">
        <v>5359.58</v>
      </c>
      <c r="AH63" s="493">
        <v>0</v>
      </c>
      <c r="AI63" s="493">
        <v>0</v>
      </c>
      <c r="AJ63" s="493">
        <v>0</v>
      </c>
      <c r="AK63" s="493">
        <v>0</v>
      </c>
      <c r="AL63" s="493">
        <v>0</v>
      </c>
      <c r="AM63" s="493">
        <v>0</v>
      </c>
      <c r="AN63" s="493">
        <v>88909.01</v>
      </c>
      <c r="AO63" s="493">
        <v>1180039.18</v>
      </c>
      <c r="AP63" s="493">
        <v>0</v>
      </c>
      <c r="AQ63" s="493">
        <v>668073.22</v>
      </c>
      <c r="AR63" s="493">
        <v>93055.89</v>
      </c>
      <c r="AS63" s="493">
        <v>66784.850000000006</v>
      </c>
      <c r="AT63" s="493">
        <v>0</v>
      </c>
      <c r="AU63" s="493">
        <v>29268.2</v>
      </c>
      <c r="AV63" s="493">
        <v>1982.3</v>
      </c>
      <c r="AW63" s="493">
        <v>1599.17</v>
      </c>
      <c r="AX63" s="493">
        <v>667.32</v>
      </c>
      <c r="AY63" s="493">
        <v>0</v>
      </c>
      <c r="AZ63" s="493">
        <v>152628.12</v>
      </c>
      <c r="BA63" s="493">
        <v>2333.92</v>
      </c>
      <c r="BB63" s="493">
        <v>6827.46</v>
      </c>
      <c r="BC63" s="493">
        <v>15246.07</v>
      </c>
      <c r="BD63" s="493">
        <v>36803.230000000003</v>
      </c>
      <c r="BE63" s="493">
        <v>7425.6</v>
      </c>
      <c r="BF63" s="493">
        <v>11412.98</v>
      </c>
      <c r="BG63" s="493">
        <v>93825.22</v>
      </c>
      <c r="BH63" s="493">
        <v>35674.07</v>
      </c>
      <c r="BI63" s="493">
        <v>0</v>
      </c>
      <c r="BJ63" s="493">
        <v>15571.2</v>
      </c>
      <c r="BK63" s="493">
        <v>19838.560000000001</v>
      </c>
      <c r="BL63" s="493">
        <v>7508.6</v>
      </c>
      <c r="BM63" s="493">
        <v>129395.57</v>
      </c>
      <c r="BN63" s="493">
        <v>27251.5</v>
      </c>
      <c r="BO63" s="493">
        <v>180998.08</v>
      </c>
      <c r="BP63" s="493">
        <v>50561.46</v>
      </c>
      <c r="BQ63" s="493">
        <v>0</v>
      </c>
      <c r="BR63" s="493">
        <v>0</v>
      </c>
      <c r="BS63" s="493">
        <v>0</v>
      </c>
      <c r="BT63" s="493">
        <v>0</v>
      </c>
      <c r="BU63" s="493">
        <v>0</v>
      </c>
      <c r="BV63" s="494">
        <v>0</v>
      </c>
      <c r="BW63" s="493">
        <v>0</v>
      </c>
      <c r="BX63" s="493">
        <v>0</v>
      </c>
      <c r="BY63" s="493">
        <v>6000</v>
      </c>
      <c r="BZ63" s="493">
        <v>0</v>
      </c>
      <c r="CA63" s="493">
        <v>0</v>
      </c>
      <c r="CB63" s="493">
        <v>0</v>
      </c>
      <c r="CC63" s="493">
        <v>0</v>
      </c>
      <c r="CD63" s="493">
        <v>0</v>
      </c>
      <c r="CE63" s="493">
        <v>965685.71</v>
      </c>
      <c r="CF63" s="493">
        <v>0</v>
      </c>
      <c r="CG63" s="493">
        <v>0</v>
      </c>
      <c r="CH63" s="493">
        <v>0</v>
      </c>
      <c r="CI63" s="493">
        <v>0</v>
      </c>
      <c r="CJ63" s="495">
        <f t="shared" si="7"/>
        <v>965685.71</v>
      </c>
      <c r="CK63" s="495">
        <f t="shared" si="8"/>
        <v>0</v>
      </c>
      <c r="CL63" s="495">
        <f t="shared" si="9"/>
        <v>965685.71</v>
      </c>
      <c r="CM63" s="573">
        <f t="shared" si="3"/>
        <v>2922856.48</v>
      </c>
      <c r="CN63" s="573">
        <f t="shared" si="4"/>
        <v>2834771.77</v>
      </c>
      <c r="CO63" s="573">
        <f t="shared" si="5"/>
        <v>2518527.7199999997</v>
      </c>
      <c r="CP63" s="573">
        <f t="shared" si="6"/>
        <v>88084.709999999963</v>
      </c>
    </row>
    <row r="64" spans="1:94" ht="14.25" customHeight="1">
      <c r="A64" s="491">
        <v>302</v>
      </c>
      <c r="B64" s="491">
        <v>3504</v>
      </c>
      <c r="C64" s="492" t="s">
        <v>287</v>
      </c>
      <c r="D64" s="491" t="s">
        <v>594</v>
      </c>
      <c r="E64" s="491"/>
      <c r="F64" s="491" t="s">
        <v>588</v>
      </c>
      <c r="G64" s="491">
        <v>0</v>
      </c>
      <c r="H64" s="491">
        <v>0</v>
      </c>
      <c r="I64" s="491" t="s">
        <v>717</v>
      </c>
      <c r="J64" s="491" t="s">
        <v>718</v>
      </c>
      <c r="K64" s="491" t="s">
        <v>591</v>
      </c>
      <c r="L64" s="491" t="s">
        <v>592</v>
      </c>
      <c r="M64" s="491" t="s">
        <v>591</v>
      </c>
      <c r="N64" s="491" t="s">
        <v>593</v>
      </c>
      <c r="O64" s="491" t="s">
        <v>188</v>
      </c>
      <c r="P64" s="491" t="s">
        <v>188</v>
      </c>
      <c r="Q64" s="493">
        <v>122678</v>
      </c>
      <c r="R64" s="493">
        <v>0</v>
      </c>
      <c r="S64" s="493">
        <v>0</v>
      </c>
      <c r="T64" s="493">
        <v>2295503.46</v>
      </c>
      <c r="U64" s="493">
        <v>0</v>
      </c>
      <c r="V64" s="493">
        <v>77066.86</v>
      </c>
      <c r="W64" s="493">
        <v>0</v>
      </c>
      <c r="X64" s="493">
        <v>56335.02</v>
      </c>
      <c r="Y64" s="493">
        <v>4434.42</v>
      </c>
      <c r="Z64" s="493">
        <v>69440.479999999996</v>
      </c>
      <c r="AA64" s="493">
        <v>2295</v>
      </c>
      <c r="AB64" s="493">
        <v>170250.8</v>
      </c>
      <c r="AC64" s="493">
        <v>20722.509999999998</v>
      </c>
      <c r="AD64" s="493">
        <v>9990</v>
      </c>
      <c r="AE64" s="493">
        <v>0</v>
      </c>
      <c r="AF64" s="493">
        <v>153567.45000000001</v>
      </c>
      <c r="AG64" s="493">
        <v>18620.080000000002</v>
      </c>
      <c r="AH64" s="493">
        <v>0</v>
      </c>
      <c r="AI64" s="493">
        <v>0</v>
      </c>
      <c r="AJ64" s="493">
        <v>0</v>
      </c>
      <c r="AK64" s="493">
        <v>0</v>
      </c>
      <c r="AL64" s="493">
        <v>0</v>
      </c>
      <c r="AM64" s="493">
        <v>9815.01</v>
      </c>
      <c r="AN64" s="493">
        <v>94574</v>
      </c>
      <c r="AO64" s="493">
        <v>1350059.47</v>
      </c>
      <c r="AP64" s="493">
        <v>291.76</v>
      </c>
      <c r="AQ64" s="493">
        <v>606879.92000000004</v>
      </c>
      <c r="AR64" s="493">
        <v>90274.99</v>
      </c>
      <c r="AS64" s="493">
        <v>162420.25</v>
      </c>
      <c r="AT64" s="493">
        <v>0</v>
      </c>
      <c r="AU64" s="493">
        <v>78609.94</v>
      </c>
      <c r="AV64" s="493">
        <v>16628.63</v>
      </c>
      <c r="AW64" s="493">
        <v>5681.32</v>
      </c>
      <c r="AX64" s="493">
        <v>15059.38</v>
      </c>
      <c r="AY64" s="493">
        <v>0</v>
      </c>
      <c r="AZ64" s="493">
        <v>43327.96</v>
      </c>
      <c r="BA64" s="493">
        <v>17934.900000000001</v>
      </c>
      <c r="BB64" s="493">
        <v>8514.7000000000007</v>
      </c>
      <c r="BC64" s="493">
        <v>4617.09</v>
      </c>
      <c r="BD64" s="493">
        <v>49183.51</v>
      </c>
      <c r="BE64" s="493">
        <v>6746.1</v>
      </c>
      <c r="BF64" s="493">
        <v>13988.09</v>
      </c>
      <c r="BG64" s="493">
        <v>87301.4</v>
      </c>
      <c r="BH64" s="493">
        <v>24155.56</v>
      </c>
      <c r="BI64" s="493">
        <v>0</v>
      </c>
      <c r="BJ64" s="493">
        <v>14441.19</v>
      </c>
      <c r="BK64" s="493">
        <v>22380.73</v>
      </c>
      <c r="BL64" s="493">
        <v>50578.91</v>
      </c>
      <c r="BM64" s="493">
        <v>164311.72</v>
      </c>
      <c r="BN64" s="493">
        <v>0</v>
      </c>
      <c r="BO64" s="493">
        <v>78980.63</v>
      </c>
      <c r="BP64" s="493">
        <v>61528.9</v>
      </c>
      <c r="BQ64" s="493">
        <v>0</v>
      </c>
      <c r="BR64" s="493">
        <v>0</v>
      </c>
      <c r="BS64" s="493">
        <v>0</v>
      </c>
      <c r="BT64" s="493">
        <v>0</v>
      </c>
      <c r="BU64" s="493">
        <v>0</v>
      </c>
      <c r="BV64" s="494">
        <v>0</v>
      </c>
      <c r="BW64" s="493">
        <v>0</v>
      </c>
      <c r="BX64" s="493">
        <v>0</v>
      </c>
      <c r="BY64" s="493">
        <v>6000</v>
      </c>
      <c r="BZ64" s="493">
        <v>0</v>
      </c>
      <c r="CA64" s="493">
        <v>0</v>
      </c>
      <c r="CB64" s="493">
        <v>0</v>
      </c>
      <c r="CC64" s="493">
        <v>0</v>
      </c>
      <c r="CD64" s="493">
        <v>0</v>
      </c>
      <c r="CE64" s="493">
        <v>131396.04</v>
      </c>
      <c r="CF64" s="493">
        <v>0</v>
      </c>
      <c r="CG64" s="493">
        <v>0</v>
      </c>
      <c r="CH64" s="493">
        <v>0</v>
      </c>
      <c r="CI64" s="493">
        <v>0</v>
      </c>
      <c r="CJ64" s="495">
        <f t="shared" si="7"/>
        <v>131396.04</v>
      </c>
      <c r="CK64" s="495">
        <f t="shared" si="8"/>
        <v>0</v>
      </c>
      <c r="CL64" s="495">
        <f t="shared" si="9"/>
        <v>131396.04</v>
      </c>
      <c r="CM64" s="573">
        <f t="shared" si="3"/>
        <v>2982615.0899999994</v>
      </c>
      <c r="CN64" s="573">
        <f t="shared" si="4"/>
        <v>2973897.0499999989</v>
      </c>
      <c r="CO64" s="573">
        <f t="shared" si="5"/>
        <v>2372570.3199999998</v>
      </c>
      <c r="CP64" s="573">
        <f t="shared" si="6"/>
        <v>8718.0400000005029</v>
      </c>
    </row>
    <row r="65" spans="1:94" ht="27.6">
      <c r="A65" s="491">
        <v>302</v>
      </c>
      <c r="B65" s="491">
        <v>3506</v>
      </c>
      <c r="C65" s="492" t="s">
        <v>386</v>
      </c>
      <c r="D65" s="491" t="s">
        <v>594</v>
      </c>
      <c r="E65" s="491"/>
      <c r="F65" s="491" t="s">
        <v>588</v>
      </c>
      <c r="G65" s="491">
        <v>0</v>
      </c>
      <c r="H65" s="491">
        <v>1</v>
      </c>
      <c r="I65" s="491" t="s">
        <v>717</v>
      </c>
      <c r="J65" s="491" t="s">
        <v>718</v>
      </c>
      <c r="K65" s="491" t="s">
        <v>591</v>
      </c>
      <c r="L65" s="491" t="s">
        <v>592</v>
      </c>
      <c r="M65" s="491" t="s">
        <v>591</v>
      </c>
      <c r="N65" s="491" t="s">
        <v>593</v>
      </c>
      <c r="O65" s="491" t="s">
        <v>188</v>
      </c>
      <c r="P65" s="491" t="s">
        <v>188</v>
      </c>
      <c r="Q65" s="493">
        <v>57528</v>
      </c>
      <c r="R65" s="493">
        <v>0</v>
      </c>
      <c r="S65" s="493">
        <v>0</v>
      </c>
      <c r="T65" s="493">
        <v>1428994.17</v>
      </c>
      <c r="U65" s="493">
        <v>0</v>
      </c>
      <c r="V65" s="493">
        <v>146143.01999999999</v>
      </c>
      <c r="W65" s="493">
        <v>0</v>
      </c>
      <c r="X65" s="493">
        <v>25809.99</v>
      </c>
      <c r="Y65" s="493">
        <v>44392.41</v>
      </c>
      <c r="Z65" s="493">
        <v>49588.12</v>
      </c>
      <c r="AA65" s="493">
        <v>39328.25</v>
      </c>
      <c r="AB65" s="493">
        <v>31237.35</v>
      </c>
      <c r="AC65" s="493">
        <v>8612.43</v>
      </c>
      <c r="AD65" s="493">
        <v>0</v>
      </c>
      <c r="AE65" s="493">
        <v>0</v>
      </c>
      <c r="AF65" s="493">
        <v>46578</v>
      </c>
      <c r="AG65" s="493">
        <v>46688.25</v>
      </c>
      <c r="AH65" s="493">
        <v>0</v>
      </c>
      <c r="AI65" s="493">
        <v>0</v>
      </c>
      <c r="AJ65" s="493">
        <v>0</v>
      </c>
      <c r="AK65" s="493">
        <v>0</v>
      </c>
      <c r="AL65" s="493">
        <v>0</v>
      </c>
      <c r="AM65" s="493">
        <v>4250.63</v>
      </c>
      <c r="AN65" s="493">
        <v>67136</v>
      </c>
      <c r="AO65" s="493">
        <v>921995.9</v>
      </c>
      <c r="AP65" s="493">
        <v>0</v>
      </c>
      <c r="AQ65" s="493">
        <v>468491.73</v>
      </c>
      <c r="AR65" s="493">
        <v>85854.720000000001</v>
      </c>
      <c r="AS65" s="493">
        <v>57444.81</v>
      </c>
      <c r="AT65" s="493">
        <v>0</v>
      </c>
      <c r="AU65" s="493">
        <v>0</v>
      </c>
      <c r="AV65" s="493">
        <v>4434.8900000000003</v>
      </c>
      <c r="AW65" s="493">
        <v>4087.65</v>
      </c>
      <c r="AX65" s="493">
        <v>466.46</v>
      </c>
      <c r="AY65" s="493">
        <v>0</v>
      </c>
      <c r="AZ65" s="493">
        <v>35777.18</v>
      </c>
      <c r="BA65" s="493">
        <v>7187</v>
      </c>
      <c r="BB65" s="493">
        <v>4448.6000000000004</v>
      </c>
      <c r="BC65" s="493">
        <v>809.15</v>
      </c>
      <c r="BD65" s="493">
        <v>44123.91</v>
      </c>
      <c r="BE65" s="493">
        <v>4243.2</v>
      </c>
      <c r="BF65" s="493">
        <v>12219.74</v>
      </c>
      <c r="BG65" s="493">
        <v>77040.789999999994</v>
      </c>
      <c r="BH65" s="493">
        <v>11318.62</v>
      </c>
      <c r="BI65" s="493">
        <v>0</v>
      </c>
      <c r="BJ65" s="493">
        <v>9934.9699999999993</v>
      </c>
      <c r="BK65" s="493">
        <v>15384.25</v>
      </c>
      <c r="BL65" s="493">
        <v>18141.150000000001</v>
      </c>
      <c r="BM65" s="493">
        <v>92695.23</v>
      </c>
      <c r="BN65" s="493">
        <v>21869.360000000001</v>
      </c>
      <c r="BO65" s="493">
        <v>64864.22</v>
      </c>
      <c r="BP65" s="493">
        <v>49609.120000000003</v>
      </c>
      <c r="BQ65" s="493">
        <v>0</v>
      </c>
      <c r="BR65" s="493">
        <v>0</v>
      </c>
      <c r="BS65" s="493">
        <v>0</v>
      </c>
      <c r="BT65" s="493">
        <v>0</v>
      </c>
      <c r="BU65" s="493">
        <v>0</v>
      </c>
      <c r="BV65" s="494">
        <v>0</v>
      </c>
      <c r="BW65" s="493">
        <v>0</v>
      </c>
      <c r="BX65" s="493">
        <v>0</v>
      </c>
      <c r="BY65" s="493">
        <v>6000</v>
      </c>
      <c r="BZ65" s="493">
        <v>0</v>
      </c>
      <c r="CA65" s="493">
        <v>0</v>
      </c>
      <c r="CB65" s="493">
        <v>0</v>
      </c>
      <c r="CC65" s="493">
        <v>0</v>
      </c>
      <c r="CD65" s="493">
        <v>0</v>
      </c>
      <c r="CE65" s="493">
        <v>-16156.03</v>
      </c>
      <c r="CF65" s="493">
        <v>0</v>
      </c>
      <c r="CG65" s="493">
        <v>0</v>
      </c>
      <c r="CH65" s="493">
        <v>0</v>
      </c>
      <c r="CI65" s="493">
        <v>0</v>
      </c>
      <c r="CJ65" s="495">
        <f t="shared" si="7"/>
        <v>-16156.03</v>
      </c>
      <c r="CK65" s="495">
        <f t="shared" si="8"/>
        <v>0</v>
      </c>
      <c r="CL65" s="495">
        <f t="shared" si="9"/>
        <v>-16156.03</v>
      </c>
      <c r="CM65" s="573">
        <f t="shared" si="3"/>
        <v>1938758.62</v>
      </c>
      <c r="CN65" s="573">
        <f t="shared" si="4"/>
        <v>2012442.6499999997</v>
      </c>
      <c r="CO65" s="573">
        <f t="shared" si="5"/>
        <v>1575137.19</v>
      </c>
      <c r="CP65" s="573">
        <f t="shared" si="6"/>
        <v>-73684.029999999562</v>
      </c>
    </row>
    <row r="66" spans="1:94" ht="27.6">
      <c r="A66" s="491">
        <v>302</v>
      </c>
      <c r="B66" s="491">
        <v>3507</v>
      </c>
      <c r="C66" s="492" t="s">
        <v>429</v>
      </c>
      <c r="D66" s="491" t="s">
        <v>586</v>
      </c>
      <c r="E66" s="491" t="s">
        <v>732</v>
      </c>
      <c r="F66" s="491" t="s">
        <v>588</v>
      </c>
      <c r="G66" s="491">
        <v>0</v>
      </c>
      <c r="H66" s="491">
        <v>3</v>
      </c>
      <c r="I66" s="491" t="s">
        <v>717</v>
      </c>
      <c r="J66" s="491" t="s">
        <v>718</v>
      </c>
      <c r="K66" s="491" t="s">
        <v>591</v>
      </c>
      <c r="L66" s="491" t="s">
        <v>592</v>
      </c>
      <c r="M66" s="491" t="s">
        <v>591</v>
      </c>
      <c r="N66" s="491" t="s">
        <v>593</v>
      </c>
      <c r="O66" s="491" t="s">
        <v>188</v>
      </c>
      <c r="P66" s="491" t="s">
        <v>188</v>
      </c>
      <c r="Q66" s="493">
        <v>-222860</v>
      </c>
      <c r="R66" s="493">
        <v>0</v>
      </c>
      <c r="S66" s="493">
        <v>0</v>
      </c>
      <c r="T66" s="493">
        <v>1014960</v>
      </c>
      <c r="U66" s="493">
        <v>0</v>
      </c>
      <c r="V66" s="493">
        <v>92989</v>
      </c>
      <c r="W66" s="493">
        <v>0</v>
      </c>
      <c r="X66" s="493">
        <v>62285</v>
      </c>
      <c r="Y66" s="493">
        <v>3469</v>
      </c>
      <c r="Z66" s="493">
        <v>27714</v>
      </c>
      <c r="AA66" s="493">
        <v>315</v>
      </c>
      <c r="AB66" s="493">
        <v>7786</v>
      </c>
      <c r="AC66" s="493">
        <v>4597.12</v>
      </c>
      <c r="AD66" s="493">
        <v>0</v>
      </c>
      <c r="AE66" s="493">
        <v>0</v>
      </c>
      <c r="AF66" s="493">
        <v>30002.85</v>
      </c>
      <c r="AG66" s="493">
        <v>18055</v>
      </c>
      <c r="AH66" s="493">
        <v>0</v>
      </c>
      <c r="AI66" s="493">
        <v>0</v>
      </c>
      <c r="AJ66" s="493">
        <v>0</v>
      </c>
      <c r="AK66" s="493">
        <v>0</v>
      </c>
      <c r="AL66" s="493">
        <v>0</v>
      </c>
      <c r="AM66" s="493">
        <v>5401</v>
      </c>
      <c r="AN66" s="493">
        <v>40987</v>
      </c>
      <c r="AO66" s="493">
        <v>596903</v>
      </c>
      <c r="AP66" s="493">
        <v>0</v>
      </c>
      <c r="AQ66" s="493">
        <v>189057</v>
      </c>
      <c r="AR66" s="493">
        <v>38620</v>
      </c>
      <c r="AS66" s="493">
        <v>50195</v>
      </c>
      <c r="AT66" s="493">
        <v>0</v>
      </c>
      <c r="AU66" s="493">
        <v>23924</v>
      </c>
      <c r="AV66" s="493">
        <v>1238</v>
      </c>
      <c r="AW66" s="493">
        <v>6677</v>
      </c>
      <c r="AX66" s="493">
        <v>290</v>
      </c>
      <c r="AY66" s="493">
        <v>0</v>
      </c>
      <c r="AZ66" s="493">
        <v>15406</v>
      </c>
      <c r="BA66" s="493">
        <v>212</v>
      </c>
      <c r="BB66" s="493">
        <v>20772</v>
      </c>
      <c r="BC66" s="493">
        <v>2072</v>
      </c>
      <c r="BD66" s="493">
        <v>29227</v>
      </c>
      <c r="BE66" s="493">
        <v>4618</v>
      </c>
      <c r="BF66" s="493">
        <v>8207</v>
      </c>
      <c r="BG66" s="493">
        <v>66482</v>
      </c>
      <c r="BH66" s="493">
        <v>15343</v>
      </c>
      <c r="BI66" s="493">
        <v>0</v>
      </c>
      <c r="BJ66" s="493">
        <v>15817</v>
      </c>
      <c r="BK66" s="493">
        <v>10679</v>
      </c>
      <c r="BL66" s="493">
        <v>4405</v>
      </c>
      <c r="BM66" s="493">
        <v>49024</v>
      </c>
      <c r="BN66" s="493">
        <v>146628</v>
      </c>
      <c r="BO66" s="493">
        <v>170803</v>
      </c>
      <c r="BP66" s="493">
        <v>24211</v>
      </c>
      <c r="BQ66" s="493">
        <v>0</v>
      </c>
      <c r="BR66" s="493">
        <v>0</v>
      </c>
      <c r="BS66" s="493">
        <v>0</v>
      </c>
      <c r="BT66" s="493">
        <v>0</v>
      </c>
      <c r="BU66" s="493">
        <v>0</v>
      </c>
      <c r="BV66" s="494">
        <v>0</v>
      </c>
      <c r="BW66" s="493">
        <v>0</v>
      </c>
      <c r="BX66" s="493">
        <v>0</v>
      </c>
      <c r="BY66" s="493">
        <v>6000</v>
      </c>
      <c r="BZ66" s="493">
        <v>0</v>
      </c>
      <c r="CA66" s="493">
        <v>0</v>
      </c>
      <c r="CB66" s="493">
        <v>0</v>
      </c>
      <c r="CC66" s="493">
        <v>0</v>
      </c>
      <c r="CD66" s="493">
        <v>0</v>
      </c>
      <c r="CE66" s="493">
        <v>-405109.03</v>
      </c>
      <c r="CF66" s="493">
        <v>0</v>
      </c>
      <c r="CG66" s="493">
        <v>0</v>
      </c>
      <c r="CH66" s="493">
        <v>0</v>
      </c>
      <c r="CI66" s="493">
        <v>0</v>
      </c>
      <c r="CJ66" s="495">
        <f t="shared" si="7"/>
        <v>-405109.03</v>
      </c>
      <c r="CK66" s="495">
        <f t="shared" si="8"/>
        <v>0</v>
      </c>
      <c r="CL66" s="495">
        <f t="shared" si="9"/>
        <v>-405109.03</v>
      </c>
      <c r="CM66" s="573">
        <f t="shared" si="3"/>
        <v>1308560.9700000002</v>
      </c>
      <c r="CN66" s="573">
        <f t="shared" si="4"/>
        <v>1490810</v>
      </c>
      <c r="CO66" s="573">
        <f t="shared" si="5"/>
        <v>1107949</v>
      </c>
      <c r="CP66" s="573">
        <f t="shared" si="6"/>
        <v>-182249.0299999998</v>
      </c>
    </row>
    <row r="67" spans="1:94" ht="14.4">
      <c r="A67" s="491">
        <v>302</v>
      </c>
      <c r="B67" s="491">
        <v>3509</v>
      </c>
      <c r="C67" s="492" t="s">
        <v>414</v>
      </c>
      <c r="D67" s="491" t="s">
        <v>594</v>
      </c>
      <c r="E67" s="491"/>
      <c r="F67" s="491" t="s">
        <v>588</v>
      </c>
      <c r="G67" s="491">
        <v>0</v>
      </c>
      <c r="H67" s="491">
        <v>1</v>
      </c>
      <c r="I67" s="491" t="s">
        <v>717</v>
      </c>
      <c r="J67" s="491" t="s">
        <v>718</v>
      </c>
      <c r="K67" s="491" t="s">
        <v>591</v>
      </c>
      <c r="L67" s="491" t="s">
        <v>592</v>
      </c>
      <c r="M67" s="491" t="s">
        <v>591</v>
      </c>
      <c r="N67" s="491" t="s">
        <v>593</v>
      </c>
      <c r="O67" s="491" t="s">
        <v>188</v>
      </c>
      <c r="P67" s="491" t="s">
        <v>188</v>
      </c>
      <c r="Q67" s="493">
        <v>-664834</v>
      </c>
      <c r="R67" s="493">
        <v>0</v>
      </c>
      <c r="S67" s="493">
        <v>0</v>
      </c>
      <c r="T67" s="493">
        <v>2530727.16</v>
      </c>
      <c r="U67" s="493">
        <v>0</v>
      </c>
      <c r="V67" s="493">
        <v>198410.09</v>
      </c>
      <c r="W67" s="493">
        <v>0</v>
      </c>
      <c r="X67" s="493">
        <v>176530.9</v>
      </c>
      <c r="Y67" s="493">
        <v>200</v>
      </c>
      <c r="Z67" s="493">
        <v>64027.18</v>
      </c>
      <c r="AA67" s="493">
        <v>0</v>
      </c>
      <c r="AB67" s="493">
        <v>23995.55</v>
      </c>
      <c r="AC67" s="493">
        <v>19276.22</v>
      </c>
      <c r="AD67" s="493">
        <v>4500</v>
      </c>
      <c r="AE67" s="493">
        <v>0</v>
      </c>
      <c r="AF67" s="493">
        <v>36828</v>
      </c>
      <c r="AG67" s="493">
        <v>3000.6</v>
      </c>
      <c r="AH67" s="493">
        <v>0</v>
      </c>
      <c r="AI67" s="493">
        <v>0</v>
      </c>
      <c r="AJ67" s="493">
        <v>0</v>
      </c>
      <c r="AK67" s="493">
        <v>0</v>
      </c>
      <c r="AL67" s="493">
        <v>0</v>
      </c>
      <c r="AM67" s="493">
        <v>0</v>
      </c>
      <c r="AN67" s="493">
        <v>93420.28</v>
      </c>
      <c r="AO67" s="493">
        <v>1282726.95</v>
      </c>
      <c r="AP67" s="493">
        <v>0</v>
      </c>
      <c r="AQ67" s="493">
        <v>646467.78</v>
      </c>
      <c r="AR67" s="493">
        <v>150396.26</v>
      </c>
      <c r="AS67" s="493">
        <v>125335.99</v>
      </c>
      <c r="AT67" s="493">
        <v>0</v>
      </c>
      <c r="AU67" s="493">
        <v>96583.99</v>
      </c>
      <c r="AV67" s="493">
        <v>4809.3999999999996</v>
      </c>
      <c r="AW67" s="493">
        <v>1494.56</v>
      </c>
      <c r="AX67" s="493">
        <v>10287.61</v>
      </c>
      <c r="AY67" s="493">
        <v>0</v>
      </c>
      <c r="AZ67" s="493">
        <v>33541.9</v>
      </c>
      <c r="BA67" s="493">
        <v>300</v>
      </c>
      <c r="BB67" s="493">
        <v>2567.63</v>
      </c>
      <c r="BC67" s="493">
        <v>3742.36</v>
      </c>
      <c r="BD67" s="493">
        <v>95721.93</v>
      </c>
      <c r="BE67" s="493">
        <v>14476.8</v>
      </c>
      <c r="BF67" s="493">
        <v>19274.18</v>
      </c>
      <c r="BG67" s="493">
        <v>105956.92</v>
      </c>
      <c r="BH67" s="493">
        <v>11050.49</v>
      </c>
      <c r="BI67" s="493">
        <v>0</v>
      </c>
      <c r="BJ67" s="493">
        <v>19979.36</v>
      </c>
      <c r="BK67" s="493">
        <v>45631.14</v>
      </c>
      <c r="BL67" s="493">
        <v>9493.58</v>
      </c>
      <c r="BM67" s="493">
        <v>149534.29999999999</v>
      </c>
      <c r="BN67" s="493">
        <v>147389.04</v>
      </c>
      <c r="BO67" s="493">
        <v>168873.63</v>
      </c>
      <c r="BP67" s="493">
        <v>37532.120000000003</v>
      </c>
      <c r="BQ67" s="493">
        <v>0</v>
      </c>
      <c r="BR67" s="493">
        <v>0</v>
      </c>
      <c r="BS67" s="493">
        <v>0</v>
      </c>
      <c r="BT67" s="493">
        <v>0</v>
      </c>
      <c r="BU67" s="493">
        <v>0</v>
      </c>
      <c r="BV67" s="494">
        <v>0</v>
      </c>
      <c r="BW67" s="493">
        <v>0</v>
      </c>
      <c r="BX67" s="493">
        <v>0</v>
      </c>
      <c r="BY67" s="493">
        <v>6000</v>
      </c>
      <c r="BZ67" s="493">
        <v>0</v>
      </c>
      <c r="CA67" s="493">
        <v>0</v>
      </c>
      <c r="CB67" s="493">
        <v>0</v>
      </c>
      <c r="CC67" s="493">
        <v>0</v>
      </c>
      <c r="CD67" s="493">
        <v>0</v>
      </c>
      <c r="CE67" s="493">
        <v>-697085.94</v>
      </c>
      <c r="CF67" s="493">
        <v>0</v>
      </c>
      <c r="CG67" s="493">
        <v>0</v>
      </c>
      <c r="CH67" s="493">
        <v>0</v>
      </c>
      <c r="CI67" s="493">
        <v>0</v>
      </c>
      <c r="CJ67" s="495">
        <f t="shared" si="7"/>
        <v>-697085.94</v>
      </c>
      <c r="CK67" s="495">
        <f t="shared" si="8"/>
        <v>0</v>
      </c>
      <c r="CL67" s="495">
        <f t="shared" si="9"/>
        <v>-697085.94</v>
      </c>
      <c r="CM67" s="573">
        <f t="shared" si="3"/>
        <v>3150915.98</v>
      </c>
      <c r="CN67" s="573">
        <f t="shared" si="4"/>
        <v>3183167.92</v>
      </c>
      <c r="CO67" s="573">
        <f t="shared" si="5"/>
        <v>2729137.25</v>
      </c>
      <c r="CP67" s="573">
        <f t="shared" si="6"/>
        <v>-32251.939999999944</v>
      </c>
    </row>
    <row r="68" spans="1:94" ht="27.6">
      <c r="A68" s="491">
        <v>302</v>
      </c>
      <c r="B68" s="491">
        <v>3510</v>
      </c>
      <c r="C68" s="492" t="s">
        <v>285</v>
      </c>
      <c r="D68" s="491" t="s">
        <v>594</v>
      </c>
      <c r="E68" s="491"/>
      <c r="F68" s="491" t="s">
        <v>588</v>
      </c>
      <c r="G68" s="491">
        <v>0</v>
      </c>
      <c r="H68" s="491">
        <v>0</v>
      </c>
      <c r="I68" s="491" t="s">
        <v>717</v>
      </c>
      <c r="J68" s="491" t="s">
        <v>718</v>
      </c>
      <c r="K68" s="491" t="s">
        <v>591</v>
      </c>
      <c r="L68" s="491" t="s">
        <v>592</v>
      </c>
      <c r="M68" s="491" t="s">
        <v>591</v>
      </c>
      <c r="N68" s="491" t="s">
        <v>593</v>
      </c>
      <c r="O68" s="491" t="s">
        <v>188</v>
      </c>
      <c r="P68" s="491" t="s">
        <v>188</v>
      </c>
      <c r="Q68" s="493">
        <v>245406</v>
      </c>
      <c r="R68" s="493">
        <v>0</v>
      </c>
      <c r="S68" s="493">
        <v>0</v>
      </c>
      <c r="T68" s="493">
        <v>1985780.51</v>
      </c>
      <c r="U68" s="493">
        <v>0</v>
      </c>
      <c r="V68" s="493">
        <v>44066.64</v>
      </c>
      <c r="W68" s="493">
        <v>0</v>
      </c>
      <c r="X68" s="493">
        <v>80144.990000000005</v>
      </c>
      <c r="Y68" s="493">
        <v>1900</v>
      </c>
      <c r="Z68" s="493">
        <v>69157.3</v>
      </c>
      <c r="AA68" s="493">
        <v>19200</v>
      </c>
      <c r="AB68" s="493">
        <v>6084.2</v>
      </c>
      <c r="AC68" s="493">
        <v>17778.3</v>
      </c>
      <c r="AD68" s="493">
        <v>0</v>
      </c>
      <c r="AE68" s="493">
        <v>0</v>
      </c>
      <c r="AF68" s="493">
        <v>11000.6</v>
      </c>
      <c r="AG68" s="493">
        <v>60504.09</v>
      </c>
      <c r="AH68" s="493">
        <v>0</v>
      </c>
      <c r="AI68" s="493">
        <v>0</v>
      </c>
      <c r="AJ68" s="493">
        <v>0</v>
      </c>
      <c r="AK68" s="493">
        <v>0</v>
      </c>
      <c r="AL68" s="493">
        <v>0</v>
      </c>
      <c r="AM68" s="493">
        <v>12625.63</v>
      </c>
      <c r="AN68" s="493">
        <v>76536</v>
      </c>
      <c r="AO68" s="493">
        <v>1102274.81</v>
      </c>
      <c r="AP68" s="493">
        <v>8802.85</v>
      </c>
      <c r="AQ68" s="493">
        <v>385799.99</v>
      </c>
      <c r="AR68" s="493">
        <v>38183.67</v>
      </c>
      <c r="AS68" s="493">
        <v>113020.31</v>
      </c>
      <c r="AT68" s="493">
        <v>0</v>
      </c>
      <c r="AU68" s="493">
        <v>3076.04</v>
      </c>
      <c r="AV68" s="493">
        <v>12903.46</v>
      </c>
      <c r="AW68" s="493">
        <v>4791.78</v>
      </c>
      <c r="AX68" s="493">
        <v>678.94</v>
      </c>
      <c r="AY68" s="493">
        <v>0</v>
      </c>
      <c r="AZ68" s="493">
        <v>19212.560000000001</v>
      </c>
      <c r="BA68" s="493">
        <v>2194.92</v>
      </c>
      <c r="BB68" s="493">
        <v>33287.94</v>
      </c>
      <c r="BC68" s="493">
        <v>3103.2</v>
      </c>
      <c r="BD68" s="493">
        <v>62259.54</v>
      </c>
      <c r="BE68" s="493">
        <v>4862</v>
      </c>
      <c r="BF68" s="493">
        <v>10904.91</v>
      </c>
      <c r="BG68" s="493">
        <v>92684.12</v>
      </c>
      <c r="BH68" s="493">
        <v>16321.85</v>
      </c>
      <c r="BI68" s="493">
        <v>0</v>
      </c>
      <c r="BJ68" s="493">
        <v>46667.89</v>
      </c>
      <c r="BK68" s="493">
        <v>22777.41</v>
      </c>
      <c r="BL68" s="493">
        <v>2825.07</v>
      </c>
      <c r="BM68" s="493">
        <v>148535.9</v>
      </c>
      <c r="BN68" s="493">
        <v>66652.009999999995</v>
      </c>
      <c r="BO68" s="493">
        <v>139085.91</v>
      </c>
      <c r="BP68" s="493">
        <v>33674.17</v>
      </c>
      <c r="BQ68" s="493">
        <v>0</v>
      </c>
      <c r="BR68" s="493">
        <v>0</v>
      </c>
      <c r="BS68" s="493">
        <v>0</v>
      </c>
      <c r="BT68" s="493">
        <v>0</v>
      </c>
      <c r="BU68" s="493">
        <v>0</v>
      </c>
      <c r="BV68" s="494">
        <v>0</v>
      </c>
      <c r="BW68" s="493">
        <v>0</v>
      </c>
      <c r="BX68" s="493">
        <v>0</v>
      </c>
      <c r="BY68" s="493">
        <v>6000</v>
      </c>
      <c r="BZ68" s="493">
        <v>0</v>
      </c>
      <c r="CA68" s="493">
        <v>0</v>
      </c>
      <c r="CB68" s="493">
        <v>0</v>
      </c>
      <c r="CC68" s="493">
        <v>0</v>
      </c>
      <c r="CD68" s="493">
        <v>0</v>
      </c>
      <c r="CE68" s="493">
        <v>255603.01</v>
      </c>
      <c r="CF68" s="493">
        <v>0</v>
      </c>
      <c r="CG68" s="493">
        <v>0</v>
      </c>
      <c r="CH68" s="493">
        <v>0</v>
      </c>
      <c r="CI68" s="493">
        <v>0</v>
      </c>
      <c r="CJ68" s="495">
        <f t="shared" ref="CJ68:CJ90" si="10">CD68+CE68+CH68</f>
        <v>255603.01</v>
      </c>
      <c r="CK68" s="495">
        <f t="shared" ref="CK68:CK90" si="11">CF68+CG68+CI68</f>
        <v>0</v>
      </c>
      <c r="CL68" s="495">
        <f t="shared" ref="CL68:CL90" si="12">CD68+CE68</f>
        <v>255603.01</v>
      </c>
      <c r="CM68" s="573">
        <f t="shared" si="3"/>
        <v>2384778.2599999998</v>
      </c>
      <c r="CN68" s="573">
        <f t="shared" si="4"/>
        <v>2374581.25</v>
      </c>
      <c r="CO68" s="573">
        <f t="shared" si="5"/>
        <v>2029847.15</v>
      </c>
      <c r="CP68" s="573">
        <f t="shared" si="6"/>
        <v>10197.009999999776</v>
      </c>
    </row>
    <row r="69" spans="1:94" ht="27.6">
      <c r="A69" s="491">
        <v>302</v>
      </c>
      <c r="B69" s="491">
        <v>3511</v>
      </c>
      <c r="C69" s="492" t="s">
        <v>439</v>
      </c>
      <c r="D69" s="491" t="s">
        <v>594</v>
      </c>
      <c r="E69" s="491"/>
      <c r="F69" s="491" t="s">
        <v>588</v>
      </c>
      <c r="G69" s="491">
        <v>0</v>
      </c>
      <c r="H69" s="491">
        <v>0</v>
      </c>
      <c r="I69" s="491" t="s">
        <v>717</v>
      </c>
      <c r="J69" s="491" t="s">
        <v>718</v>
      </c>
      <c r="K69" s="491" t="s">
        <v>591</v>
      </c>
      <c r="L69" s="491" t="s">
        <v>592</v>
      </c>
      <c r="M69" s="491" t="s">
        <v>591</v>
      </c>
      <c r="N69" s="491" t="s">
        <v>593</v>
      </c>
      <c r="O69" s="491" t="s">
        <v>188</v>
      </c>
      <c r="P69" s="491" t="s">
        <v>188</v>
      </c>
      <c r="Q69" s="493">
        <v>366454</v>
      </c>
      <c r="R69" s="493">
        <v>0</v>
      </c>
      <c r="S69" s="493">
        <v>0</v>
      </c>
      <c r="T69" s="493">
        <v>2475700.33</v>
      </c>
      <c r="U69" s="493">
        <v>0</v>
      </c>
      <c r="V69" s="493">
        <v>109950.14</v>
      </c>
      <c r="W69" s="493">
        <v>0</v>
      </c>
      <c r="X69" s="493">
        <v>145189.97</v>
      </c>
      <c r="Y69" s="493">
        <v>9770.4</v>
      </c>
      <c r="Z69" s="493">
        <v>69788.58</v>
      </c>
      <c r="AA69" s="493">
        <v>0</v>
      </c>
      <c r="AB69" s="493">
        <v>52819.85</v>
      </c>
      <c r="AC69" s="493">
        <v>13971.23</v>
      </c>
      <c r="AD69" s="493">
        <v>3000</v>
      </c>
      <c r="AE69" s="493">
        <v>0</v>
      </c>
      <c r="AF69" s="493">
        <v>28181.23</v>
      </c>
      <c r="AG69" s="493">
        <v>4879.87</v>
      </c>
      <c r="AH69" s="493">
        <v>0</v>
      </c>
      <c r="AI69" s="493">
        <v>0</v>
      </c>
      <c r="AJ69" s="493">
        <v>0</v>
      </c>
      <c r="AK69" s="493">
        <v>0</v>
      </c>
      <c r="AL69" s="493">
        <v>0</v>
      </c>
      <c r="AM69" s="493">
        <v>23899.38</v>
      </c>
      <c r="AN69" s="493">
        <v>79713</v>
      </c>
      <c r="AO69" s="493">
        <v>1245249.98</v>
      </c>
      <c r="AP69" s="493">
        <v>2765.52</v>
      </c>
      <c r="AQ69" s="493">
        <v>640043.96</v>
      </c>
      <c r="AR69" s="493">
        <v>49493.02</v>
      </c>
      <c r="AS69" s="493">
        <v>169884.25</v>
      </c>
      <c r="AT69" s="493">
        <v>0</v>
      </c>
      <c r="AU69" s="493">
        <v>13954.45</v>
      </c>
      <c r="AV69" s="493">
        <v>15117.83</v>
      </c>
      <c r="AW69" s="493">
        <v>6214.22</v>
      </c>
      <c r="AX69" s="493">
        <v>8600.6</v>
      </c>
      <c r="AY69" s="493">
        <v>0</v>
      </c>
      <c r="AZ69" s="493">
        <v>17473.03</v>
      </c>
      <c r="BA69" s="493">
        <v>4258.49</v>
      </c>
      <c r="BB69" s="493">
        <v>51186.94</v>
      </c>
      <c r="BC69" s="493">
        <v>0</v>
      </c>
      <c r="BD69" s="493">
        <v>34610.75</v>
      </c>
      <c r="BE69" s="493">
        <v>0</v>
      </c>
      <c r="BF69" s="493">
        <v>1541.3</v>
      </c>
      <c r="BG69" s="493">
        <v>117106.4</v>
      </c>
      <c r="BH69" s="493">
        <v>25335.19</v>
      </c>
      <c r="BI69" s="493">
        <v>0</v>
      </c>
      <c r="BJ69" s="493">
        <v>23537.17</v>
      </c>
      <c r="BK69" s="493">
        <v>23215.29</v>
      </c>
      <c r="BL69" s="493">
        <v>59810.64</v>
      </c>
      <c r="BM69" s="493">
        <v>150649.48000000001</v>
      </c>
      <c r="BN69" s="493">
        <v>118917.66</v>
      </c>
      <c r="BO69" s="493">
        <v>274798.83</v>
      </c>
      <c r="BP69" s="493">
        <v>33696.29</v>
      </c>
      <c r="BQ69" s="493">
        <v>0</v>
      </c>
      <c r="BR69" s="493">
        <v>0</v>
      </c>
      <c r="BS69" s="493">
        <v>0</v>
      </c>
      <c r="BT69" s="493">
        <v>0</v>
      </c>
      <c r="BU69" s="493">
        <v>0</v>
      </c>
      <c r="BV69" s="494">
        <v>0</v>
      </c>
      <c r="BW69" s="493">
        <v>0</v>
      </c>
      <c r="BX69" s="493">
        <v>0</v>
      </c>
      <c r="BY69" s="493">
        <v>6000</v>
      </c>
      <c r="BZ69" s="493">
        <v>0</v>
      </c>
      <c r="CA69" s="493">
        <v>0</v>
      </c>
      <c r="CB69" s="493">
        <v>0</v>
      </c>
      <c r="CC69" s="493">
        <v>0</v>
      </c>
      <c r="CD69" s="493">
        <v>0</v>
      </c>
      <c r="CE69" s="493">
        <v>295856.69</v>
      </c>
      <c r="CF69" s="493">
        <v>0</v>
      </c>
      <c r="CG69" s="493">
        <v>0</v>
      </c>
      <c r="CH69" s="493">
        <v>0</v>
      </c>
      <c r="CI69" s="493">
        <v>0</v>
      </c>
      <c r="CJ69" s="495">
        <f t="shared" si="10"/>
        <v>295856.69</v>
      </c>
      <c r="CK69" s="495">
        <f t="shared" si="11"/>
        <v>0</v>
      </c>
      <c r="CL69" s="495">
        <f t="shared" si="12"/>
        <v>295856.69</v>
      </c>
      <c r="CM69" s="573">
        <f t="shared" ref="CM69:CM90" si="13">SUM(T69:AH69)+SUM(AK69:AN69)</f>
        <v>3016863.9800000004</v>
      </c>
      <c r="CN69" s="573">
        <f t="shared" ref="CN69:CN90" si="14">SUM(AO69:BS69)</f>
        <v>3087461.2900000005</v>
      </c>
      <c r="CO69" s="573">
        <f t="shared" ref="CO69:CO90" si="15">T69+U69+V69</f>
        <v>2585650.4700000002</v>
      </c>
      <c r="CP69" s="573">
        <f t="shared" ref="CP69:CP90" si="16">CM69-CN69</f>
        <v>-70597.310000000056</v>
      </c>
    </row>
    <row r="70" spans="1:94" ht="14.25" customHeight="1">
      <c r="A70" s="491">
        <v>302</v>
      </c>
      <c r="B70" s="491">
        <v>3512</v>
      </c>
      <c r="C70" s="492" t="s">
        <v>284</v>
      </c>
      <c r="D70" s="491" t="s">
        <v>594</v>
      </c>
      <c r="E70" s="491"/>
      <c r="F70" s="491" t="s">
        <v>588</v>
      </c>
      <c r="G70" s="491">
        <v>0</v>
      </c>
      <c r="H70" s="491">
        <v>1</v>
      </c>
      <c r="I70" s="491" t="s">
        <v>717</v>
      </c>
      <c r="J70" s="491" t="s">
        <v>718</v>
      </c>
      <c r="K70" s="491" t="s">
        <v>591</v>
      </c>
      <c r="L70" s="491" t="s">
        <v>592</v>
      </c>
      <c r="M70" s="491" t="s">
        <v>591</v>
      </c>
      <c r="N70" s="491" t="s">
        <v>593</v>
      </c>
      <c r="O70" s="491" t="s">
        <v>188</v>
      </c>
      <c r="P70" s="491" t="s">
        <v>188</v>
      </c>
      <c r="Q70" s="493">
        <v>184711</v>
      </c>
      <c r="R70" s="493">
        <v>0</v>
      </c>
      <c r="S70" s="493">
        <v>0</v>
      </c>
      <c r="T70" s="493">
        <v>1718905.83</v>
      </c>
      <c r="U70" s="493">
        <v>0</v>
      </c>
      <c r="V70" s="493">
        <v>36767.75</v>
      </c>
      <c r="W70" s="493">
        <v>0</v>
      </c>
      <c r="X70" s="493">
        <v>5819.97</v>
      </c>
      <c r="Y70" s="493">
        <v>9081.56</v>
      </c>
      <c r="Z70" s="493">
        <v>89600</v>
      </c>
      <c r="AA70" s="493">
        <v>4775</v>
      </c>
      <c r="AB70" s="493">
        <v>45316.59</v>
      </c>
      <c r="AC70" s="493">
        <v>82734.789999999994</v>
      </c>
      <c r="AD70" s="493">
        <v>14683</v>
      </c>
      <c r="AE70" s="493">
        <v>14344.5</v>
      </c>
      <c r="AF70" s="493">
        <v>130952.5</v>
      </c>
      <c r="AG70" s="493">
        <v>348279.13</v>
      </c>
      <c r="AH70" s="493">
        <v>0</v>
      </c>
      <c r="AI70" s="493">
        <v>0</v>
      </c>
      <c r="AJ70" s="493">
        <v>0</v>
      </c>
      <c r="AK70" s="493">
        <v>0</v>
      </c>
      <c r="AL70" s="493">
        <v>0</v>
      </c>
      <c r="AM70" s="493">
        <v>0</v>
      </c>
      <c r="AN70" s="493">
        <v>88124.12</v>
      </c>
      <c r="AO70" s="493">
        <v>1268637.25</v>
      </c>
      <c r="AP70" s="493">
        <v>13733.02</v>
      </c>
      <c r="AQ70" s="493">
        <v>355328.12</v>
      </c>
      <c r="AR70" s="493">
        <v>78723.960000000006</v>
      </c>
      <c r="AS70" s="493">
        <v>211683.03</v>
      </c>
      <c r="AT70" s="493">
        <v>0</v>
      </c>
      <c r="AU70" s="493">
        <v>57010.84</v>
      </c>
      <c r="AV70" s="493">
        <v>4999.1099999999997</v>
      </c>
      <c r="AW70" s="493">
        <v>11436.29</v>
      </c>
      <c r="AX70" s="493">
        <v>22709.95</v>
      </c>
      <c r="AY70" s="493">
        <v>0</v>
      </c>
      <c r="AZ70" s="493">
        <v>31364.84</v>
      </c>
      <c r="BA70" s="493">
        <v>0</v>
      </c>
      <c r="BB70" s="493">
        <v>49813.72</v>
      </c>
      <c r="BC70" s="493">
        <v>2663.19</v>
      </c>
      <c r="BD70" s="493">
        <v>59337.03</v>
      </c>
      <c r="BE70" s="493">
        <v>13000</v>
      </c>
      <c r="BF70" s="493">
        <v>9540.68</v>
      </c>
      <c r="BG70" s="493">
        <v>92988.91</v>
      </c>
      <c r="BH70" s="493">
        <v>15831.65</v>
      </c>
      <c r="BI70" s="493">
        <v>0</v>
      </c>
      <c r="BJ70" s="493">
        <v>13805.26</v>
      </c>
      <c r="BK70" s="493">
        <v>13300.38</v>
      </c>
      <c r="BL70" s="493">
        <v>14587.21</v>
      </c>
      <c r="BM70" s="493">
        <v>214154.89</v>
      </c>
      <c r="BN70" s="493">
        <v>36500.32</v>
      </c>
      <c r="BO70" s="493">
        <v>132191.19</v>
      </c>
      <c r="BP70" s="493">
        <v>44715.64</v>
      </c>
      <c r="BQ70" s="493">
        <v>0</v>
      </c>
      <c r="BR70" s="493">
        <v>0</v>
      </c>
      <c r="BS70" s="493">
        <v>10950</v>
      </c>
      <c r="BT70" s="493">
        <v>0</v>
      </c>
      <c r="BU70" s="493">
        <v>0</v>
      </c>
      <c r="BV70" s="494">
        <v>0</v>
      </c>
      <c r="BW70" s="493">
        <v>0</v>
      </c>
      <c r="BX70" s="493">
        <v>10950</v>
      </c>
      <c r="BY70" s="493">
        <v>6000</v>
      </c>
      <c r="BZ70" s="493">
        <v>0</v>
      </c>
      <c r="CA70" s="493">
        <v>0</v>
      </c>
      <c r="CB70" s="493">
        <v>0</v>
      </c>
      <c r="CC70" s="493">
        <v>10950</v>
      </c>
      <c r="CD70" s="493">
        <v>0</v>
      </c>
      <c r="CE70" s="493">
        <v>-4910.74</v>
      </c>
      <c r="CF70" s="493">
        <v>0</v>
      </c>
      <c r="CG70" s="493">
        <v>0</v>
      </c>
      <c r="CH70" s="493">
        <v>0</v>
      </c>
      <c r="CI70" s="493">
        <v>0</v>
      </c>
      <c r="CJ70" s="495">
        <f t="shared" si="10"/>
        <v>-4910.74</v>
      </c>
      <c r="CK70" s="495">
        <f t="shared" si="11"/>
        <v>0</v>
      </c>
      <c r="CL70" s="495">
        <f t="shared" si="12"/>
        <v>-4910.74</v>
      </c>
      <c r="CM70" s="573">
        <f t="shared" si="13"/>
        <v>2589384.7400000002</v>
      </c>
      <c r="CN70" s="573">
        <f t="shared" si="14"/>
        <v>2779006.48</v>
      </c>
      <c r="CO70" s="573">
        <f t="shared" si="15"/>
        <v>1755673.58</v>
      </c>
      <c r="CP70" s="573">
        <f t="shared" si="16"/>
        <v>-189621.73999999976</v>
      </c>
    </row>
    <row r="71" spans="1:94" ht="14.25" customHeight="1">
      <c r="A71" s="491">
        <v>302</v>
      </c>
      <c r="B71" s="491">
        <v>3513</v>
      </c>
      <c r="C71" s="492" t="s">
        <v>733</v>
      </c>
      <c r="D71" s="491" t="s">
        <v>586</v>
      </c>
      <c r="E71" s="491" t="s">
        <v>734</v>
      </c>
      <c r="F71" s="491" t="s">
        <v>588</v>
      </c>
      <c r="G71" s="491">
        <v>0</v>
      </c>
      <c r="H71" s="491">
        <v>3</v>
      </c>
      <c r="I71" s="491" t="s">
        <v>717</v>
      </c>
      <c r="J71" s="491" t="s">
        <v>718</v>
      </c>
      <c r="K71" s="491" t="s">
        <v>591</v>
      </c>
      <c r="L71" s="491" t="s">
        <v>592</v>
      </c>
      <c r="M71" s="491" t="s">
        <v>591</v>
      </c>
      <c r="N71" s="491" t="s">
        <v>593</v>
      </c>
      <c r="O71" s="491" t="s">
        <v>188</v>
      </c>
      <c r="P71" s="491" t="s">
        <v>188</v>
      </c>
      <c r="Q71" s="493">
        <v>9109</v>
      </c>
      <c r="R71" s="493">
        <v>0</v>
      </c>
      <c r="S71" s="493">
        <v>0</v>
      </c>
      <c r="T71" s="493">
        <v>1969209.58</v>
      </c>
      <c r="U71" s="493">
        <v>0</v>
      </c>
      <c r="V71" s="493">
        <v>76054.59</v>
      </c>
      <c r="W71" s="493">
        <v>0</v>
      </c>
      <c r="X71" s="493">
        <v>14549.98</v>
      </c>
      <c r="Y71" s="493">
        <v>80490</v>
      </c>
      <c r="Z71" s="493">
        <v>94528</v>
      </c>
      <c r="AA71" s="493">
        <v>0</v>
      </c>
      <c r="AB71" s="493">
        <v>1664.44</v>
      </c>
      <c r="AC71" s="493">
        <v>9770.5499999999993</v>
      </c>
      <c r="AD71" s="493">
        <v>0</v>
      </c>
      <c r="AE71" s="493">
        <v>0</v>
      </c>
      <c r="AF71" s="493">
        <v>29714.41</v>
      </c>
      <c r="AG71" s="493">
        <v>492773.3</v>
      </c>
      <c r="AH71" s="493">
        <v>0</v>
      </c>
      <c r="AI71" s="493">
        <v>0</v>
      </c>
      <c r="AJ71" s="493">
        <v>0</v>
      </c>
      <c r="AK71" s="493">
        <v>0</v>
      </c>
      <c r="AL71" s="493">
        <v>0</v>
      </c>
      <c r="AM71" s="493">
        <v>3346.26</v>
      </c>
      <c r="AN71" s="493">
        <v>112052</v>
      </c>
      <c r="AO71" s="493">
        <v>1470868.42</v>
      </c>
      <c r="AP71" s="493">
        <v>0</v>
      </c>
      <c r="AQ71" s="493">
        <v>169078.55</v>
      </c>
      <c r="AR71" s="493">
        <v>40811.769999999997</v>
      </c>
      <c r="AS71" s="493">
        <v>112009.61</v>
      </c>
      <c r="AT71" s="493">
        <v>0</v>
      </c>
      <c r="AU71" s="493">
        <v>46449.760000000002</v>
      </c>
      <c r="AV71" s="493">
        <v>3541.1</v>
      </c>
      <c r="AW71" s="493">
        <v>1520</v>
      </c>
      <c r="AX71" s="493">
        <v>627.48</v>
      </c>
      <c r="AY71" s="493">
        <v>0</v>
      </c>
      <c r="AZ71" s="493">
        <v>20804.43</v>
      </c>
      <c r="BA71" s="493">
        <v>105</v>
      </c>
      <c r="BB71" s="493">
        <v>41720.82</v>
      </c>
      <c r="BC71" s="493">
        <v>6022.19</v>
      </c>
      <c r="BD71" s="493">
        <v>111821.57</v>
      </c>
      <c r="BE71" s="493">
        <v>5771.86</v>
      </c>
      <c r="BF71" s="493">
        <v>113098.76</v>
      </c>
      <c r="BG71" s="493">
        <v>118847.3</v>
      </c>
      <c r="BH71" s="493">
        <v>13500.03</v>
      </c>
      <c r="BI71" s="493">
        <v>0</v>
      </c>
      <c r="BJ71" s="493">
        <v>14889.3</v>
      </c>
      <c r="BK71" s="493">
        <v>6006.42</v>
      </c>
      <c r="BL71" s="493">
        <v>53549.94</v>
      </c>
      <c r="BM71" s="493">
        <v>72553.59</v>
      </c>
      <c r="BN71" s="493">
        <v>0</v>
      </c>
      <c r="BO71" s="493">
        <v>377923.53</v>
      </c>
      <c r="BP71" s="493">
        <v>25843.1</v>
      </c>
      <c r="BQ71" s="493">
        <v>0</v>
      </c>
      <c r="BR71" s="493">
        <v>0</v>
      </c>
      <c r="BS71" s="493">
        <v>0</v>
      </c>
      <c r="BT71" s="493">
        <v>0</v>
      </c>
      <c r="BU71" s="493">
        <v>0</v>
      </c>
      <c r="BV71" s="494">
        <v>0</v>
      </c>
      <c r="BW71" s="493">
        <v>0</v>
      </c>
      <c r="BX71" s="493">
        <v>0</v>
      </c>
      <c r="BY71" s="493">
        <v>6000</v>
      </c>
      <c r="BZ71" s="493">
        <v>0</v>
      </c>
      <c r="CA71" s="493">
        <v>0</v>
      </c>
      <c r="CB71" s="493">
        <v>0</v>
      </c>
      <c r="CC71" s="493">
        <v>0</v>
      </c>
      <c r="CD71" s="493">
        <v>0</v>
      </c>
      <c r="CE71" s="493">
        <v>65897.58</v>
      </c>
      <c r="CF71" s="493">
        <v>0</v>
      </c>
      <c r="CG71" s="493">
        <v>0</v>
      </c>
      <c r="CH71" s="493">
        <v>0</v>
      </c>
      <c r="CI71" s="493">
        <v>0</v>
      </c>
      <c r="CJ71" s="495">
        <f t="shared" si="10"/>
        <v>65897.58</v>
      </c>
      <c r="CK71" s="495">
        <f t="shared" si="11"/>
        <v>0</v>
      </c>
      <c r="CL71" s="495">
        <f t="shared" si="12"/>
        <v>65897.58</v>
      </c>
      <c r="CM71" s="573">
        <f t="shared" si="13"/>
        <v>2884153.11</v>
      </c>
      <c r="CN71" s="573">
        <f t="shared" si="14"/>
        <v>2827364.53</v>
      </c>
      <c r="CO71" s="573">
        <f t="shared" si="15"/>
        <v>2045264.1700000002</v>
      </c>
      <c r="CP71" s="573">
        <f t="shared" si="16"/>
        <v>56788.580000000075</v>
      </c>
    </row>
    <row r="72" spans="1:94" ht="14.4">
      <c r="A72" s="491">
        <v>302</v>
      </c>
      <c r="B72" s="491">
        <v>3514</v>
      </c>
      <c r="C72" s="492" t="s">
        <v>291</v>
      </c>
      <c r="D72" s="491" t="s">
        <v>594</v>
      </c>
      <c r="E72" s="491"/>
      <c r="F72" s="491" t="s">
        <v>588</v>
      </c>
      <c r="G72" s="491">
        <v>0</v>
      </c>
      <c r="H72" s="491">
        <v>1</v>
      </c>
      <c r="I72" s="491" t="s">
        <v>717</v>
      </c>
      <c r="J72" s="491" t="s">
        <v>718</v>
      </c>
      <c r="K72" s="491" t="s">
        <v>591</v>
      </c>
      <c r="L72" s="491" t="s">
        <v>592</v>
      </c>
      <c r="M72" s="491" t="s">
        <v>591</v>
      </c>
      <c r="N72" s="491" t="s">
        <v>593</v>
      </c>
      <c r="O72" s="491" t="s">
        <v>188</v>
      </c>
      <c r="P72" s="491" t="s">
        <v>188</v>
      </c>
      <c r="Q72" s="493">
        <v>35983</v>
      </c>
      <c r="R72" s="493">
        <v>0</v>
      </c>
      <c r="S72" s="493">
        <v>0</v>
      </c>
      <c r="T72" s="493">
        <v>1049866.08</v>
      </c>
      <c r="U72" s="493">
        <v>0</v>
      </c>
      <c r="V72" s="493">
        <v>20455.560000000001</v>
      </c>
      <c r="W72" s="493">
        <v>0</v>
      </c>
      <c r="X72" s="493">
        <v>99039.67</v>
      </c>
      <c r="Y72" s="493">
        <v>5412.99</v>
      </c>
      <c r="Z72" s="493">
        <v>24250.37</v>
      </c>
      <c r="AA72" s="493">
        <v>8198.9699999999993</v>
      </c>
      <c r="AB72" s="493">
        <v>39.5</v>
      </c>
      <c r="AC72" s="493">
        <v>12150.09</v>
      </c>
      <c r="AD72" s="493">
        <v>0</v>
      </c>
      <c r="AE72" s="493">
        <v>0</v>
      </c>
      <c r="AF72" s="493">
        <v>16931.84</v>
      </c>
      <c r="AG72" s="493">
        <v>1640.23</v>
      </c>
      <c r="AH72" s="493">
        <v>0</v>
      </c>
      <c r="AI72" s="493">
        <v>0</v>
      </c>
      <c r="AJ72" s="493">
        <v>0</v>
      </c>
      <c r="AK72" s="493">
        <v>0</v>
      </c>
      <c r="AL72" s="493">
        <v>0</v>
      </c>
      <c r="AM72" s="493">
        <v>0</v>
      </c>
      <c r="AN72" s="493">
        <v>29026.87</v>
      </c>
      <c r="AO72" s="493">
        <v>627145.63</v>
      </c>
      <c r="AP72" s="493">
        <v>0</v>
      </c>
      <c r="AQ72" s="493">
        <v>107808.92</v>
      </c>
      <c r="AR72" s="493">
        <v>44286.55</v>
      </c>
      <c r="AS72" s="493">
        <v>47915.35</v>
      </c>
      <c r="AT72" s="493">
        <v>0</v>
      </c>
      <c r="AU72" s="493">
        <v>4178.46</v>
      </c>
      <c r="AV72" s="493">
        <v>2113.83</v>
      </c>
      <c r="AW72" s="493">
        <v>1614.71</v>
      </c>
      <c r="AX72" s="493">
        <v>300.45999999999998</v>
      </c>
      <c r="AY72" s="493">
        <v>0</v>
      </c>
      <c r="AZ72" s="493">
        <v>6556.05</v>
      </c>
      <c r="BA72" s="493">
        <v>3168</v>
      </c>
      <c r="BB72" s="493">
        <v>12295.53</v>
      </c>
      <c r="BC72" s="493">
        <v>4417.07</v>
      </c>
      <c r="BD72" s="493">
        <v>30927.13</v>
      </c>
      <c r="BE72" s="493">
        <v>3478.56</v>
      </c>
      <c r="BF72" s="493">
        <v>7561.6</v>
      </c>
      <c r="BG72" s="493">
        <v>75886</v>
      </c>
      <c r="BH72" s="493">
        <v>11203.59</v>
      </c>
      <c r="BI72" s="493">
        <v>0</v>
      </c>
      <c r="BJ72" s="493">
        <v>14604.11</v>
      </c>
      <c r="BK72" s="493">
        <v>3224.09</v>
      </c>
      <c r="BL72" s="493">
        <v>19662.05</v>
      </c>
      <c r="BM72" s="493">
        <v>61139.05</v>
      </c>
      <c r="BN72" s="493">
        <v>67693.509999999995</v>
      </c>
      <c r="BO72" s="493">
        <v>124765.77</v>
      </c>
      <c r="BP72" s="493">
        <v>29632.82</v>
      </c>
      <c r="BQ72" s="493">
        <v>0</v>
      </c>
      <c r="BR72" s="493">
        <v>0</v>
      </c>
      <c r="BS72" s="493">
        <v>0</v>
      </c>
      <c r="BT72" s="493">
        <v>0</v>
      </c>
      <c r="BU72" s="493">
        <v>0</v>
      </c>
      <c r="BV72" s="494">
        <v>0</v>
      </c>
      <c r="BW72" s="493">
        <v>0</v>
      </c>
      <c r="BX72" s="493">
        <v>0</v>
      </c>
      <c r="BY72" s="493">
        <v>6000</v>
      </c>
      <c r="BZ72" s="493">
        <v>0</v>
      </c>
      <c r="CA72" s="493">
        <v>0</v>
      </c>
      <c r="CB72" s="493">
        <v>0</v>
      </c>
      <c r="CC72" s="493">
        <v>0</v>
      </c>
      <c r="CD72" s="493">
        <v>0</v>
      </c>
      <c r="CE72" s="493">
        <v>-8583.67</v>
      </c>
      <c r="CF72" s="493">
        <v>0</v>
      </c>
      <c r="CG72" s="493">
        <v>0</v>
      </c>
      <c r="CH72" s="493">
        <v>0</v>
      </c>
      <c r="CI72" s="493">
        <v>0</v>
      </c>
      <c r="CJ72" s="495">
        <f t="shared" si="10"/>
        <v>-8583.67</v>
      </c>
      <c r="CK72" s="495">
        <f t="shared" si="11"/>
        <v>0</v>
      </c>
      <c r="CL72" s="495">
        <f t="shared" si="12"/>
        <v>-8583.67</v>
      </c>
      <c r="CM72" s="573">
        <f t="shared" si="13"/>
        <v>1267012.1700000004</v>
      </c>
      <c r="CN72" s="573">
        <f t="shared" si="14"/>
        <v>1311578.8400000001</v>
      </c>
      <c r="CO72" s="573">
        <f t="shared" si="15"/>
        <v>1070321.6400000001</v>
      </c>
      <c r="CP72" s="573">
        <f t="shared" si="16"/>
        <v>-44566.669999999693</v>
      </c>
    </row>
    <row r="73" spans="1:94" ht="14.25" customHeight="1">
      <c r="A73" s="491">
        <v>302</v>
      </c>
      <c r="B73" s="491">
        <v>3516</v>
      </c>
      <c r="C73" s="492" t="s">
        <v>68</v>
      </c>
      <c r="D73" s="491" t="s">
        <v>594</v>
      </c>
      <c r="E73" s="491"/>
      <c r="F73" s="491" t="s">
        <v>588</v>
      </c>
      <c r="G73" s="491">
        <v>0</v>
      </c>
      <c r="H73" s="491">
        <v>1</v>
      </c>
      <c r="I73" s="491" t="s">
        <v>717</v>
      </c>
      <c r="J73" s="491" t="s">
        <v>718</v>
      </c>
      <c r="K73" s="491" t="s">
        <v>591</v>
      </c>
      <c r="L73" s="491" t="s">
        <v>592</v>
      </c>
      <c r="M73" s="491" t="s">
        <v>591</v>
      </c>
      <c r="N73" s="491" t="s">
        <v>593</v>
      </c>
      <c r="O73" s="491" t="s">
        <v>188</v>
      </c>
      <c r="P73" s="491" t="s">
        <v>188</v>
      </c>
      <c r="Q73" s="493">
        <v>10134</v>
      </c>
      <c r="R73" s="493">
        <v>0</v>
      </c>
      <c r="S73" s="493">
        <v>0</v>
      </c>
      <c r="T73" s="493">
        <v>1201221.8700000001</v>
      </c>
      <c r="U73" s="493">
        <v>0</v>
      </c>
      <c r="V73" s="493">
        <v>130960.47</v>
      </c>
      <c r="W73" s="493">
        <v>0</v>
      </c>
      <c r="X73" s="493">
        <v>52380.04</v>
      </c>
      <c r="Y73" s="493">
        <v>64968.18</v>
      </c>
      <c r="Z73" s="493">
        <v>47536.42</v>
      </c>
      <c r="AA73" s="493">
        <v>0</v>
      </c>
      <c r="AB73" s="493">
        <v>4298</v>
      </c>
      <c r="AC73" s="493">
        <v>10626.45</v>
      </c>
      <c r="AD73" s="493">
        <v>9700</v>
      </c>
      <c r="AE73" s="493">
        <v>0</v>
      </c>
      <c r="AF73" s="493">
        <v>12817</v>
      </c>
      <c r="AG73" s="493">
        <v>215106.83</v>
      </c>
      <c r="AH73" s="493">
        <v>0</v>
      </c>
      <c r="AI73" s="493">
        <v>0</v>
      </c>
      <c r="AJ73" s="493">
        <v>0</v>
      </c>
      <c r="AK73" s="493">
        <v>0</v>
      </c>
      <c r="AL73" s="493">
        <v>0</v>
      </c>
      <c r="AM73" s="493">
        <v>8014.37</v>
      </c>
      <c r="AN73" s="493">
        <v>43061</v>
      </c>
      <c r="AO73" s="493">
        <v>973482.04</v>
      </c>
      <c r="AP73" s="493">
        <v>0</v>
      </c>
      <c r="AQ73" s="493">
        <v>250091.78</v>
      </c>
      <c r="AR73" s="493">
        <v>76062.33</v>
      </c>
      <c r="AS73" s="493">
        <v>158009.47</v>
      </c>
      <c r="AT73" s="493">
        <v>0</v>
      </c>
      <c r="AU73" s="493">
        <v>31613.66</v>
      </c>
      <c r="AV73" s="493">
        <v>2529.27</v>
      </c>
      <c r="AW73" s="493">
        <v>1909</v>
      </c>
      <c r="AX73" s="493">
        <v>9277.41</v>
      </c>
      <c r="AY73" s="493">
        <v>720</v>
      </c>
      <c r="AZ73" s="493">
        <v>6971.68</v>
      </c>
      <c r="BA73" s="493">
        <v>204.94</v>
      </c>
      <c r="BB73" s="493">
        <v>1260.02</v>
      </c>
      <c r="BC73" s="493">
        <v>3354.19</v>
      </c>
      <c r="BD73" s="493">
        <v>18665.310000000001</v>
      </c>
      <c r="BE73" s="493">
        <v>19918.080000000002</v>
      </c>
      <c r="BF73" s="493">
        <v>64652.78</v>
      </c>
      <c r="BG73" s="493">
        <v>61846.81</v>
      </c>
      <c r="BH73" s="493">
        <v>11325.63</v>
      </c>
      <c r="BI73" s="493">
        <v>0</v>
      </c>
      <c r="BJ73" s="493">
        <v>9116.07</v>
      </c>
      <c r="BK73" s="493">
        <v>7479.11</v>
      </c>
      <c r="BL73" s="493">
        <v>815.56</v>
      </c>
      <c r="BM73" s="493">
        <v>40433.74</v>
      </c>
      <c r="BN73" s="493">
        <v>22202.27</v>
      </c>
      <c r="BO73" s="493">
        <v>43589.57</v>
      </c>
      <c r="BP73" s="493">
        <v>14742.52</v>
      </c>
      <c r="BQ73" s="493">
        <v>0</v>
      </c>
      <c r="BR73" s="493">
        <v>0</v>
      </c>
      <c r="BS73" s="493">
        <v>0</v>
      </c>
      <c r="BT73" s="493">
        <v>0</v>
      </c>
      <c r="BU73" s="493">
        <v>0</v>
      </c>
      <c r="BV73" s="494">
        <v>0</v>
      </c>
      <c r="BW73" s="493">
        <v>0</v>
      </c>
      <c r="BX73" s="493">
        <v>0</v>
      </c>
      <c r="BY73" s="493">
        <v>6000</v>
      </c>
      <c r="BZ73" s="493">
        <v>0</v>
      </c>
      <c r="CA73" s="493">
        <v>0</v>
      </c>
      <c r="CB73" s="493">
        <v>0</v>
      </c>
      <c r="CC73" s="493">
        <v>0</v>
      </c>
      <c r="CD73" s="493">
        <v>0</v>
      </c>
      <c r="CE73" s="493">
        <v>-19448.61</v>
      </c>
      <c r="CF73" s="493">
        <v>0</v>
      </c>
      <c r="CG73" s="493">
        <v>0</v>
      </c>
      <c r="CH73" s="493">
        <v>0</v>
      </c>
      <c r="CI73" s="493">
        <v>0</v>
      </c>
      <c r="CJ73" s="495">
        <f t="shared" si="10"/>
        <v>-19448.61</v>
      </c>
      <c r="CK73" s="495">
        <f t="shared" si="11"/>
        <v>0</v>
      </c>
      <c r="CL73" s="495">
        <f t="shared" si="12"/>
        <v>-19448.61</v>
      </c>
      <c r="CM73" s="573">
        <f t="shared" si="13"/>
        <v>1800690.6300000001</v>
      </c>
      <c r="CN73" s="573">
        <f t="shared" si="14"/>
        <v>1830273.2400000002</v>
      </c>
      <c r="CO73" s="573">
        <f t="shared" si="15"/>
        <v>1332182.3400000001</v>
      </c>
      <c r="CP73" s="573">
        <f t="shared" si="16"/>
        <v>-29582.610000000102</v>
      </c>
    </row>
    <row r="74" spans="1:94" ht="14.25" customHeight="1">
      <c r="A74" s="491">
        <v>302</v>
      </c>
      <c r="B74" s="491">
        <v>3518</v>
      </c>
      <c r="C74" s="492" t="s">
        <v>112</v>
      </c>
      <c r="D74" s="491" t="s">
        <v>594</v>
      </c>
      <c r="E74" s="491"/>
      <c r="F74" s="491" t="s">
        <v>588</v>
      </c>
      <c r="G74" s="491">
        <v>0</v>
      </c>
      <c r="H74" s="491">
        <v>1</v>
      </c>
      <c r="I74" s="491" t="s">
        <v>717</v>
      </c>
      <c r="J74" s="491" t="s">
        <v>718</v>
      </c>
      <c r="K74" s="491" t="s">
        <v>591</v>
      </c>
      <c r="L74" s="491" t="s">
        <v>592</v>
      </c>
      <c r="M74" s="491" t="s">
        <v>591</v>
      </c>
      <c r="N74" s="491" t="s">
        <v>593</v>
      </c>
      <c r="O74" s="491" t="s">
        <v>188</v>
      </c>
      <c r="P74" s="491" t="s">
        <v>188</v>
      </c>
      <c r="Q74" s="493">
        <v>-58318</v>
      </c>
      <c r="R74" s="493">
        <v>0</v>
      </c>
      <c r="S74" s="493">
        <v>21324</v>
      </c>
      <c r="T74" s="493">
        <v>2425306.7000000002</v>
      </c>
      <c r="U74" s="493">
        <v>0</v>
      </c>
      <c r="V74" s="493">
        <v>73101.820000000007</v>
      </c>
      <c r="W74" s="493">
        <v>0</v>
      </c>
      <c r="X74" s="493">
        <v>229841.01</v>
      </c>
      <c r="Y74" s="493">
        <v>31004.43</v>
      </c>
      <c r="Z74" s="493">
        <v>41736.400000000001</v>
      </c>
      <c r="AA74" s="493">
        <v>2831.18</v>
      </c>
      <c r="AB74" s="493">
        <v>20452.75</v>
      </c>
      <c r="AC74" s="493">
        <v>7603.18</v>
      </c>
      <c r="AD74" s="493">
        <v>0</v>
      </c>
      <c r="AE74" s="493">
        <v>0</v>
      </c>
      <c r="AF74" s="493">
        <v>21093</v>
      </c>
      <c r="AG74" s="493">
        <v>555</v>
      </c>
      <c r="AH74" s="493">
        <v>0</v>
      </c>
      <c r="AI74" s="493">
        <v>0</v>
      </c>
      <c r="AJ74" s="493">
        <v>0</v>
      </c>
      <c r="AK74" s="493">
        <v>0</v>
      </c>
      <c r="AL74" s="493">
        <v>0</v>
      </c>
      <c r="AM74" s="493">
        <v>36762.5</v>
      </c>
      <c r="AN74" s="493">
        <v>52436</v>
      </c>
      <c r="AO74" s="493">
        <v>1355891.22</v>
      </c>
      <c r="AP74" s="493">
        <v>0</v>
      </c>
      <c r="AQ74" s="493">
        <v>703753.06</v>
      </c>
      <c r="AR74" s="493">
        <v>15788.48</v>
      </c>
      <c r="AS74" s="493">
        <v>52340.71</v>
      </c>
      <c r="AT74" s="493">
        <v>0</v>
      </c>
      <c r="AU74" s="493">
        <v>162382.97</v>
      </c>
      <c r="AV74" s="493">
        <v>23741.05</v>
      </c>
      <c r="AW74" s="493">
        <v>2715.38</v>
      </c>
      <c r="AX74" s="493">
        <v>639.1</v>
      </c>
      <c r="AY74" s="493">
        <v>0</v>
      </c>
      <c r="AZ74" s="493">
        <v>20859.96</v>
      </c>
      <c r="BA74" s="493">
        <v>3468.58</v>
      </c>
      <c r="BB74" s="493">
        <v>62584.29</v>
      </c>
      <c r="BC74" s="493">
        <v>4752.05</v>
      </c>
      <c r="BD74" s="493">
        <v>80895.990000000005</v>
      </c>
      <c r="BE74" s="493">
        <v>34500</v>
      </c>
      <c r="BF74" s="493">
        <v>4019.44</v>
      </c>
      <c r="BG74" s="493">
        <v>40127.199999999997</v>
      </c>
      <c r="BH74" s="493">
        <v>18102.53</v>
      </c>
      <c r="BI74" s="493">
        <v>0</v>
      </c>
      <c r="BJ74" s="493">
        <v>25301.55</v>
      </c>
      <c r="BK74" s="493">
        <v>14972.45</v>
      </c>
      <c r="BL74" s="493">
        <v>8115.14</v>
      </c>
      <c r="BM74" s="493">
        <v>141496.56</v>
      </c>
      <c r="BN74" s="493">
        <v>78997.13</v>
      </c>
      <c r="BO74" s="493">
        <v>183042.81</v>
      </c>
      <c r="BP74" s="493">
        <v>58508.52</v>
      </c>
      <c r="BQ74" s="493">
        <v>0</v>
      </c>
      <c r="BR74" s="493">
        <v>0</v>
      </c>
      <c r="BS74" s="493">
        <v>0</v>
      </c>
      <c r="BT74" s="493">
        <v>0</v>
      </c>
      <c r="BU74" s="493">
        <v>0</v>
      </c>
      <c r="BV74" s="494">
        <v>8828.5</v>
      </c>
      <c r="BW74" s="493">
        <v>0</v>
      </c>
      <c r="BX74" s="493">
        <v>0</v>
      </c>
      <c r="BY74" s="493">
        <v>6000</v>
      </c>
      <c r="BZ74" s="493">
        <v>0</v>
      </c>
      <c r="CA74" s="493">
        <v>0</v>
      </c>
      <c r="CB74" s="493">
        <v>0</v>
      </c>
      <c r="CC74" s="493">
        <v>2153.66</v>
      </c>
      <c r="CD74" s="493">
        <v>0</v>
      </c>
      <c r="CE74" s="493">
        <v>-212590.2</v>
      </c>
      <c r="CF74" s="493">
        <v>27998.84</v>
      </c>
      <c r="CG74" s="493">
        <v>0</v>
      </c>
      <c r="CH74" s="493">
        <v>0</v>
      </c>
      <c r="CI74" s="493">
        <v>0</v>
      </c>
      <c r="CJ74" s="495">
        <f t="shared" si="10"/>
        <v>-212590.2</v>
      </c>
      <c r="CK74" s="495">
        <f t="shared" si="11"/>
        <v>27998.84</v>
      </c>
      <c r="CL74" s="495">
        <f t="shared" si="12"/>
        <v>-212590.2</v>
      </c>
      <c r="CM74" s="573">
        <f t="shared" si="13"/>
        <v>2942723.9700000007</v>
      </c>
      <c r="CN74" s="573">
        <f t="shared" si="14"/>
        <v>3096996.1700000004</v>
      </c>
      <c r="CO74" s="573">
        <f t="shared" si="15"/>
        <v>2498408.52</v>
      </c>
      <c r="CP74" s="573">
        <f t="shared" si="16"/>
        <v>-154272.19999999972</v>
      </c>
    </row>
    <row r="75" spans="1:94" ht="14.25" customHeight="1">
      <c r="A75" s="491">
        <v>302</v>
      </c>
      <c r="B75" s="491">
        <v>3520</v>
      </c>
      <c r="C75" s="492" t="s">
        <v>248</v>
      </c>
      <c r="D75" s="491" t="s">
        <v>594</v>
      </c>
      <c r="E75" s="491"/>
      <c r="F75" s="491" t="s">
        <v>588</v>
      </c>
      <c r="G75" s="491">
        <v>0</v>
      </c>
      <c r="H75" s="491">
        <v>0</v>
      </c>
      <c r="I75" s="491" t="s">
        <v>717</v>
      </c>
      <c r="J75" s="491" t="s">
        <v>718</v>
      </c>
      <c r="K75" s="491" t="s">
        <v>591</v>
      </c>
      <c r="L75" s="491" t="s">
        <v>592</v>
      </c>
      <c r="M75" s="491" t="s">
        <v>591</v>
      </c>
      <c r="N75" s="491" t="s">
        <v>593</v>
      </c>
      <c r="O75" s="491" t="s">
        <v>188</v>
      </c>
      <c r="P75" s="491" t="s">
        <v>188</v>
      </c>
      <c r="Q75" s="493">
        <v>160996</v>
      </c>
      <c r="R75" s="493">
        <v>0</v>
      </c>
      <c r="S75" s="493">
        <v>0</v>
      </c>
      <c r="T75" s="493">
        <v>1947907.64</v>
      </c>
      <c r="U75" s="493">
        <v>0</v>
      </c>
      <c r="V75" s="493">
        <v>105978.51</v>
      </c>
      <c r="W75" s="493">
        <v>0</v>
      </c>
      <c r="X75" s="493">
        <v>4365.01</v>
      </c>
      <c r="Y75" s="493">
        <v>33460.54</v>
      </c>
      <c r="Z75" s="493">
        <v>108162.67</v>
      </c>
      <c r="AA75" s="493">
        <v>38358.639999999999</v>
      </c>
      <c r="AB75" s="493">
        <v>15914.68</v>
      </c>
      <c r="AC75" s="493">
        <v>55283.39</v>
      </c>
      <c r="AD75" s="493">
        <v>0</v>
      </c>
      <c r="AE75" s="493">
        <v>0</v>
      </c>
      <c r="AF75" s="493">
        <v>55445.62</v>
      </c>
      <c r="AG75" s="493">
        <v>644041.84</v>
      </c>
      <c r="AH75" s="493">
        <v>0</v>
      </c>
      <c r="AI75" s="493">
        <v>0</v>
      </c>
      <c r="AJ75" s="493">
        <v>0</v>
      </c>
      <c r="AK75" s="493">
        <v>0</v>
      </c>
      <c r="AL75" s="493">
        <v>0</v>
      </c>
      <c r="AM75" s="493">
        <v>2320.62</v>
      </c>
      <c r="AN75" s="493">
        <v>99219</v>
      </c>
      <c r="AO75" s="493">
        <v>1422295.99</v>
      </c>
      <c r="AP75" s="493">
        <v>3414.48</v>
      </c>
      <c r="AQ75" s="493">
        <v>584904.06000000006</v>
      </c>
      <c r="AR75" s="493">
        <v>41209.32</v>
      </c>
      <c r="AS75" s="493">
        <v>156538.16</v>
      </c>
      <c r="AT75" s="493">
        <v>0</v>
      </c>
      <c r="AU75" s="493">
        <v>28130.76</v>
      </c>
      <c r="AV75" s="493">
        <v>3639.06</v>
      </c>
      <c r="AW75" s="493">
        <v>4194.55</v>
      </c>
      <c r="AX75" s="493">
        <v>698.86</v>
      </c>
      <c r="AY75" s="493">
        <v>0</v>
      </c>
      <c r="AZ75" s="493">
        <v>45104.75</v>
      </c>
      <c r="BA75" s="493">
        <v>1260</v>
      </c>
      <c r="BB75" s="493">
        <v>47957.91</v>
      </c>
      <c r="BC75" s="493">
        <v>12726.75</v>
      </c>
      <c r="BD75" s="493">
        <v>26410.11</v>
      </c>
      <c r="BE75" s="493">
        <v>14601.6</v>
      </c>
      <c r="BF75" s="493">
        <v>119981.36</v>
      </c>
      <c r="BG75" s="493">
        <v>155327.82</v>
      </c>
      <c r="BH75" s="493">
        <v>12828.59</v>
      </c>
      <c r="BI75" s="493">
        <v>0</v>
      </c>
      <c r="BJ75" s="493">
        <v>11539.8</v>
      </c>
      <c r="BK75" s="493">
        <v>53822.98</v>
      </c>
      <c r="BL75" s="493">
        <v>6704</v>
      </c>
      <c r="BM75" s="493">
        <v>186646.6</v>
      </c>
      <c r="BN75" s="493">
        <v>29248.55</v>
      </c>
      <c r="BO75" s="493">
        <v>168409.47</v>
      </c>
      <c r="BP75" s="493">
        <v>53054</v>
      </c>
      <c r="BQ75" s="493">
        <v>0</v>
      </c>
      <c r="BR75" s="493">
        <v>0</v>
      </c>
      <c r="BS75" s="493">
        <v>0</v>
      </c>
      <c r="BT75" s="493">
        <v>0</v>
      </c>
      <c r="BU75" s="493">
        <v>0</v>
      </c>
      <c r="BV75" s="494">
        <v>0</v>
      </c>
      <c r="BW75" s="493">
        <v>0</v>
      </c>
      <c r="BX75" s="493">
        <v>0</v>
      </c>
      <c r="BY75" s="493">
        <v>6000</v>
      </c>
      <c r="BZ75" s="493">
        <v>0</v>
      </c>
      <c r="CA75" s="493">
        <v>0</v>
      </c>
      <c r="CB75" s="493">
        <v>0</v>
      </c>
      <c r="CC75" s="493">
        <v>0</v>
      </c>
      <c r="CD75" s="493">
        <v>0</v>
      </c>
      <c r="CE75" s="493">
        <v>80804.63</v>
      </c>
      <c r="CF75" s="493">
        <v>0</v>
      </c>
      <c r="CG75" s="493">
        <v>0</v>
      </c>
      <c r="CH75" s="493">
        <v>0</v>
      </c>
      <c r="CI75" s="493">
        <v>0</v>
      </c>
      <c r="CJ75" s="495">
        <f t="shared" si="10"/>
        <v>80804.63</v>
      </c>
      <c r="CK75" s="495">
        <f t="shared" si="11"/>
        <v>0</v>
      </c>
      <c r="CL75" s="495">
        <f t="shared" si="12"/>
        <v>80804.63</v>
      </c>
      <c r="CM75" s="573">
        <f t="shared" si="13"/>
        <v>3110458.1600000006</v>
      </c>
      <c r="CN75" s="573">
        <f t="shared" si="14"/>
        <v>3190649.5299999993</v>
      </c>
      <c r="CO75" s="573">
        <f t="shared" si="15"/>
        <v>2053886.15</v>
      </c>
      <c r="CP75" s="573">
        <f t="shared" si="16"/>
        <v>-80191.369999998715</v>
      </c>
    </row>
    <row r="76" spans="1:94" ht="27.6">
      <c r="A76" s="491">
        <v>302</v>
      </c>
      <c r="B76" s="491">
        <v>3521</v>
      </c>
      <c r="C76" s="492" t="s">
        <v>440</v>
      </c>
      <c r="D76" s="491" t="s">
        <v>594</v>
      </c>
      <c r="E76" s="491"/>
      <c r="F76" s="491" t="s">
        <v>588</v>
      </c>
      <c r="G76" s="491">
        <v>0</v>
      </c>
      <c r="H76" s="491">
        <v>2</v>
      </c>
      <c r="I76" s="491" t="s">
        <v>717</v>
      </c>
      <c r="J76" s="491" t="s">
        <v>718</v>
      </c>
      <c r="K76" s="491" t="s">
        <v>591</v>
      </c>
      <c r="L76" s="491" t="s">
        <v>592</v>
      </c>
      <c r="M76" s="491" t="s">
        <v>591</v>
      </c>
      <c r="N76" s="491" t="s">
        <v>593</v>
      </c>
      <c r="O76" s="491" t="s">
        <v>188</v>
      </c>
      <c r="P76" s="491" t="s">
        <v>188</v>
      </c>
      <c r="Q76" s="493">
        <v>1222190</v>
      </c>
      <c r="R76" s="493">
        <v>0</v>
      </c>
      <c r="S76" s="493">
        <v>0</v>
      </c>
      <c r="T76" s="493">
        <v>9777687.4299999997</v>
      </c>
      <c r="U76" s="493">
        <v>607960.68000000005</v>
      </c>
      <c r="V76" s="493">
        <v>265129.17</v>
      </c>
      <c r="W76" s="493">
        <v>0</v>
      </c>
      <c r="X76" s="493">
        <v>548723.49</v>
      </c>
      <c r="Y76" s="493">
        <v>10009.9</v>
      </c>
      <c r="Z76" s="493">
        <v>197787.32</v>
      </c>
      <c r="AA76" s="493">
        <v>75981.649999999994</v>
      </c>
      <c r="AB76" s="493">
        <v>61350.07</v>
      </c>
      <c r="AC76" s="493">
        <v>194747.77</v>
      </c>
      <c r="AD76" s="493">
        <v>0</v>
      </c>
      <c r="AE76" s="493">
        <v>6801</v>
      </c>
      <c r="AF76" s="493">
        <v>199563.37</v>
      </c>
      <c r="AG76" s="493">
        <v>39341.870000000003</v>
      </c>
      <c r="AH76" s="493">
        <v>0</v>
      </c>
      <c r="AI76" s="493">
        <v>0</v>
      </c>
      <c r="AJ76" s="493">
        <v>0</v>
      </c>
      <c r="AK76" s="493">
        <v>0</v>
      </c>
      <c r="AL76" s="493">
        <v>0</v>
      </c>
      <c r="AM76" s="493">
        <v>156827.12</v>
      </c>
      <c r="AN76" s="493">
        <v>116441</v>
      </c>
      <c r="AO76" s="493">
        <v>5937565.5899999999</v>
      </c>
      <c r="AP76" s="493">
        <v>0</v>
      </c>
      <c r="AQ76" s="493">
        <v>1297530.3799999999</v>
      </c>
      <c r="AR76" s="493">
        <v>227420.64</v>
      </c>
      <c r="AS76" s="493">
        <v>738383.55</v>
      </c>
      <c r="AT76" s="493">
        <v>0</v>
      </c>
      <c r="AU76" s="493">
        <v>112487.23</v>
      </c>
      <c r="AV76" s="493">
        <v>117137.60000000001</v>
      </c>
      <c r="AW76" s="493">
        <v>22936.17</v>
      </c>
      <c r="AX76" s="493">
        <v>2269.96</v>
      </c>
      <c r="AY76" s="493">
        <v>0</v>
      </c>
      <c r="AZ76" s="493">
        <v>84117.72</v>
      </c>
      <c r="BA76" s="493">
        <v>14485.82</v>
      </c>
      <c r="BB76" s="493">
        <v>179136.31</v>
      </c>
      <c r="BC76" s="493">
        <v>27467.43</v>
      </c>
      <c r="BD76" s="493">
        <v>310157.96999999997</v>
      </c>
      <c r="BE76" s="493">
        <v>60817.64</v>
      </c>
      <c r="BF76" s="493">
        <v>55059.11</v>
      </c>
      <c r="BG76" s="493">
        <v>475685.61</v>
      </c>
      <c r="BH76" s="493">
        <v>130251.65</v>
      </c>
      <c r="BI76" s="493">
        <v>113399.57</v>
      </c>
      <c r="BJ76" s="493">
        <v>110163.99</v>
      </c>
      <c r="BK76" s="493">
        <v>61802.86</v>
      </c>
      <c r="BL76" s="493">
        <v>16518.5</v>
      </c>
      <c r="BM76" s="493">
        <v>455930.86</v>
      </c>
      <c r="BN76" s="493">
        <v>432142.43</v>
      </c>
      <c r="BO76" s="493">
        <v>653712.44999999995</v>
      </c>
      <c r="BP76" s="493">
        <v>322245.96000000002</v>
      </c>
      <c r="BQ76" s="493">
        <v>0</v>
      </c>
      <c r="BR76" s="493">
        <v>0</v>
      </c>
      <c r="BS76" s="493">
        <v>47173.99</v>
      </c>
      <c r="BT76" s="493">
        <v>0</v>
      </c>
      <c r="BU76" s="493">
        <v>0</v>
      </c>
      <c r="BV76" s="494">
        <v>0</v>
      </c>
      <c r="BW76" s="493">
        <v>0</v>
      </c>
      <c r="BX76" s="493">
        <v>0</v>
      </c>
      <c r="BY76" s="493">
        <v>6000</v>
      </c>
      <c r="BZ76" s="493">
        <v>0</v>
      </c>
      <c r="CA76" s="493">
        <v>0</v>
      </c>
      <c r="CB76" s="493">
        <v>0</v>
      </c>
      <c r="CC76" s="493">
        <v>0</v>
      </c>
      <c r="CD76" s="493">
        <v>0</v>
      </c>
      <c r="CE76" s="493">
        <v>1474540.85</v>
      </c>
      <c r="CF76" s="493">
        <v>0</v>
      </c>
      <c r="CG76" s="493">
        <v>0</v>
      </c>
      <c r="CH76" s="493">
        <v>0</v>
      </c>
      <c r="CI76" s="493">
        <v>0</v>
      </c>
      <c r="CJ76" s="495">
        <f t="shared" si="10"/>
        <v>1474540.85</v>
      </c>
      <c r="CK76" s="495">
        <f t="shared" si="11"/>
        <v>0</v>
      </c>
      <c r="CL76" s="495">
        <f t="shared" si="12"/>
        <v>1474540.85</v>
      </c>
      <c r="CM76" s="573">
        <f t="shared" si="13"/>
        <v>12258351.839999998</v>
      </c>
      <c r="CN76" s="573">
        <f t="shared" si="14"/>
        <v>12006000.990000002</v>
      </c>
      <c r="CO76" s="573">
        <f t="shared" si="15"/>
        <v>10650777.279999999</v>
      </c>
      <c r="CP76" s="573">
        <f t="shared" si="16"/>
        <v>252350.8499999959</v>
      </c>
    </row>
    <row r="77" spans="1:94" ht="14.25" customHeight="1">
      <c r="A77" s="491">
        <v>302</v>
      </c>
      <c r="B77" s="491">
        <v>3523</v>
      </c>
      <c r="C77" s="492" t="s">
        <v>276</v>
      </c>
      <c r="D77" s="491" t="s">
        <v>594</v>
      </c>
      <c r="E77" s="491"/>
      <c r="F77" s="491" t="s">
        <v>588</v>
      </c>
      <c r="G77" s="491">
        <v>0</v>
      </c>
      <c r="H77" s="491">
        <v>0</v>
      </c>
      <c r="I77" s="491" t="s">
        <v>717</v>
      </c>
      <c r="J77" s="491" t="s">
        <v>718</v>
      </c>
      <c r="K77" s="491" t="s">
        <v>591</v>
      </c>
      <c r="L77" s="491" t="s">
        <v>592</v>
      </c>
      <c r="M77" s="491" t="s">
        <v>591</v>
      </c>
      <c r="N77" s="491" t="s">
        <v>593</v>
      </c>
      <c r="O77" s="491" t="s">
        <v>188</v>
      </c>
      <c r="P77" s="491" t="s">
        <v>188</v>
      </c>
      <c r="Q77" s="493">
        <v>223997</v>
      </c>
      <c r="R77" s="493">
        <v>0</v>
      </c>
      <c r="S77" s="493">
        <v>50055</v>
      </c>
      <c r="T77" s="493">
        <v>3608771.68</v>
      </c>
      <c r="U77" s="493">
        <v>0</v>
      </c>
      <c r="V77" s="493">
        <v>190379.46</v>
      </c>
      <c r="W77" s="493">
        <v>0</v>
      </c>
      <c r="X77" s="493">
        <v>244027.54</v>
      </c>
      <c r="Y77" s="493">
        <v>3144.42</v>
      </c>
      <c r="Z77" s="493">
        <v>77836.77</v>
      </c>
      <c r="AA77" s="493">
        <v>107547.06</v>
      </c>
      <c r="AB77" s="493">
        <v>17162.12</v>
      </c>
      <c r="AC77" s="493">
        <v>29095.54</v>
      </c>
      <c r="AD77" s="493">
        <v>9700</v>
      </c>
      <c r="AE77" s="493">
        <v>0</v>
      </c>
      <c r="AF77" s="493">
        <v>155215.54</v>
      </c>
      <c r="AG77" s="493">
        <v>24149.13</v>
      </c>
      <c r="AH77" s="493">
        <v>0</v>
      </c>
      <c r="AI77" s="493">
        <v>0</v>
      </c>
      <c r="AJ77" s="493">
        <v>0</v>
      </c>
      <c r="AK77" s="493">
        <v>0</v>
      </c>
      <c r="AL77" s="493">
        <v>0</v>
      </c>
      <c r="AM77" s="493">
        <v>38481.01</v>
      </c>
      <c r="AN77" s="493">
        <v>106750</v>
      </c>
      <c r="AO77" s="493">
        <v>1921331.42</v>
      </c>
      <c r="AP77" s="493">
        <v>0</v>
      </c>
      <c r="AQ77" s="493">
        <v>1002546.25</v>
      </c>
      <c r="AR77" s="493">
        <v>219049.42</v>
      </c>
      <c r="AS77" s="493">
        <v>149170.07999999999</v>
      </c>
      <c r="AT77" s="493">
        <v>0</v>
      </c>
      <c r="AU77" s="493">
        <v>157189.29</v>
      </c>
      <c r="AV77" s="493">
        <v>24430.54</v>
      </c>
      <c r="AW77" s="493">
        <v>4084.73</v>
      </c>
      <c r="AX77" s="493">
        <v>12110.4</v>
      </c>
      <c r="AY77" s="493">
        <v>0</v>
      </c>
      <c r="AZ77" s="493">
        <v>12575.87</v>
      </c>
      <c r="BA77" s="493">
        <v>1848.22</v>
      </c>
      <c r="BB77" s="493">
        <v>10764.36</v>
      </c>
      <c r="BC77" s="493">
        <v>10055.66</v>
      </c>
      <c r="BD77" s="493">
        <v>71419.55</v>
      </c>
      <c r="BE77" s="493">
        <v>56924.4</v>
      </c>
      <c r="BF77" s="493">
        <v>15630.27</v>
      </c>
      <c r="BG77" s="493">
        <v>122654.96</v>
      </c>
      <c r="BH77" s="493">
        <v>16114.51</v>
      </c>
      <c r="BI77" s="493">
        <v>0</v>
      </c>
      <c r="BJ77" s="493">
        <v>15211.09</v>
      </c>
      <c r="BK77" s="493">
        <v>24072.91</v>
      </c>
      <c r="BL77" s="493">
        <v>640.29999999999995</v>
      </c>
      <c r="BM77" s="493">
        <v>234299.26</v>
      </c>
      <c r="BN77" s="493">
        <v>38006.019999999997</v>
      </c>
      <c r="BO77" s="493">
        <v>350047.95</v>
      </c>
      <c r="BP77" s="493">
        <v>43972.82</v>
      </c>
      <c r="BQ77" s="493">
        <v>0</v>
      </c>
      <c r="BR77" s="493">
        <v>0</v>
      </c>
      <c r="BS77" s="493">
        <v>0</v>
      </c>
      <c r="BT77" s="493">
        <v>0</v>
      </c>
      <c r="BU77" s="493">
        <v>0</v>
      </c>
      <c r="BV77" s="494">
        <v>11542</v>
      </c>
      <c r="BW77" s="493">
        <v>0</v>
      </c>
      <c r="BX77" s="493">
        <v>0</v>
      </c>
      <c r="BY77" s="493">
        <v>6000</v>
      </c>
      <c r="BZ77" s="493">
        <v>0</v>
      </c>
      <c r="CA77" s="493">
        <v>26489.759999999998</v>
      </c>
      <c r="CB77" s="493">
        <v>0</v>
      </c>
      <c r="CC77" s="493">
        <v>14352</v>
      </c>
      <c r="CD77" s="493">
        <v>0</v>
      </c>
      <c r="CE77" s="493">
        <v>322106.99</v>
      </c>
      <c r="CF77" s="493">
        <v>20755.240000000002</v>
      </c>
      <c r="CG77" s="493">
        <v>0</v>
      </c>
      <c r="CH77" s="493">
        <v>0</v>
      </c>
      <c r="CI77" s="493">
        <v>0</v>
      </c>
      <c r="CJ77" s="495">
        <f t="shared" si="10"/>
        <v>322106.99</v>
      </c>
      <c r="CK77" s="495">
        <f t="shared" si="11"/>
        <v>20755.240000000002</v>
      </c>
      <c r="CL77" s="495">
        <f t="shared" si="12"/>
        <v>322106.99</v>
      </c>
      <c r="CM77" s="573">
        <f t="shared" si="13"/>
        <v>4612260.2699999996</v>
      </c>
      <c r="CN77" s="573">
        <f t="shared" si="14"/>
        <v>4514150.2799999993</v>
      </c>
      <c r="CO77" s="573">
        <f t="shared" si="15"/>
        <v>3799151.14</v>
      </c>
      <c r="CP77" s="573">
        <f t="shared" si="16"/>
        <v>98109.990000000224</v>
      </c>
    </row>
    <row r="78" spans="1:94" ht="14.25" customHeight="1">
      <c r="A78" s="491">
        <v>302</v>
      </c>
      <c r="B78" s="491">
        <v>3524</v>
      </c>
      <c r="C78" s="492" t="s">
        <v>393</v>
      </c>
      <c r="D78" s="491" t="s">
        <v>594</v>
      </c>
      <c r="E78" s="491"/>
      <c r="F78" s="491" t="s">
        <v>588</v>
      </c>
      <c r="G78" s="491">
        <v>0</v>
      </c>
      <c r="H78" s="491">
        <v>0</v>
      </c>
      <c r="I78" s="491" t="s">
        <v>717</v>
      </c>
      <c r="J78" s="491" t="s">
        <v>718</v>
      </c>
      <c r="K78" s="491" t="s">
        <v>591</v>
      </c>
      <c r="L78" s="491" t="s">
        <v>592</v>
      </c>
      <c r="M78" s="491" t="s">
        <v>591</v>
      </c>
      <c r="N78" s="491" t="s">
        <v>593</v>
      </c>
      <c r="O78" s="491" t="s">
        <v>188</v>
      </c>
      <c r="P78" s="491" t="s">
        <v>188</v>
      </c>
      <c r="Q78" s="493">
        <v>80347</v>
      </c>
      <c r="R78" s="493">
        <v>0</v>
      </c>
      <c r="S78" s="493">
        <v>0</v>
      </c>
      <c r="T78" s="493">
        <v>1208155.3500000001</v>
      </c>
      <c r="U78" s="493">
        <v>0</v>
      </c>
      <c r="V78" s="493">
        <v>76697.05</v>
      </c>
      <c r="W78" s="493">
        <v>0</v>
      </c>
      <c r="X78" s="493">
        <v>17459.72</v>
      </c>
      <c r="Y78" s="493">
        <v>81730.25</v>
      </c>
      <c r="Z78" s="493">
        <v>49280</v>
      </c>
      <c r="AA78" s="493">
        <v>0</v>
      </c>
      <c r="AB78" s="493">
        <v>9849.82</v>
      </c>
      <c r="AC78" s="493">
        <v>3.4</v>
      </c>
      <c r="AD78" s="493">
        <v>0</v>
      </c>
      <c r="AE78" s="493">
        <v>0</v>
      </c>
      <c r="AF78" s="493">
        <v>67425.84</v>
      </c>
      <c r="AG78" s="493">
        <v>428373</v>
      </c>
      <c r="AH78" s="493">
        <v>0</v>
      </c>
      <c r="AI78" s="493">
        <v>0</v>
      </c>
      <c r="AJ78" s="493">
        <v>0</v>
      </c>
      <c r="AK78" s="493">
        <v>0</v>
      </c>
      <c r="AL78" s="493">
        <v>0</v>
      </c>
      <c r="AM78" s="493">
        <v>3243.12</v>
      </c>
      <c r="AN78" s="493">
        <v>59483</v>
      </c>
      <c r="AO78" s="493">
        <v>960029.06</v>
      </c>
      <c r="AP78" s="493">
        <v>0</v>
      </c>
      <c r="AQ78" s="493">
        <v>409737.2</v>
      </c>
      <c r="AR78" s="493">
        <v>40180.35</v>
      </c>
      <c r="AS78" s="493">
        <v>120146.82</v>
      </c>
      <c r="AT78" s="493">
        <v>0</v>
      </c>
      <c r="AU78" s="493">
        <v>3110.89</v>
      </c>
      <c r="AV78" s="493">
        <v>2973.56</v>
      </c>
      <c r="AW78" s="493">
        <v>2100.73</v>
      </c>
      <c r="AX78" s="493">
        <v>340.3</v>
      </c>
      <c r="AY78" s="493">
        <v>0</v>
      </c>
      <c r="AZ78" s="493">
        <v>53613.599999999999</v>
      </c>
      <c r="BA78" s="493">
        <v>2187.46</v>
      </c>
      <c r="BB78" s="493">
        <v>39107.269999999997</v>
      </c>
      <c r="BC78" s="493">
        <v>3675.86</v>
      </c>
      <c r="BD78" s="493">
        <v>52676.68</v>
      </c>
      <c r="BE78" s="493">
        <v>9591.7199999999993</v>
      </c>
      <c r="BF78" s="493">
        <v>64194.54</v>
      </c>
      <c r="BG78" s="493">
        <v>95705.71</v>
      </c>
      <c r="BH78" s="493">
        <v>15611.78</v>
      </c>
      <c r="BI78" s="493">
        <v>0</v>
      </c>
      <c r="BJ78" s="493">
        <v>11453.46</v>
      </c>
      <c r="BK78" s="493">
        <v>8963.14</v>
      </c>
      <c r="BL78" s="493">
        <v>0</v>
      </c>
      <c r="BM78" s="493">
        <v>27207.11</v>
      </c>
      <c r="BN78" s="493">
        <v>135</v>
      </c>
      <c r="BO78" s="493">
        <v>44595.37</v>
      </c>
      <c r="BP78" s="493">
        <v>23007.72</v>
      </c>
      <c r="BQ78" s="493">
        <v>0</v>
      </c>
      <c r="BR78" s="493">
        <v>0</v>
      </c>
      <c r="BS78" s="493">
        <v>0</v>
      </c>
      <c r="BT78" s="493">
        <v>0</v>
      </c>
      <c r="BU78" s="493">
        <v>0</v>
      </c>
      <c r="BV78" s="494">
        <v>0</v>
      </c>
      <c r="BW78" s="493">
        <v>0</v>
      </c>
      <c r="BX78" s="493">
        <v>0</v>
      </c>
      <c r="BY78" s="493">
        <v>6000</v>
      </c>
      <c r="BZ78" s="493">
        <v>0</v>
      </c>
      <c r="CA78" s="493">
        <v>0</v>
      </c>
      <c r="CB78" s="493">
        <v>0</v>
      </c>
      <c r="CC78" s="493">
        <v>0</v>
      </c>
      <c r="CD78" s="493">
        <v>0</v>
      </c>
      <c r="CE78" s="493">
        <v>91702.22</v>
      </c>
      <c r="CF78" s="493">
        <v>0</v>
      </c>
      <c r="CG78" s="493">
        <v>0</v>
      </c>
      <c r="CH78" s="493">
        <v>0</v>
      </c>
      <c r="CI78" s="493">
        <v>0</v>
      </c>
      <c r="CJ78" s="495">
        <f t="shared" si="10"/>
        <v>91702.22</v>
      </c>
      <c r="CK78" s="495">
        <f t="shared" si="11"/>
        <v>0</v>
      </c>
      <c r="CL78" s="495">
        <f t="shared" si="12"/>
        <v>91702.22</v>
      </c>
      <c r="CM78" s="573">
        <f t="shared" si="13"/>
        <v>2001700.5500000003</v>
      </c>
      <c r="CN78" s="573">
        <f t="shared" si="14"/>
        <v>1990345.3300000003</v>
      </c>
      <c r="CO78" s="573">
        <f t="shared" si="15"/>
        <v>1284852.4000000001</v>
      </c>
      <c r="CP78" s="573">
        <f t="shared" si="16"/>
        <v>11355.219999999972</v>
      </c>
    </row>
    <row r="79" spans="1:94" ht="14.25" customHeight="1">
      <c r="A79" s="491">
        <v>302</v>
      </c>
      <c r="B79" s="491">
        <v>4003</v>
      </c>
      <c r="C79" s="492" t="s">
        <v>116</v>
      </c>
      <c r="D79" s="491" t="s">
        <v>594</v>
      </c>
      <c r="E79" s="491"/>
      <c r="F79" s="491" t="s">
        <v>588</v>
      </c>
      <c r="G79" s="491">
        <v>0</v>
      </c>
      <c r="H79" s="491">
        <v>0</v>
      </c>
      <c r="I79" s="491" t="s">
        <v>717</v>
      </c>
      <c r="J79" s="491" t="s">
        <v>718</v>
      </c>
      <c r="K79" s="491" t="s">
        <v>591</v>
      </c>
      <c r="L79" s="491" t="s">
        <v>592</v>
      </c>
      <c r="M79" s="491" t="s">
        <v>591</v>
      </c>
      <c r="N79" s="491" t="s">
        <v>593</v>
      </c>
      <c r="O79" s="491" t="s">
        <v>188</v>
      </c>
      <c r="P79" s="491" t="s">
        <v>188</v>
      </c>
      <c r="Q79" s="493">
        <v>232723</v>
      </c>
      <c r="R79" s="493">
        <v>0</v>
      </c>
      <c r="S79" s="493">
        <v>53678</v>
      </c>
      <c r="T79" s="493">
        <v>5871339.5700000003</v>
      </c>
      <c r="U79" s="493">
        <v>0</v>
      </c>
      <c r="V79" s="493">
        <v>437663.84</v>
      </c>
      <c r="W79" s="493">
        <v>0</v>
      </c>
      <c r="X79" s="493">
        <v>337128.48</v>
      </c>
      <c r="Y79" s="493">
        <v>1050</v>
      </c>
      <c r="Z79" s="493">
        <v>184634.05</v>
      </c>
      <c r="AA79" s="493">
        <v>14400</v>
      </c>
      <c r="AB79" s="493">
        <v>2791.65</v>
      </c>
      <c r="AC79" s="493">
        <v>145982.9</v>
      </c>
      <c r="AD79" s="493">
        <v>0</v>
      </c>
      <c r="AE79" s="493">
        <v>0</v>
      </c>
      <c r="AF79" s="493">
        <v>59144.32</v>
      </c>
      <c r="AG79" s="493">
        <v>53242.31</v>
      </c>
      <c r="AH79" s="493">
        <v>0</v>
      </c>
      <c r="AI79" s="493">
        <v>0</v>
      </c>
      <c r="AJ79" s="493">
        <v>0</v>
      </c>
      <c r="AK79" s="493">
        <v>0</v>
      </c>
      <c r="AL79" s="493">
        <v>0</v>
      </c>
      <c r="AM79" s="493">
        <v>122686.25</v>
      </c>
      <c r="AN79" s="493">
        <v>0</v>
      </c>
      <c r="AO79" s="493">
        <v>3837104.82</v>
      </c>
      <c r="AP79" s="493">
        <v>0</v>
      </c>
      <c r="AQ79" s="493">
        <v>1051130.23</v>
      </c>
      <c r="AR79" s="493">
        <v>89226.89</v>
      </c>
      <c r="AS79" s="493">
        <v>508195.99</v>
      </c>
      <c r="AT79" s="493">
        <v>0</v>
      </c>
      <c r="AU79" s="493">
        <v>46041.64</v>
      </c>
      <c r="AV79" s="493">
        <v>54583.67</v>
      </c>
      <c r="AW79" s="493">
        <v>12921.45</v>
      </c>
      <c r="AX79" s="493">
        <v>1065.5999999999999</v>
      </c>
      <c r="AY79" s="493">
        <v>0</v>
      </c>
      <c r="AZ79" s="493">
        <v>157461.72</v>
      </c>
      <c r="BA79" s="493">
        <v>9377.56</v>
      </c>
      <c r="BB79" s="493">
        <v>94771.94</v>
      </c>
      <c r="BC79" s="493">
        <v>4469.59</v>
      </c>
      <c r="BD79" s="493">
        <v>119979.95</v>
      </c>
      <c r="BE79" s="493">
        <v>72777.600000000006</v>
      </c>
      <c r="BF79" s="493">
        <v>38510.089999999997</v>
      </c>
      <c r="BG79" s="493">
        <v>144777.79999999999</v>
      </c>
      <c r="BH79" s="493">
        <v>151519.44</v>
      </c>
      <c r="BI79" s="493">
        <v>68197.45</v>
      </c>
      <c r="BJ79" s="493">
        <v>47522.8</v>
      </c>
      <c r="BK79" s="493">
        <v>30486.2</v>
      </c>
      <c r="BL79" s="493">
        <v>0</v>
      </c>
      <c r="BM79" s="493">
        <v>211873.89</v>
      </c>
      <c r="BN79" s="493">
        <v>167038.28</v>
      </c>
      <c r="BO79" s="493">
        <v>137182.39000000001</v>
      </c>
      <c r="BP79" s="493">
        <v>16264.33</v>
      </c>
      <c r="BQ79" s="493">
        <v>0</v>
      </c>
      <c r="BR79" s="493">
        <v>0</v>
      </c>
      <c r="BS79" s="493">
        <v>0</v>
      </c>
      <c r="BT79" s="493">
        <v>0</v>
      </c>
      <c r="BU79" s="493">
        <v>0</v>
      </c>
      <c r="BV79" s="494">
        <v>16209.06</v>
      </c>
      <c r="BW79" s="493">
        <v>0</v>
      </c>
      <c r="BX79" s="493">
        <v>0</v>
      </c>
      <c r="BY79" s="493">
        <v>6000</v>
      </c>
      <c r="BZ79" s="493">
        <v>0</v>
      </c>
      <c r="CA79" s="493">
        <v>0</v>
      </c>
      <c r="CB79" s="493">
        <v>0</v>
      </c>
      <c r="CC79" s="493">
        <v>53150</v>
      </c>
      <c r="CD79" s="493">
        <v>0</v>
      </c>
      <c r="CE79" s="493">
        <v>390305.05</v>
      </c>
      <c r="CF79" s="493">
        <v>16737.060000000001</v>
      </c>
      <c r="CG79" s="493">
        <v>0</v>
      </c>
      <c r="CH79" s="493">
        <v>0</v>
      </c>
      <c r="CI79" s="493">
        <v>0</v>
      </c>
      <c r="CJ79" s="495">
        <f t="shared" si="10"/>
        <v>390305.05</v>
      </c>
      <c r="CK79" s="495">
        <f t="shared" si="11"/>
        <v>16737.060000000001</v>
      </c>
      <c r="CL79" s="495">
        <f t="shared" si="12"/>
        <v>390305.05</v>
      </c>
      <c r="CM79" s="573">
        <f t="shared" si="13"/>
        <v>7230063.370000001</v>
      </c>
      <c r="CN79" s="573">
        <f t="shared" si="14"/>
        <v>7072481.3199999984</v>
      </c>
      <c r="CO79" s="573">
        <f t="shared" si="15"/>
        <v>6309003.4100000001</v>
      </c>
      <c r="CP79" s="573">
        <f t="shared" si="16"/>
        <v>157582.05000000261</v>
      </c>
    </row>
    <row r="80" spans="1:94" ht="14.25" customHeight="1">
      <c r="A80" s="491">
        <v>302</v>
      </c>
      <c r="B80" s="491">
        <v>4004</v>
      </c>
      <c r="C80" s="492" t="s">
        <v>432</v>
      </c>
      <c r="D80" s="491" t="s">
        <v>594</v>
      </c>
      <c r="E80" s="491"/>
      <c r="F80" s="491" t="s">
        <v>588</v>
      </c>
      <c r="G80" s="491">
        <v>0</v>
      </c>
      <c r="H80" s="491">
        <v>0</v>
      </c>
      <c r="I80" s="491" t="s">
        <v>717</v>
      </c>
      <c r="J80" s="491" t="s">
        <v>718</v>
      </c>
      <c r="K80" s="491" t="s">
        <v>591</v>
      </c>
      <c r="L80" s="491" t="s">
        <v>592</v>
      </c>
      <c r="M80" s="491" t="s">
        <v>591</v>
      </c>
      <c r="N80" s="491" t="s">
        <v>593</v>
      </c>
      <c r="O80" s="491" t="s">
        <v>188</v>
      </c>
      <c r="P80" s="491" t="s">
        <v>188</v>
      </c>
      <c r="Q80" s="493">
        <v>59512</v>
      </c>
      <c r="R80" s="493">
        <v>0</v>
      </c>
      <c r="S80" s="493">
        <v>0</v>
      </c>
      <c r="T80" s="493">
        <v>2069171.07</v>
      </c>
      <c r="U80" s="493">
        <v>426593.36</v>
      </c>
      <c r="V80" s="493">
        <v>101746.27</v>
      </c>
      <c r="W80" s="493">
        <v>0</v>
      </c>
      <c r="X80" s="493">
        <v>6210.02</v>
      </c>
      <c r="Y80" s="493">
        <v>62944.32</v>
      </c>
      <c r="Z80" s="493">
        <v>0</v>
      </c>
      <c r="AA80" s="493">
        <v>0</v>
      </c>
      <c r="AB80" s="493">
        <v>0</v>
      </c>
      <c r="AC80" s="493">
        <v>0</v>
      </c>
      <c r="AD80" s="493">
        <v>0</v>
      </c>
      <c r="AE80" s="493">
        <v>0</v>
      </c>
      <c r="AF80" s="493">
        <v>0</v>
      </c>
      <c r="AG80" s="493">
        <v>606990</v>
      </c>
      <c r="AH80" s="493">
        <v>0</v>
      </c>
      <c r="AI80" s="493">
        <v>0</v>
      </c>
      <c r="AJ80" s="493">
        <v>0</v>
      </c>
      <c r="AK80" s="493">
        <v>0</v>
      </c>
      <c r="AL80" s="493">
        <v>0</v>
      </c>
      <c r="AM80" s="493">
        <v>7451.26</v>
      </c>
      <c r="AN80" s="493">
        <v>0</v>
      </c>
      <c r="AO80" s="493">
        <v>2259150.9</v>
      </c>
      <c r="AP80" s="493">
        <v>0</v>
      </c>
      <c r="AQ80" s="493">
        <v>232818.12</v>
      </c>
      <c r="AR80" s="493">
        <v>58265.58</v>
      </c>
      <c r="AS80" s="493">
        <v>172714.74</v>
      </c>
      <c r="AT80" s="493">
        <v>0</v>
      </c>
      <c r="AU80" s="493">
        <v>0</v>
      </c>
      <c r="AV80" s="493">
        <v>8794.7999999999993</v>
      </c>
      <c r="AW80" s="493">
        <v>17807.45</v>
      </c>
      <c r="AX80" s="493">
        <v>447.84</v>
      </c>
      <c r="AY80" s="493">
        <v>0</v>
      </c>
      <c r="AZ80" s="493">
        <v>82201.38</v>
      </c>
      <c r="BA80" s="493">
        <v>0</v>
      </c>
      <c r="BB80" s="493">
        <v>62200.44</v>
      </c>
      <c r="BC80" s="493">
        <v>578.76</v>
      </c>
      <c r="BD80" s="493">
        <v>34349.94</v>
      </c>
      <c r="BE80" s="493">
        <v>7168</v>
      </c>
      <c r="BF80" s="493">
        <v>84791.13</v>
      </c>
      <c r="BG80" s="493">
        <v>52344.92</v>
      </c>
      <c r="BH80" s="493">
        <v>10021.06</v>
      </c>
      <c r="BI80" s="493">
        <v>43860.17</v>
      </c>
      <c r="BJ80" s="493">
        <v>49111.58</v>
      </c>
      <c r="BK80" s="493">
        <v>13496.93</v>
      </c>
      <c r="BL80" s="493">
        <v>0</v>
      </c>
      <c r="BM80" s="493">
        <v>4349.25</v>
      </c>
      <c r="BN80" s="493">
        <v>0</v>
      </c>
      <c r="BO80" s="493">
        <v>22337.46</v>
      </c>
      <c r="BP80" s="493">
        <v>72548.210000000006</v>
      </c>
      <c r="BQ80" s="493">
        <v>0</v>
      </c>
      <c r="BR80" s="493">
        <v>0</v>
      </c>
      <c r="BS80" s="493">
        <v>16767</v>
      </c>
      <c r="BT80" s="493">
        <v>0</v>
      </c>
      <c r="BU80" s="493">
        <v>0</v>
      </c>
      <c r="BV80" s="494">
        <v>0</v>
      </c>
      <c r="BW80" s="493">
        <v>0</v>
      </c>
      <c r="BX80" s="493">
        <v>16767</v>
      </c>
      <c r="BY80" s="493">
        <v>6000</v>
      </c>
      <c r="BZ80" s="493">
        <v>0</v>
      </c>
      <c r="CA80" s="493">
        <v>0</v>
      </c>
      <c r="CB80" s="493">
        <v>16767</v>
      </c>
      <c r="CC80" s="493">
        <v>0</v>
      </c>
      <c r="CD80" s="493">
        <v>0</v>
      </c>
      <c r="CE80" s="493">
        <v>34492.639999999999</v>
      </c>
      <c r="CF80" s="493">
        <v>0</v>
      </c>
      <c r="CG80" s="493">
        <v>0</v>
      </c>
      <c r="CH80" s="493">
        <v>0</v>
      </c>
      <c r="CI80" s="493">
        <v>0</v>
      </c>
      <c r="CJ80" s="495">
        <f t="shared" si="10"/>
        <v>34492.639999999999</v>
      </c>
      <c r="CK80" s="495">
        <f t="shared" si="11"/>
        <v>0</v>
      </c>
      <c r="CL80" s="495">
        <f t="shared" si="12"/>
        <v>34492.639999999999</v>
      </c>
      <c r="CM80" s="573">
        <f t="shared" si="13"/>
        <v>3281106.3</v>
      </c>
      <c r="CN80" s="573">
        <f t="shared" si="14"/>
        <v>3306125.6599999992</v>
      </c>
      <c r="CO80" s="573">
        <f t="shared" si="15"/>
        <v>2597510.7000000002</v>
      </c>
      <c r="CP80" s="573">
        <f t="shared" si="16"/>
        <v>-25019.359999999404</v>
      </c>
    </row>
    <row r="81" spans="1:94" ht="14.25" customHeight="1">
      <c r="A81" s="491">
        <v>302</v>
      </c>
      <c r="B81" s="491">
        <v>5201</v>
      </c>
      <c r="C81" s="492" t="s">
        <v>281</v>
      </c>
      <c r="D81" s="491" t="s">
        <v>594</v>
      </c>
      <c r="E81" s="491"/>
      <c r="F81" s="491" t="s">
        <v>588</v>
      </c>
      <c r="G81" s="491">
        <v>0</v>
      </c>
      <c r="H81" s="491">
        <v>0</v>
      </c>
      <c r="I81" s="491" t="s">
        <v>717</v>
      </c>
      <c r="J81" s="491" t="s">
        <v>718</v>
      </c>
      <c r="K81" s="491" t="s">
        <v>591</v>
      </c>
      <c r="L81" s="491" t="s">
        <v>592</v>
      </c>
      <c r="M81" s="491" t="s">
        <v>591</v>
      </c>
      <c r="N81" s="491" t="s">
        <v>593</v>
      </c>
      <c r="O81" s="491" t="s">
        <v>188</v>
      </c>
      <c r="P81" s="491" t="s">
        <v>188</v>
      </c>
      <c r="Q81" s="493">
        <v>364307</v>
      </c>
      <c r="R81" s="493">
        <v>0</v>
      </c>
      <c r="S81" s="493">
        <v>17934</v>
      </c>
      <c r="T81" s="493">
        <v>2180247.83</v>
      </c>
      <c r="U81" s="493">
        <v>0</v>
      </c>
      <c r="V81" s="493">
        <v>232006.6</v>
      </c>
      <c r="W81" s="493">
        <v>0</v>
      </c>
      <c r="X81" s="493">
        <v>130949.98</v>
      </c>
      <c r="Y81" s="493">
        <v>2080</v>
      </c>
      <c r="Z81" s="493">
        <v>59112.53</v>
      </c>
      <c r="AA81" s="493">
        <v>3961.1</v>
      </c>
      <c r="AB81" s="493">
        <v>91304.22</v>
      </c>
      <c r="AC81" s="493">
        <v>16510.72</v>
      </c>
      <c r="AD81" s="493">
        <v>0</v>
      </c>
      <c r="AE81" s="493">
        <v>317</v>
      </c>
      <c r="AF81" s="493">
        <v>39265.65</v>
      </c>
      <c r="AG81" s="493">
        <v>2221.52</v>
      </c>
      <c r="AH81" s="493">
        <v>0</v>
      </c>
      <c r="AI81" s="493">
        <v>0</v>
      </c>
      <c r="AJ81" s="493">
        <v>0</v>
      </c>
      <c r="AK81" s="493">
        <v>0</v>
      </c>
      <c r="AL81" s="493">
        <v>0</v>
      </c>
      <c r="AM81" s="493">
        <v>22117.5</v>
      </c>
      <c r="AN81" s="493">
        <v>74975</v>
      </c>
      <c r="AO81" s="493">
        <v>1200317.6299999999</v>
      </c>
      <c r="AP81" s="493">
        <v>0</v>
      </c>
      <c r="AQ81" s="493">
        <v>640827.81000000006</v>
      </c>
      <c r="AR81" s="493">
        <v>75446.41</v>
      </c>
      <c r="AS81" s="493">
        <v>146813.81</v>
      </c>
      <c r="AT81" s="493">
        <v>0</v>
      </c>
      <c r="AU81" s="493">
        <v>41127.94</v>
      </c>
      <c r="AV81" s="493">
        <v>2439.4299999999998</v>
      </c>
      <c r="AW81" s="493">
        <v>9420.58</v>
      </c>
      <c r="AX81" s="493">
        <v>670.64</v>
      </c>
      <c r="AY81" s="493">
        <v>0</v>
      </c>
      <c r="AZ81" s="493">
        <v>21577.75</v>
      </c>
      <c r="BA81" s="493">
        <v>39015.129999999997</v>
      </c>
      <c r="BB81" s="493">
        <v>40536.589999999997</v>
      </c>
      <c r="BC81" s="493">
        <v>5096.1499999999996</v>
      </c>
      <c r="BD81" s="493">
        <v>82452.17</v>
      </c>
      <c r="BE81" s="493">
        <v>7014.4</v>
      </c>
      <c r="BF81" s="493">
        <v>10970.95</v>
      </c>
      <c r="BG81" s="493">
        <v>88253.37</v>
      </c>
      <c r="BH81" s="493">
        <v>12885.27</v>
      </c>
      <c r="BI81" s="493">
        <v>0</v>
      </c>
      <c r="BJ81" s="493">
        <v>16383</v>
      </c>
      <c r="BK81" s="493">
        <v>17557.72</v>
      </c>
      <c r="BL81" s="493">
        <v>7863.66</v>
      </c>
      <c r="BM81" s="493">
        <v>149564.81</v>
      </c>
      <c r="BN81" s="493">
        <v>6682</v>
      </c>
      <c r="BO81" s="493">
        <v>109131.79</v>
      </c>
      <c r="BP81" s="493">
        <v>35689.730000000003</v>
      </c>
      <c r="BQ81" s="493">
        <v>0</v>
      </c>
      <c r="BR81" s="493">
        <v>0</v>
      </c>
      <c r="BS81" s="493">
        <v>0</v>
      </c>
      <c r="BT81" s="493">
        <v>0</v>
      </c>
      <c r="BU81" s="493">
        <v>0</v>
      </c>
      <c r="BV81" s="494">
        <v>8629.3799999999992</v>
      </c>
      <c r="BW81" s="493">
        <v>0</v>
      </c>
      <c r="BX81" s="493">
        <v>0</v>
      </c>
      <c r="BY81" s="493">
        <v>6000</v>
      </c>
      <c r="BZ81" s="493">
        <v>0</v>
      </c>
      <c r="CA81" s="493">
        <v>0</v>
      </c>
      <c r="CB81" s="493">
        <v>0</v>
      </c>
      <c r="CC81" s="493">
        <v>0</v>
      </c>
      <c r="CD81" s="493">
        <v>0</v>
      </c>
      <c r="CE81" s="493">
        <v>451637.91</v>
      </c>
      <c r="CF81" s="493">
        <v>26563.38</v>
      </c>
      <c r="CG81" s="493">
        <v>0</v>
      </c>
      <c r="CH81" s="493">
        <v>0</v>
      </c>
      <c r="CI81" s="493">
        <v>0</v>
      </c>
      <c r="CJ81" s="495">
        <f t="shared" si="10"/>
        <v>451637.91</v>
      </c>
      <c r="CK81" s="495">
        <f t="shared" si="11"/>
        <v>26563.38</v>
      </c>
      <c r="CL81" s="495">
        <f t="shared" si="12"/>
        <v>451637.91</v>
      </c>
      <c r="CM81" s="573">
        <f t="shared" si="13"/>
        <v>2855069.6500000004</v>
      </c>
      <c r="CN81" s="573">
        <f t="shared" si="14"/>
        <v>2767738.7400000007</v>
      </c>
      <c r="CO81" s="573">
        <f t="shared" si="15"/>
        <v>2412254.4300000002</v>
      </c>
      <c r="CP81" s="573">
        <f t="shared" si="16"/>
        <v>87330.909999999683</v>
      </c>
    </row>
    <row r="82" spans="1:94" ht="27.6">
      <c r="A82" s="491">
        <v>302</v>
      </c>
      <c r="B82" s="491">
        <v>5404</v>
      </c>
      <c r="C82" s="492" t="s">
        <v>301</v>
      </c>
      <c r="D82" s="491" t="s">
        <v>594</v>
      </c>
      <c r="E82" s="491"/>
      <c r="F82" s="491" t="s">
        <v>588</v>
      </c>
      <c r="G82" s="491">
        <v>0</v>
      </c>
      <c r="H82" s="491">
        <v>0</v>
      </c>
      <c r="I82" s="491" t="s">
        <v>717</v>
      </c>
      <c r="J82" s="491" t="s">
        <v>718</v>
      </c>
      <c r="K82" s="491" t="s">
        <v>591</v>
      </c>
      <c r="L82" s="491" t="s">
        <v>592</v>
      </c>
      <c r="M82" s="491" t="s">
        <v>591</v>
      </c>
      <c r="N82" s="491" t="s">
        <v>593</v>
      </c>
      <c r="O82" s="491" t="s">
        <v>188</v>
      </c>
      <c r="P82" s="491" t="s">
        <v>188</v>
      </c>
      <c r="Q82" s="493">
        <v>377429</v>
      </c>
      <c r="R82" s="493">
        <v>0</v>
      </c>
      <c r="S82" s="493">
        <v>0</v>
      </c>
      <c r="T82" s="493">
        <v>4063046.05</v>
      </c>
      <c r="U82" s="493">
        <v>1531685.72</v>
      </c>
      <c r="V82" s="493">
        <v>16986.330000000002</v>
      </c>
      <c r="W82" s="493">
        <v>0</v>
      </c>
      <c r="X82" s="493">
        <v>67610</v>
      </c>
      <c r="Y82" s="493">
        <v>0</v>
      </c>
      <c r="Z82" s="493">
        <v>6989.52</v>
      </c>
      <c r="AA82" s="493">
        <v>32278.57</v>
      </c>
      <c r="AB82" s="493">
        <v>0</v>
      </c>
      <c r="AC82" s="493">
        <v>220149.62</v>
      </c>
      <c r="AD82" s="493">
        <v>0</v>
      </c>
      <c r="AE82" s="493">
        <v>3204</v>
      </c>
      <c r="AF82" s="493">
        <v>20000</v>
      </c>
      <c r="AG82" s="493">
        <v>259018.98</v>
      </c>
      <c r="AH82" s="493">
        <v>0</v>
      </c>
      <c r="AI82" s="493">
        <v>0</v>
      </c>
      <c r="AJ82" s="493">
        <v>0</v>
      </c>
      <c r="AK82" s="493">
        <v>0</v>
      </c>
      <c r="AL82" s="493">
        <v>0</v>
      </c>
      <c r="AM82" s="493">
        <v>21646.880000000001</v>
      </c>
      <c r="AN82" s="493">
        <v>4954.38</v>
      </c>
      <c r="AO82" s="493">
        <v>3932839.07</v>
      </c>
      <c r="AP82" s="493">
        <v>0</v>
      </c>
      <c r="AQ82" s="493">
        <v>431195.96</v>
      </c>
      <c r="AR82" s="493">
        <v>103276.49</v>
      </c>
      <c r="AS82" s="493">
        <v>460344.25</v>
      </c>
      <c r="AT82" s="493">
        <v>82797.119999999995</v>
      </c>
      <c r="AU82" s="493">
        <v>2212.73</v>
      </c>
      <c r="AV82" s="493">
        <v>32208.9</v>
      </c>
      <c r="AW82" s="493">
        <v>26326.68</v>
      </c>
      <c r="AX82" s="493">
        <v>872.64</v>
      </c>
      <c r="AY82" s="493">
        <v>0</v>
      </c>
      <c r="AZ82" s="493">
        <v>198470.07</v>
      </c>
      <c r="BA82" s="493">
        <v>3586.11</v>
      </c>
      <c r="BB82" s="493">
        <v>92108.91</v>
      </c>
      <c r="BC82" s="493">
        <v>25516.85</v>
      </c>
      <c r="BD82" s="493">
        <v>181117.77</v>
      </c>
      <c r="BE82" s="493">
        <v>23353.07</v>
      </c>
      <c r="BF82" s="493">
        <v>44225.34</v>
      </c>
      <c r="BG82" s="493">
        <v>170834.65</v>
      </c>
      <c r="BH82" s="493">
        <v>73496.77</v>
      </c>
      <c r="BI82" s="493">
        <v>104751.82</v>
      </c>
      <c r="BJ82" s="493">
        <v>89810.57</v>
      </c>
      <c r="BK82" s="493">
        <v>12151.39</v>
      </c>
      <c r="BL82" s="493">
        <v>8399.6</v>
      </c>
      <c r="BM82" s="493">
        <v>144901.9</v>
      </c>
      <c r="BN82" s="493">
        <v>2116.8000000000002</v>
      </c>
      <c r="BO82" s="493">
        <v>113124.82</v>
      </c>
      <c r="BP82" s="493">
        <v>117003.66</v>
      </c>
      <c r="BQ82" s="493">
        <v>0</v>
      </c>
      <c r="BR82" s="493">
        <v>0</v>
      </c>
      <c r="BS82" s="493">
        <v>0</v>
      </c>
      <c r="BT82" s="493">
        <v>0</v>
      </c>
      <c r="BU82" s="493">
        <v>0</v>
      </c>
      <c r="BV82" s="494">
        <v>43114.36</v>
      </c>
      <c r="BW82" s="493">
        <v>0</v>
      </c>
      <c r="BX82" s="493">
        <v>0</v>
      </c>
      <c r="BY82" s="493">
        <v>6000</v>
      </c>
      <c r="BZ82" s="493">
        <v>0</v>
      </c>
      <c r="CA82" s="493">
        <v>43114.36</v>
      </c>
      <c r="CB82" s="493">
        <v>0</v>
      </c>
      <c r="CC82" s="493">
        <v>0</v>
      </c>
      <c r="CD82" s="493">
        <v>0</v>
      </c>
      <c r="CE82" s="493">
        <v>147955.10999999999</v>
      </c>
      <c r="CF82" s="493">
        <v>0</v>
      </c>
      <c r="CG82" s="493">
        <v>0</v>
      </c>
      <c r="CH82" s="493">
        <v>0</v>
      </c>
      <c r="CI82" s="493">
        <v>0</v>
      </c>
      <c r="CJ82" s="495">
        <f t="shared" si="10"/>
        <v>147955.10999999999</v>
      </c>
      <c r="CK82" s="495">
        <f t="shared" si="11"/>
        <v>0</v>
      </c>
      <c r="CL82" s="495">
        <f t="shared" si="12"/>
        <v>147955.10999999999</v>
      </c>
      <c r="CM82" s="573">
        <f t="shared" si="13"/>
        <v>6247570.0499999998</v>
      </c>
      <c r="CN82" s="573">
        <f t="shared" si="14"/>
        <v>6477043.9400000013</v>
      </c>
      <c r="CO82" s="573">
        <f t="shared" si="15"/>
        <v>5611718.0999999996</v>
      </c>
      <c r="CP82" s="573">
        <f t="shared" si="16"/>
        <v>-229473.89000000153</v>
      </c>
    </row>
    <row r="83" spans="1:94" ht="14.25" customHeight="1">
      <c r="A83" s="491">
        <v>302</v>
      </c>
      <c r="B83" s="491">
        <v>5405</v>
      </c>
      <c r="C83" s="492" t="s">
        <v>115</v>
      </c>
      <c r="D83" s="491" t="s">
        <v>594</v>
      </c>
      <c r="E83" s="491"/>
      <c r="F83" s="491" t="s">
        <v>588</v>
      </c>
      <c r="G83" s="491">
        <v>0</v>
      </c>
      <c r="H83" s="491">
        <v>0</v>
      </c>
      <c r="I83" s="491" t="s">
        <v>717</v>
      </c>
      <c r="J83" s="491" t="s">
        <v>718</v>
      </c>
      <c r="K83" s="491" t="s">
        <v>591</v>
      </c>
      <c r="L83" s="491" t="s">
        <v>592</v>
      </c>
      <c r="M83" s="491" t="s">
        <v>591</v>
      </c>
      <c r="N83" s="491" t="s">
        <v>593</v>
      </c>
      <c r="O83" s="491" t="s">
        <v>188</v>
      </c>
      <c r="P83" s="491" t="s">
        <v>188</v>
      </c>
      <c r="Q83" s="493">
        <v>961936</v>
      </c>
      <c r="R83" s="493">
        <v>-4590</v>
      </c>
      <c r="S83" s="493">
        <v>0</v>
      </c>
      <c r="T83" s="493">
        <v>6068398.1200000001</v>
      </c>
      <c r="U83" s="493">
        <v>1720519.96</v>
      </c>
      <c r="V83" s="493">
        <v>223912.28</v>
      </c>
      <c r="W83" s="493">
        <v>0</v>
      </c>
      <c r="X83" s="493">
        <v>148780.01999999999</v>
      </c>
      <c r="Y83" s="493">
        <v>18068.349999999999</v>
      </c>
      <c r="Z83" s="493">
        <v>8807.39</v>
      </c>
      <c r="AA83" s="493">
        <v>7093.6</v>
      </c>
      <c r="AB83" s="493">
        <v>60056.49</v>
      </c>
      <c r="AC83" s="493">
        <v>418229.01</v>
      </c>
      <c r="AD83" s="493">
        <v>0</v>
      </c>
      <c r="AE83" s="493">
        <v>11450</v>
      </c>
      <c r="AF83" s="493">
        <v>71201.289999999994</v>
      </c>
      <c r="AG83" s="493">
        <v>0</v>
      </c>
      <c r="AH83" s="493">
        <v>0</v>
      </c>
      <c r="AI83" s="493">
        <v>0</v>
      </c>
      <c r="AJ83" s="493">
        <v>0</v>
      </c>
      <c r="AK83" s="493">
        <v>0</v>
      </c>
      <c r="AL83" s="493">
        <v>0</v>
      </c>
      <c r="AM83" s="493">
        <v>42215.5</v>
      </c>
      <c r="AN83" s="493">
        <v>0</v>
      </c>
      <c r="AO83" s="493">
        <v>5084545.9400000004</v>
      </c>
      <c r="AP83" s="493">
        <v>0</v>
      </c>
      <c r="AQ83" s="493">
        <v>812512.61</v>
      </c>
      <c r="AR83" s="493">
        <v>148953.41</v>
      </c>
      <c r="AS83" s="493">
        <v>703742.25</v>
      </c>
      <c r="AT83" s="493">
        <v>194058.63</v>
      </c>
      <c r="AU83" s="493">
        <v>0</v>
      </c>
      <c r="AV83" s="493">
        <v>73575.759999999995</v>
      </c>
      <c r="AW83" s="493">
        <v>9294.7999999999993</v>
      </c>
      <c r="AX83" s="493">
        <v>1288.8</v>
      </c>
      <c r="AY83" s="493">
        <v>0</v>
      </c>
      <c r="AZ83" s="493">
        <v>77912.509999999995</v>
      </c>
      <c r="BA83" s="493">
        <v>45569.21</v>
      </c>
      <c r="BB83" s="493">
        <v>137750.63</v>
      </c>
      <c r="BC83" s="493">
        <v>13546.77</v>
      </c>
      <c r="BD83" s="493">
        <v>210474.83</v>
      </c>
      <c r="BE83" s="493">
        <v>25998.26</v>
      </c>
      <c r="BF83" s="493">
        <v>59961.599999999999</v>
      </c>
      <c r="BG83" s="493">
        <v>230813.55</v>
      </c>
      <c r="BH83" s="493">
        <v>66257.87</v>
      </c>
      <c r="BI83" s="493">
        <v>147256.79</v>
      </c>
      <c r="BJ83" s="493">
        <v>51579.53</v>
      </c>
      <c r="BK83" s="493">
        <v>73478.91</v>
      </c>
      <c r="BL83" s="493">
        <v>0</v>
      </c>
      <c r="BM83" s="493">
        <v>316502.37</v>
      </c>
      <c r="BN83" s="493">
        <v>47729.47</v>
      </c>
      <c r="BO83" s="493">
        <v>141330.25</v>
      </c>
      <c r="BP83" s="493">
        <v>56643.96</v>
      </c>
      <c r="BQ83" s="493">
        <v>0</v>
      </c>
      <c r="BR83" s="493">
        <v>0</v>
      </c>
      <c r="BS83" s="493">
        <v>0</v>
      </c>
      <c r="BT83" s="493">
        <v>0</v>
      </c>
      <c r="BU83" s="493">
        <v>0</v>
      </c>
      <c r="BV83" s="494">
        <v>0</v>
      </c>
      <c r="BW83" s="493">
        <v>0</v>
      </c>
      <c r="BX83" s="493">
        <v>0</v>
      </c>
      <c r="BY83" s="493">
        <v>6000</v>
      </c>
      <c r="BZ83" s="493">
        <v>0</v>
      </c>
      <c r="CA83" s="493">
        <v>0</v>
      </c>
      <c r="CB83" s="493">
        <v>0</v>
      </c>
      <c r="CC83" s="493">
        <v>0</v>
      </c>
      <c r="CD83" s="493">
        <v>0</v>
      </c>
      <c r="CE83" s="493">
        <v>1029889.3</v>
      </c>
      <c r="CF83" s="493">
        <v>0</v>
      </c>
      <c r="CG83" s="493">
        <v>0</v>
      </c>
      <c r="CH83" s="493">
        <v>-4590</v>
      </c>
      <c r="CI83" s="493">
        <v>0</v>
      </c>
      <c r="CJ83" s="495">
        <f t="shared" si="10"/>
        <v>1025299.3</v>
      </c>
      <c r="CK83" s="495">
        <f t="shared" si="11"/>
        <v>0</v>
      </c>
      <c r="CL83" s="495">
        <f t="shared" si="12"/>
        <v>1029889.3</v>
      </c>
      <c r="CM83" s="573">
        <f t="shared" si="13"/>
        <v>8798732.0099999979</v>
      </c>
      <c r="CN83" s="573">
        <f t="shared" si="14"/>
        <v>8730778.7100000009</v>
      </c>
      <c r="CO83" s="573">
        <f t="shared" si="15"/>
        <v>8012830.3600000003</v>
      </c>
      <c r="CP83" s="573">
        <f t="shared" si="16"/>
        <v>67953.29999999702</v>
      </c>
    </row>
    <row r="84" spans="1:94" ht="14.25" customHeight="1">
      <c r="A84" s="491">
        <v>302</v>
      </c>
      <c r="B84" s="491">
        <v>5407</v>
      </c>
      <c r="C84" s="492" t="s">
        <v>120</v>
      </c>
      <c r="D84" s="491" t="s">
        <v>594</v>
      </c>
      <c r="E84" s="491"/>
      <c r="F84" s="491" t="s">
        <v>588</v>
      </c>
      <c r="G84" s="491">
        <v>0</v>
      </c>
      <c r="H84" s="491">
        <v>0</v>
      </c>
      <c r="I84" s="491" t="s">
        <v>717</v>
      </c>
      <c r="J84" s="491" t="s">
        <v>718</v>
      </c>
      <c r="K84" s="491" t="s">
        <v>591</v>
      </c>
      <c r="L84" s="491" t="s">
        <v>592</v>
      </c>
      <c r="M84" s="491" t="s">
        <v>591</v>
      </c>
      <c r="N84" s="491" t="s">
        <v>593</v>
      </c>
      <c r="O84" s="491" t="s">
        <v>188</v>
      </c>
      <c r="P84" s="491" t="s">
        <v>188</v>
      </c>
      <c r="Q84" s="493">
        <v>724053</v>
      </c>
      <c r="R84" s="493">
        <v>0</v>
      </c>
      <c r="S84" s="493">
        <v>0</v>
      </c>
      <c r="T84" s="493">
        <v>7835638.4299999997</v>
      </c>
      <c r="U84" s="493">
        <v>1054562.68</v>
      </c>
      <c r="V84" s="493">
        <v>228163.13</v>
      </c>
      <c r="W84" s="493">
        <v>0</v>
      </c>
      <c r="X84" s="493">
        <v>292795</v>
      </c>
      <c r="Y84" s="493">
        <v>35874.32</v>
      </c>
      <c r="Z84" s="493">
        <v>23200.09</v>
      </c>
      <c r="AA84" s="493">
        <v>0</v>
      </c>
      <c r="AB84" s="493">
        <v>29749.360000000001</v>
      </c>
      <c r="AC84" s="493">
        <v>0</v>
      </c>
      <c r="AD84" s="493">
        <v>0</v>
      </c>
      <c r="AE84" s="493">
        <v>0</v>
      </c>
      <c r="AF84" s="493">
        <v>52914.66</v>
      </c>
      <c r="AG84" s="493">
        <v>79350.12</v>
      </c>
      <c r="AH84" s="493">
        <v>0</v>
      </c>
      <c r="AI84" s="493">
        <v>0</v>
      </c>
      <c r="AJ84" s="493">
        <v>0</v>
      </c>
      <c r="AK84" s="493">
        <v>0</v>
      </c>
      <c r="AL84" s="493">
        <v>0</v>
      </c>
      <c r="AM84" s="493">
        <v>106821.75999999999</v>
      </c>
      <c r="AN84" s="493">
        <v>0</v>
      </c>
      <c r="AO84" s="493">
        <v>5201992.67</v>
      </c>
      <c r="AP84" s="493">
        <v>0</v>
      </c>
      <c r="AQ84" s="493">
        <v>1138769.17</v>
      </c>
      <c r="AR84" s="493">
        <v>156684.28</v>
      </c>
      <c r="AS84" s="493">
        <v>470125.06</v>
      </c>
      <c r="AT84" s="493">
        <v>0</v>
      </c>
      <c r="AU84" s="493">
        <v>66888.070000000007</v>
      </c>
      <c r="AV84" s="493">
        <v>205796.3</v>
      </c>
      <c r="AW84" s="493">
        <v>19610.22</v>
      </c>
      <c r="AX84" s="493">
        <v>1548</v>
      </c>
      <c r="AY84" s="493">
        <v>4761.45</v>
      </c>
      <c r="AZ84" s="493">
        <v>49515.15</v>
      </c>
      <c r="BA84" s="493">
        <v>10548.29</v>
      </c>
      <c r="BB84" s="493">
        <v>178699.78</v>
      </c>
      <c r="BC84" s="493">
        <v>14454.34</v>
      </c>
      <c r="BD84" s="493">
        <v>477834.7</v>
      </c>
      <c r="BE84" s="493">
        <v>36442</v>
      </c>
      <c r="BF84" s="493">
        <v>107039.09</v>
      </c>
      <c r="BG84" s="493">
        <v>209738.25</v>
      </c>
      <c r="BH84" s="493">
        <v>84284.17</v>
      </c>
      <c r="BI84" s="493">
        <v>146246.75</v>
      </c>
      <c r="BJ84" s="493">
        <v>191870.63</v>
      </c>
      <c r="BK84" s="493">
        <v>54549.03</v>
      </c>
      <c r="BL84" s="493">
        <v>2038.96</v>
      </c>
      <c r="BM84" s="493">
        <v>84434.57</v>
      </c>
      <c r="BN84" s="493">
        <v>231514.1</v>
      </c>
      <c r="BO84" s="493">
        <v>467282.49</v>
      </c>
      <c r="BP84" s="493">
        <v>133696.66</v>
      </c>
      <c r="BQ84" s="493">
        <v>0</v>
      </c>
      <c r="BR84" s="493">
        <v>0</v>
      </c>
      <c r="BS84" s="493">
        <v>200000</v>
      </c>
      <c r="BT84" s="493">
        <v>0</v>
      </c>
      <c r="BU84" s="493">
        <v>0</v>
      </c>
      <c r="BV84" s="494">
        <v>0</v>
      </c>
      <c r="BW84" s="493">
        <v>0</v>
      </c>
      <c r="BX84" s="493">
        <v>0</v>
      </c>
      <c r="BY84" s="493">
        <v>6000</v>
      </c>
      <c r="BZ84" s="493">
        <v>0</v>
      </c>
      <c r="CA84" s="493">
        <v>0</v>
      </c>
      <c r="CB84" s="493">
        <v>0</v>
      </c>
      <c r="CC84" s="493">
        <v>0</v>
      </c>
      <c r="CD84" s="493">
        <v>0</v>
      </c>
      <c r="CE84" s="493">
        <v>516758.37</v>
      </c>
      <c r="CF84" s="493">
        <v>0</v>
      </c>
      <c r="CG84" s="493">
        <v>0</v>
      </c>
      <c r="CH84" s="493">
        <v>0</v>
      </c>
      <c r="CI84" s="493">
        <v>0</v>
      </c>
      <c r="CJ84" s="495">
        <f t="shared" si="10"/>
        <v>516758.37</v>
      </c>
      <c r="CK84" s="495">
        <f t="shared" si="11"/>
        <v>0</v>
      </c>
      <c r="CL84" s="495">
        <f t="shared" si="12"/>
        <v>516758.37</v>
      </c>
      <c r="CM84" s="573">
        <f t="shared" si="13"/>
        <v>9739069.5499999989</v>
      </c>
      <c r="CN84" s="573">
        <f t="shared" si="14"/>
        <v>9946364.1800000016</v>
      </c>
      <c r="CO84" s="573">
        <f t="shared" si="15"/>
        <v>9118364.2400000002</v>
      </c>
      <c r="CP84" s="573">
        <f t="shared" si="16"/>
        <v>-207294.63000000268</v>
      </c>
    </row>
    <row r="85" spans="1:94" ht="14.25" customHeight="1">
      <c r="A85" s="491">
        <v>302</v>
      </c>
      <c r="B85" s="491">
        <v>5427</v>
      </c>
      <c r="C85" s="492" t="s">
        <v>315</v>
      </c>
      <c r="D85" s="491" t="s">
        <v>594</v>
      </c>
      <c r="E85" s="491"/>
      <c r="F85" s="491" t="s">
        <v>588</v>
      </c>
      <c r="G85" s="491">
        <v>0</v>
      </c>
      <c r="H85" s="491">
        <v>1</v>
      </c>
      <c r="I85" s="491" t="s">
        <v>717</v>
      </c>
      <c r="J85" s="491" t="s">
        <v>718</v>
      </c>
      <c r="K85" s="491" t="s">
        <v>591</v>
      </c>
      <c r="L85" s="491" t="s">
        <v>592</v>
      </c>
      <c r="M85" s="491" t="s">
        <v>591</v>
      </c>
      <c r="N85" s="491" t="s">
        <v>593</v>
      </c>
      <c r="O85" s="491" t="s">
        <v>188</v>
      </c>
      <c r="P85" s="491" t="s">
        <v>188</v>
      </c>
      <c r="Q85" s="493">
        <v>7936</v>
      </c>
      <c r="R85" s="493">
        <v>0</v>
      </c>
      <c r="S85" s="493">
        <v>0</v>
      </c>
      <c r="T85" s="493">
        <v>7573684.8799999999</v>
      </c>
      <c r="U85" s="493">
        <v>1896856.04</v>
      </c>
      <c r="V85" s="493">
        <v>1610769.05</v>
      </c>
      <c r="W85" s="493">
        <v>0</v>
      </c>
      <c r="X85" s="493">
        <v>70150</v>
      </c>
      <c r="Y85" s="493">
        <v>204742.84</v>
      </c>
      <c r="Z85" s="493">
        <v>1888.84</v>
      </c>
      <c r="AA85" s="493">
        <v>17286.5</v>
      </c>
      <c r="AB85" s="493">
        <v>0</v>
      </c>
      <c r="AC85" s="493">
        <v>48000</v>
      </c>
      <c r="AD85" s="493">
        <v>0</v>
      </c>
      <c r="AE85" s="493">
        <v>0</v>
      </c>
      <c r="AF85" s="493">
        <v>1431076.06</v>
      </c>
      <c r="AG85" s="493">
        <v>1833225.64</v>
      </c>
      <c r="AH85" s="493">
        <v>0</v>
      </c>
      <c r="AI85" s="493">
        <v>0</v>
      </c>
      <c r="AJ85" s="493">
        <v>0</v>
      </c>
      <c r="AK85" s="493">
        <v>0</v>
      </c>
      <c r="AL85" s="493">
        <v>0</v>
      </c>
      <c r="AM85" s="493">
        <v>0</v>
      </c>
      <c r="AN85" s="493">
        <v>45747.75</v>
      </c>
      <c r="AO85" s="493">
        <v>7677563.9400000004</v>
      </c>
      <c r="AP85" s="493">
        <v>34566.65</v>
      </c>
      <c r="AQ85" s="493">
        <v>2099025.0499999998</v>
      </c>
      <c r="AR85" s="493">
        <v>184282.98</v>
      </c>
      <c r="AS85" s="493">
        <v>970778.99</v>
      </c>
      <c r="AT85" s="493">
        <v>0</v>
      </c>
      <c r="AU85" s="493">
        <v>157439.03</v>
      </c>
      <c r="AV85" s="493">
        <v>79318.070000000007</v>
      </c>
      <c r="AW85" s="493">
        <v>18074.57</v>
      </c>
      <c r="AX85" s="493">
        <v>1429.92</v>
      </c>
      <c r="AY85" s="493">
        <v>0</v>
      </c>
      <c r="AZ85" s="493">
        <v>222873.94</v>
      </c>
      <c r="BA85" s="493">
        <v>23581.91</v>
      </c>
      <c r="BB85" s="493">
        <v>186040.25</v>
      </c>
      <c r="BC85" s="493">
        <v>13636.05</v>
      </c>
      <c r="BD85" s="493">
        <v>172106.27</v>
      </c>
      <c r="BE85" s="493">
        <v>53560</v>
      </c>
      <c r="BF85" s="493">
        <v>165451.21</v>
      </c>
      <c r="BG85" s="493">
        <v>607114.54</v>
      </c>
      <c r="BH85" s="493">
        <v>168494.54</v>
      </c>
      <c r="BI85" s="493">
        <v>262640.21999999997</v>
      </c>
      <c r="BJ85" s="493">
        <v>72130.09</v>
      </c>
      <c r="BK85" s="493">
        <v>9503.83</v>
      </c>
      <c r="BL85" s="493">
        <v>0</v>
      </c>
      <c r="BM85" s="493">
        <v>21563.34</v>
      </c>
      <c r="BN85" s="493">
        <v>77803.62</v>
      </c>
      <c r="BO85" s="493">
        <v>499650.73</v>
      </c>
      <c r="BP85" s="493">
        <v>901411.83999999997</v>
      </c>
      <c r="BQ85" s="493">
        <v>0</v>
      </c>
      <c r="BR85" s="493">
        <v>0</v>
      </c>
      <c r="BS85" s="493">
        <v>0</v>
      </c>
      <c r="BT85" s="493">
        <v>0</v>
      </c>
      <c r="BU85" s="493">
        <v>0</v>
      </c>
      <c r="BV85" s="494">
        <v>0</v>
      </c>
      <c r="BW85" s="493">
        <v>0</v>
      </c>
      <c r="BX85" s="493">
        <v>0</v>
      </c>
      <c r="BY85" s="493">
        <v>6000</v>
      </c>
      <c r="BZ85" s="493">
        <v>0</v>
      </c>
      <c r="CA85" s="493">
        <v>0</v>
      </c>
      <c r="CB85" s="493">
        <v>0</v>
      </c>
      <c r="CC85" s="493">
        <v>0</v>
      </c>
      <c r="CD85" s="493">
        <v>0</v>
      </c>
      <c r="CE85" s="493">
        <v>61322.02</v>
      </c>
      <c r="CF85" s="493">
        <v>0</v>
      </c>
      <c r="CG85" s="493">
        <v>0</v>
      </c>
      <c r="CH85" s="493">
        <v>0</v>
      </c>
      <c r="CI85" s="493">
        <v>0</v>
      </c>
      <c r="CJ85" s="495">
        <f t="shared" si="10"/>
        <v>61322.02</v>
      </c>
      <c r="CK85" s="495">
        <f t="shared" si="11"/>
        <v>0</v>
      </c>
      <c r="CL85" s="495">
        <f t="shared" si="12"/>
        <v>61322.02</v>
      </c>
      <c r="CM85" s="573">
        <f t="shared" si="13"/>
        <v>14733427.600000001</v>
      </c>
      <c r="CN85" s="573">
        <f t="shared" si="14"/>
        <v>14680041.58</v>
      </c>
      <c r="CO85" s="573">
        <f t="shared" si="15"/>
        <v>11081309.970000001</v>
      </c>
      <c r="CP85" s="573">
        <f t="shared" si="16"/>
        <v>53386.020000001416</v>
      </c>
    </row>
    <row r="86" spans="1:94" ht="27.6">
      <c r="A86" s="491">
        <v>302</v>
      </c>
      <c r="B86" s="491">
        <v>5948</v>
      </c>
      <c r="C86" s="492" t="s">
        <v>735</v>
      </c>
      <c r="D86" s="491" t="s">
        <v>594</v>
      </c>
      <c r="E86" s="491"/>
      <c r="F86" s="491" t="s">
        <v>588</v>
      </c>
      <c r="G86" s="491">
        <v>0</v>
      </c>
      <c r="H86" s="491">
        <v>0</v>
      </c>
      <c r="I86" s="491" t="s">
        <v>717</v>
      </c>
      <c r="J86" s="491" t="s">
        <v>718</v>
      </c>
      <c r="K86" s="491" t="s">
        <v>591</v>
      </c>
      <c r="L86" s="491" t="s">
        <v>592</v>
      </c>
      <c r="M86" s="491" t="s">
        <v>591</v>
      </c>
      <c r="N86" s="491" t="s">
        <v>593</v>
      </c>
      <c r="O86" s="491" t="s">
        <v>188</v>
      </c>
      <c r="P86" s="491" t="s">
        <v>188</v>
      </c>
      <c r="Q86" s="493">
        <v>-52450</v>
      </c>
      <c r="R86" s="493">
        <v>0</v>
      </c>
      <c r="S86" s="493">
        <v>0</v>
      </c>
      <c r="T86" s="493">
        <v>1157696.45</v>
      </c>
      <c r="U86" s="493">
        <v>0</v>
      </c>
      <c r="V86" s="493">
        <v>23548.07</v>
      </c>
      <c r="W86" s="493">
        <v>0</v>
      </c>
      <c r="X86" s="493">
        <v>5820.04</v>
      </c>
      <c r="Y86" s="493">
        <v>52227.94</v>
      </c>
      <c r="Z86" s="493">
        <v>0</v>
      </c>
      <c r="AA86" s="493">
        <v>0</v>
      </c>
      <c r="AB86" s="493">
        <v>94941.59</v>
      </c>
      <c r="AC86" s="493">
        <v>0</v>
      </c>
      <c r="AD86" s="493">
        <v>4468.66</v>
      </c>
      <c r="AE86" s="493">
        <v>0</v>
      </c>
      <c r="AF86" s="493">
        <v>54177.41</v>
      </c>
      <c r="AG86" s="493">
        <v>270673.57</v>
      </c>
      <c r="AH86" s="493">
        <v>0</v>
      </c>
      <c r="AI86" s="493">
        <v>0</v>
      </c>
      <c r="AJ86" s="493">
        <v>0</v>
      </c>
      <c r="AK86" s="493">
        <v>0</v>
      </c>
      <c r="AL86" s="493">
        <v>0</v>
      </c>
      <c r="AM86" s="493">
        <v>0</v>
      </c>
      <c r="AN86" s="493">
        <v>86961.04</v>
      </c>
      <c r="AO86" s="493">
        <v>813218.9</v>
      </c>
      <c r="AP86" s="493">
        <v>0</v>
      </c>
      <c r="AQ86" s="493">
        <v>289880.38</v>
      </c>
      <c r="AR86" s="493">
        <v>21276.03</v>
      </c>
      <c r="AS86" s="493">
        <v>92351.55</v>
      </c>
      <c r="AT86" s="493">
        <v>0</v>
      </c>
      <c r="AU86" s="493">
        <v>9002.23</v>
      </c>
      <c r="AV86" s="493">
        <v>958.4</v>
      </c>
      <c r="AW86" s="493">
        <v>7513.45</v>
      </c>
      <c r="AX86" s="493">
        <v>0</v>
      </c>
      <c r="AY86" s="493">
        <v>9001.33</v>
      </c>
      <c r="AZ86" s="493">
        <v>16662.849999999999</v>
      </c>
      <c r="BA86" s="493">
        <v>0</v>
      </c>
      <c r="BB86" s="493">
        <v>32150.13</v>
      </c>
      <c r="BC86" s="493">
        <v>8694.59</v>
      </c>
      <c r="BD86" s="493">
        <v>30113</v>
      </c>
      <c r="BE86" s="493">
        <v>16972.8</v>
      </c>
      <c r="BF86" s="493">
        <v>73675.44</v>
      </c>
      <c r="BG86" s="493">
        <v>79192.09</v>
      </c>
      <c r="BH86" s="493">
        <v>37185.56</v>
      </c>
      <c r="BI86" s="493">
        <v>0</v>
      </c>
      <c r="BJ86" s="493">
        <v>17257.66</v>
      </c>
      <c r="BK86" s="493">
        <v>7509.17</v>
      </c>
      <c r="BL86" s="493">
        <v>6003.21</v>
      </c>
      <c r="BM86" s="493">
        <v>77409.149999999994</v>
      </c>
      <c r="BN86" s="493">
        <v>0</v>
      </c>
      <c r="BO86" s="493">
        <v>15642.11</v>
      </c>
      <c r="BP86" s="493">
        <v>30142.21</v>
      </c>
      <c r="BQ86" s="493">
        <v>0</v>
      </c>
      <c r="BR86" s="493">
        <v>0</v>
      </c>
      <c r="BS86" s="493">
        <v>0</v>
      </c>
      <c r="BT86" s="493">
        <v>0</v>
      </c>
      <c r="BU86" s="493">
        <v>0</v>
      </c>
      <c r="BV86" s="494">
        <v>0</v>
      </c>
      <c r="BW86" s="493">
        <v>0</v>
      </c>
      <c r="BX86" s="493">
        <v>0</v>
      </c>
      <c r="BY86" s="493">
        <v>6000</v>
      </c>
      <c r="BZ86" s="493">
        <v>0</v>
      </c>
      <c r="CA86" s="493">
        <v>0</v>
      </c>
      <c r="CB86" s="493">
        <v>0</v>
      </c>
      <c r="CC86" s="493">
        <v>0</v>
      </c>
      <c r="CD86" s="493">
        <v>0</v>
      </c>
      <c r="CE86" s="493">
        <v>6252.53</v>
      </c>
      <c r="CF86" s="493">
        <v>0</v>
      </c>
      <c r="CG86" s="493">
        <v>0</v>
      </c>
      <c r="CH86" s="493">
        <v>0</v>
      </c>
      <c r="CI86" s="493">
        <v>0</v>
      </c>
      <c r="CJ86" s="495">
        <f t="shared" si="10"/>
        <v>6252.53</v>
      </c>
      <c r="CK86" s="495">
        <f t="shared" si="11"/>
        <v>0</v>
      </c>
      <c r="CL86" s="495">
        <f t="shared" si="12"/>
        <v>6252.53</v>
      </c>
      <c r="CM86" s="573">
        <f t="shared" si="13"/>
        <v>1750514.77</v>
      </c>
      <c r="CN86" s="573">
        <f t="shared" si="14"/>
        <v>1691812.24</v>
      </c>
      <c r="CO86" s="573">
        <f t="shared" si="15"/>
        <v>1181244.52</v>
      </c>
      <c r="CP86" s="573">
        <f t="shared" si="16"/>
        <v>58702.530000000028</v>
      </c>
    </row>
    <row r="87" spans="1:94" ht="14.25" customHeight="1">
      <c r="A87" s="491">
        <v>302</v>
      </c>
      <c r="B87" s="491">
        <v>5949</v>
      </c>
      <c r="C87" s="492" t="s">
        <v>76</v>
      </c>
      <c r="D87" s="491" t="s">
        <v>594</v>
      </c>
      <c r="E87" s="491"/>
      <c r="F87" s="491" t="s">
        <v>588</v>
      </c>
      <c r="G87" s="491">
        <v>0</v>
      </c>
      <c r="H87" s="491">
        <v>1</v>
      </c>
      <c r="I87" s="491" t="s">
        <v>717</v>
      </c>
      <c r="J87" s="491" t="s">
        <v>718</v>
      </c>
      <c r="K87" s="491" t="s">
        <v>591</v>
      </c>
      <c r="L87" s="491" t="s">
        <v>592</v>
      </c>
      <c r="M87" s="491" t="s">
        <v>591</v>
      </c>
      <c r="N87" s="491" t="s">
        <v>593</v>
      </c>
      <c r="O87" s="491" t="s">
        <v>188</v>
      </c>
      <c r="P87" s="491" t="s">
        <v>188</v>
      </c>
      <c r="Q87" s="493">
        <v>-33328</v>
      </c>
      <c r="R87" s="493">
        <v>0</v>
      </c>
      <c r="S87" s="493">
        <v>0</v>
      </c>
      <c r="T87" s="493">
        <v>1793647.68</v>
      </c>
      <c r="U87" s="493">
        <v>0</v>
      </c>
      <c r="V87" s="493">
        <v>35903.769999999997</v>
      </c>
      <c r="W87" s="493">
        <v>0</v>
      </c>
      <c r="X87" s="493">
        <v>20370.02</v>
      </c>
      <c r="Y87" s="493">
        <v>0</v>
      </c>
      <c r="Z87" s="493">
        <v>95239.71</v>
      </c>
      <c r="AA87" s="493">
        <v>0</v>
      </c>
      <c r="AB87" s="493">
        <v>0</v>
      </c>
      <c r="AC87" s="493">
        <v>2863.13</v>
      </c>
      <c r="AD87" s="493">
        <v>0</v>
      </c>
      <c r="AE87" s="493">
        <v>0</v>
      </c>
      <c r="AF87" s="493">
        <v>16102.1</v>
      </c>
      <c r="AG87" s="493">
        <v>1128517.94</v>
      </c>
      <c r="AH87" s="493">
        <v>0</v>
      </c>
      <c r="AI87" s="493">
        <v>0</v>
      </c>
      <c r="AJ87" s="493">
        <v>0</v>
      </c>
      <c r="AK87" s="493">
        <v>0</v>
      </c>
      <c r="AL87" s="493">
        <v>0</v>
      </c>
      <c r="AM87" s="493">
        <v>3170</v>
      </c>
      <c r="AN87" s="493">
        <v>80384</v>
      </c>
      <c r="AO87" s="493">
        <v>1086138.5900000001</v>
      </c>
      <c r="AP87" s="493">
        <v>0</v>
      </c>
      <c r="AQ87" s="493">
        <v>1148530.73</v>
      </c>
      <c r="AR87" s="493">
        <v>59962.09</v>
      </c>
      <c r="AS87" s="493">
        <v>115836.9</v>
      </c>
      <c r="AT87" s="493">
        <v>0</v>
      </c>
      <c r="AU87" s="493">
        <v>11298.86</v>
      </c>
      <c r="AV87" s="493">
        <v>17478.98</v>
      </c>
      <c r="AW87" s="493">
        <v>38154.51</v>
      </c>
      <c r="AX87" s="493">
        <v>569.38</v>
      </c>
      <c r="AY87" s="493">
        <v>0</v>
      </c>
      <c r="AZ87" s="493">
        <v>17175.21</v>
      </c>
      <c r="BA87" s="493">
        <v>0</v>
      </c>
      <c r="BB87" s="493">
        <v>83947.92</v>
      </c>
      <c r="BC87" s="493">
        <v>3299.26</v>
      </c>
      <c r="BD87" s="493">
        <v>63052.65</v>
      </c>
      <c r="BE87" s="493">
        <v>38376</v>
      </c>
      <c r="BF87" s="493">
        <v>11202.7</v>
      </c>
      <c r="BG87" s="493">
        <v>136392.53</v>
      </c>
      <c r="BH87" s="493">
        <v>16686.28</v>
      </c>
      <c r="BI87" s="493">
        <v>0</v>
      </c>
      <c r="BJ87" s="493">
        <v>13775.56</v>
      </c>
      <c r="BK87" s="493">
        <v>22149.01</v>
      </c>
      <c r="BL87" s="493">
        <v>330</v>
      </c>
      <c r="BM87" s="493">
        <v>36486.86</v>
      </c>
      <c r="BN87" s="493">
        <v>63643</v>
      </c>
      <c r="BO87" s="493">
        <v>34567.980000000003</v>
      </c>
      <c r="BP87" s="493">
        <v>0</v>
      </c>
      <c r="BQ87" s="493">
        <v>143688.70000000001</v>
      </c>
      <c r="BR87" s="493">
        <v>0</v>
      </c>
      <c r="BS87" s="493">
        <v>0</v>
      </c>
      <c r="BT87" s="493">
        <v>0</v>
      </c>
      <c r="BU87" s="493">
        <v>0</v>
      </c>
      <c r="BV87" s="494">
        <v>0</v>
      </c>
      <c r="BW87" s="493">
        <v>0</v>
      </c>
      <c r="BX87" s="493">
        <v>0</v>
      </c>
      <c r="BY87" s="493">
        <v>6000</v>
      </c>
      <c r="BZ87" s="493">
        <v>0</v>
      </c>
      <c r="CA87" s="493">
        <v>0</v>
      </c>
      <c r="CB87" s="493">
        <v>0</v>
      </c>
      <c r="CC87" s="493">
        <v>0</v>
      </c>
      <c r="CD87" s="493">
        <v>0</v>
      </c>
      <c r="CE87" s="493">
        <v>-19873.349999999999</v>
      </c>
      <c r="CF87" s="493">
        <v>0</v>
      </c>
      <c r="CG87" s="493">
        <v>0</v>
      </c>
      <c r="CH87" s="493">
        <v>0</v>
      </c>
      <c r="CI87" s="493">
        <v>0</v>
      </c>
      <c r="CJ87" s="495">
        <f t="shared" si="10"/>
        <v>-19873.349999999999</v>
      </c>
      <c r="CK87" s="495">
        <f t="shared" si="11"/>
        <v>0</v>
      </c>
      <c r="CL87" s="495">
        <f t="shared" si="12"/>
        <v>-19873.349999999999</v>
      </c>
      <c r="CM87" s="573">
        <f t="shared" si="13"/>
        <v>3176198.3499999996</v>
      </c>
      <c r="CN87" s="573">
        <f t="shared" si="14"/>
        <v>3162743.6999999988</v>
      </c>
      <c r="CO87" s="573">
        <f t="shared" si="15"/>
        <v>1829551.45</v>
      </c>
      <c r="CP87" s="573">
        <f t="shared" si="16"/>
        <v>13454.650000000838</v>
      </c>
    </row>
    <row r="88" spans="1:94" ht="14.25" customHeight="1">
      <c r="A88" s="491">
        <v>302</v>
      </c>
      <c r="B88" s="491">
        <v>7005</v>
      </c>
      <c r="C88" s="492" t="s">
        <v>125</v>
      </c>
      <c r="D88" s="491" t="s">
        <v>594</v>
      </c>
      <c r="E88" s="491"/>
      <c r="F88" s="491" t="s">
        <v>588</v>
      </c>
      <c r="G88" s="491">
        <v>0</v>
      </c>
      <c r="H88" s="491">
        <v>0</v>
      </c>
      <c r="I88" s="491" t="s">
        <v>717</v>
      </c>
      <c r="J88" s="491" t="s">
        <v>718</v>
      </c>
      <c r="K88" s="491" t="s">
        <v>591</v>
      </c>
      <c r="L88" s="491" t="s">
        <v>592</v>
      </c>
      <c r="M88" s="491" t="s">
        <v>591</v>
      </c>
      <c r="N88" s="491" t="s">
        <v>593</v>
      </c>
      <c r="O88" s="491" t="s">
        <v>188</v>
      </c>
      <c r="P88" s="491" t="s">
        <v>188</v>
      </c>
      <c r="Q88" s="493">
        <v>343065</v>
      </c>
      <c r="R88" s="493">
        <v>0</v>
      </c>
      <c r="S88" s="493">
        <v>0</v>
      </c>
      <c r="T88" s="493">
        <v>1766125.01</v>
      </c>
      <c r="U88" s="493">
        <v>0</v>
      </c>
      <c r="V88" s="493">
        <v>1997116.79</v>
      </c>
      <c r="W88" s="493">
        <v>0</v>
      </c>
      <c r="X88" s="493">
        <v>76890.02</v>
      </c>
      <c r="Y88" s="493">
        <v>10645</v>
      </c>
      <c r="Z88" s="493">
        <v>13432.32</v>
      </c>
      <c r="AA88" s="493">
        <v>26138</v>
      </c>
      <c r="AB88" s="493">
        <v>21806.080000000002</v>
      </c>
      <c r="AC88" s="493">
        <v>4101.8999999999996</v>
      </c>
      <c r="AD88" s="493">
        <v>0</v>
      </c>
      <c r="AE88" s="493">
        <v>0</v>
      </c>
      <c r="AF88" s="493">
        <v>230</v>
      </c>
      <c r="AG88" s="493">
        <v>15627.73</v>
      </c>
      <c r="AH88" s="493">
        <v>0</v>
      </c>
      <c r="AI88" s="493">
        <v>0</v>
      </c>
      <c r="AJ88" s="493">
        <v>0</v>
      </c>
      <c r="AK88" s="493">
        <v>0</v>
      </c>
      <c r="AL88" s="493">
        <v>0</v>
      </c>
      <c r="AM88" s="493">
        <v>83661.56</v>
      </c>
      <c r="AN88" s="493">
        <v>35379</v>
      </c>
      <c r="AO88" s="493">
        <v>1375854.72</v>
      </c>
      <c r="AP88" s="493">
        <v>0</v>
      </c>
      <c r="AQ88" s="493">
        <v>1234680.0900000001</v>
      </c>
      <c r="AR88" s="493">
        <v>54971.98</v>
      </c>
      <c r="AS88" s="493">
        <v>148173.51</v>
      </c>
      <c r="AT88" s="493">
        <v>0</v>
      </c>
      <c r="AU88" s="493">
        <v>25014.87</v>
      </c>
      <c r="AV88" s="493">
        <v>13707.76</v>
      </c>
      <c r="AW88" s="493">
        <v>16697.060000000001</v>
      </c>
      <c r="AX88" s="493">
        <v>0</v>
      </c>
      <c r="AY88" s="493">
        <v>0</v>
      </c>
      <c r="AZ88" s="493">
        <v>67798.149999999994</v>
      </c>
      <c r="BA88" s="493">
        <v>6666.31</v>
      </c>
      <c r="BB88" s="493">
        <v>52937.74</v>
      </c>
      <c r="BC88" s="493">
        <v>7400.6</v>
      </c>
      <c r="BD88" s="493">
        <v>141688.84</v>
      </c>
      <c r="BE88" s="493">
        <v>0</v>
      </c>
      <c r="BF88" s="493">
        <v>18234.29</v>
      </c>
      <c r="BG88" s="493">
        <v>86076.94</v>
      </c>
      <c r="BH88" s="493">
        <v>23416.76</v>
      </c>
      <c r="BI88" s="493">
        <v>0</v>
      </c>
      <c r="BJ88" s="493">
        <v>13116.67</v>
      </c>
      <c r="BK88" s="493">
        <v>6412</v>
      </c>
      <c r="BL88" s="493">
        <v>0</v>
      </c>
      <c r="BM88" s="493">
        <v>66699.570000000007</v>
      </c>
      <c r="BN88" s="493">
        <v>45118</v>
      </c>
      <c r="BO88" s="493">
        <v>827377.81</v>
      </c>
      <c r="BP88" s="493">
        <v>49947.92</v>
      </c>
      <c r="BQ88" s="493">
        <v>0</v>
      </c>
      <c r="BR88" s="493">
        <v>0</v>
      </c>
      <c r="BS88" s="493">
        <v>17965.5</v>
      </c>
      <c r="BT88" s="493">
        <v>0</v>
      </c>
      <c r="BU88" s="493">
        <v>0</v>
      </c>
      <c r="BV88" s="494">
        <v>10277.5</v>
      </c>
      <c r="BW88" s="493">
        <v>33500</v>
      </c>
      <c r="BX88" s="493">
        <v>17965.5</v>
      </c>
      <c r="BY88" s="493">
        <v>6000</v>
      </c>
      <c r="BZ88" s="493">
        <v>0</v>
      </c>
      <c r="CA88" s="493">
        <v>21667</v>
      </c>
      <c r="CB88" s="493">
        <v>33500</v>
      </c>
      <c r="CC88" s="493">
        <v>6576</v>
      </c>
      <c r="CD88" s="493">
        <v>0</v>
      </c>
      <c r="CE88" s="493">
        <v>94261.32</v>
      </c>
      <c r="CF88" s="493">
        <v>0</v>
      </c>
      <c r="CG88" s="493">
        <v>0</v>
      </c>
      <c r="CH88" s="493">
        <v>0</v>
      </c>
      <c r="CI88" s="493">
        <v>0</v>
      </c>
      <c r="CJ88" s="495">
        <f t="shared" si="10"/>
        <v>94261.32</v>
      </c>
      <c r="CK88" s="495">
        <f t="shared" si="11"/>
        <v>0</v>
      </c>
      <c r="CL88" s="495">
        <f t="shared" si="12"/>
        <v>94261.32</v>
      </c>
      <c r="CM88" s="573">
        <f t="shared" si="13"/>
        <v>4051153.4099999997</v>
      </c>
      <c r="CN88" s="573">
        <f t="shared" si="14"/>
        <v>4299957.09</v>
      </c>
      <c r="CO88" s="573">
        <f t="shared" si="15"/>
        <v>3763241.8</v>
      </c>
      <c r="CP88" s="573">
        <f t="shared" si="16"/>
        <v>-248803.68000000017</v>
      </c>
    </row>
    <row r="89" spans="1:94" ht="27.6">
      <c r="A89" s="491">
        <v>302</v>
      </c>
      <c r="B89" s="491">
        <v>7009</v>
      </c>
      <c r="C89" s="492" t="s">
        <v>430</v>
      </c>
      <c r="D89" s="491" t="s">
        <v>594</v>
      </c>
      <c r="E89" s="491"/>
      <c r="F89" s="491" t="s">
        <v>588</v>
      </c>
      <c r="G89" s="491">
        <v>0</v>
      </c>
      <c r="H89" s="491">
        <v>1</v>
      </c>
      <c r="I89" s="491" t="s">
        <v>717</v>
      </c>
      <c r="J89" s="491" t="s">
        <v>718</v>
      </c>
      <c r="K89" s="491" t="s">
        <v>591</v>
      </c>
      <c r="L89" s="491" t="s">
        <v>592</v>
      </c>
      <c r="M89" s="491" t="s">
        <v>591</v>
      </c>
      <c r="N89" s="491" t="s">
        <v>593</v>
      </c>
      <c r="O89" s="491" t="s">
        <v>188</v>
      </c>
      <c r="P89" s="491" t="s">
        <v>188</v>
      </c>
      <c r="Q89" s="493">
        <v>228591</v>
      </c>
      <c r="R89" s="493">
        <v>0</v>
      </c>
      <c r="S89" s="493">
        <v>52315</v>
      </c>
      <c r="T89" s="493">
        <v>1883688.04</v>
      </c>
      <c r="U89" s="493">
        <v>0</v>
      </c>
      <c r="V89" s="493">
        <v>2720830.54</v>
      </c>
      <c r="W89" s="493">
        <v>0</v>
      </c>
      <c r="X89" s="493">
        <v>94774.98</v>
      </c>
      <c r="Y89" s="493">
        <v>1200</v>
      </c>
      <c r="Z89" s="493">
        <v>15432</v>
      </c>
      <c r="AA89" s="493">
        <v>4837.8500000000004</v>
      </c>
      <c r="AB89" s="493">
        <v>731008</v>
      </c>
      <c r="AC89" s="493">
        <v>2185.59</v>
      </c>
      <c r="AD89" s="493">
        <v>0</v>
      </c>
      <c r="AE89" s="493">
        <v>0</v>
      </c>
      <c r="AF89" s="493">
        <v>1900.95</v>
      </c>
      <c r="AG89" s="493">
        <v>25134.48</v>
      </c>
      <c r="AH89" s="493">
        <v>0</v>
      </c>
      <c r="AI89" s="493">
        <v>0</v>
      </c>
      <c r="AJ89" s="493">
        <v>0</v>
      </c>
      <c r="AK89" s="493">
        <v>0</v>
      </c>
      <c r="AL89" s="493">
        <v>0</v>
      </c>
      <c r="AM89" s="493">
        <v>43263.44</v>
      </c>
      <c r="AN89" s="493">
        <v>25525</v>
      </c>
      <c r="AO89" s="493">
        <v>2079122.33</v>
      </c>
      <c r="AP89" s="493">
        <v>3274.17</v>
      </c>
      <c r="AQ89" s="493">
        <v>2155255.17</v>
      </c>
      <c r="AR89" s="493">
        <v>45946.27</v>
      </c>
      <c r="AS89" s="493">
        <v>112468.63</v>
      </c>
      <c r="AT89" s="493">
        <v>0</v>
      </c>
      <c r="AU89" s="493">
        <v>167375.32</v>
      </c>
      <c r="AV89" s="493">
        <v>38859.61</v>
      </c>
      <c r="AW89" s="493">
        <v>21440.48</v>
      </c>
      <c r="AX89" s="493">
        <v>0</v>
      </c>
      <c r="AY89" s="493">
        <v>0</v>
      </c>
      <c r="AZ89" s="493">
        <v>63957.79</v>
      </c>
      <c r="BA89" s="493">
        <v>10406.64</v>
      </c>
      <c r="BB89" s="493">
        <v>34293.19</v>
      </c>
      <c r="BC89" s="493">
        <v>6655.98</v>
      </c>
      <c r="BD89" s="493">
        <v>74735.14</v>
      </c>
      <c r="BE89" s="493">
        <v>0</v>
      </c>
      <c r="BF89" s="493">
        <v>26762.639999999999</v>
      </c>
      <c r="BG89" s="493">
        <v>89944.63</v>
      </c>
      <c r="BH89" s="493">
        <v>35603.89</v>
      </c>
      <c r="BI89" s="493">
        <v>0</v>
      </c>
      <c r="BJ89" s="493">
        <v>27951.89</v>
      </c>
      <c r="BK89" s="493">
        <v>12240</v>
      </c>
      <c r="BL89" s="493">
        <v>72669.7</v>
      </c>
      <c r="BM89" s="493">
        <v>37262.39</v>
      </c>
      <c r="BN89" s="493">
        <v>12011.8</v>
      </c>
      <c r="BO89" s="493">
        <v>514902.18</v>
      </c>
      <c r="BP89" s="493">
        <v>48496.3</v>
      </c>
      <c r="BQ89" s="493">
        <v>0</v>
      </c>
      <c r="BR89" s="493">
        <v>0</v>
      </c>
      <c r="BS89" s="493">
        <v>22841</v>
      </c>
      <c r="BT89" s="493">
        <v>0</v>
      </c>
      <c r="BU89" s="493">
        <v>0</v>
      </c>
      <c r="BV89" s="494">
        <v>11178.63</v>
      </c>
      <c r="BW89" s="493">
        <v>20550</v>
      </c>
      <c r="BX89" s="493">
        <v>22841</v>
      </c>
      <c r="BY89" s="493">
        <v>6000</v>
      </c>
      <c r="BZ89" s="493">
        <v>0</v>
      </c>
      <c r="CA89" s="493">
        <v>39045</v>
      </c>
      <c r="CB89" s="493">
        <v>48923</v>
      </c>
      <c r="CC89" s="493">
        <v>18916.599999999999</v>
      </c>
      <c r="CD89" s="493">
        <v>0</v>
      </c>
      <c r="CE89" s="493">
        <v>63894.73</v>
      </c>
      <c r="CF89" s="493">
        <v>0.03</v>
      </c>
      <c r="CG89" s="493">
        <v>0</v>
      </c>
      <c r="CH89" s="493">
        <v>0</v>
      </c>
      <c r="CI89" s="493">
        <v>0</v>
      </c>
      <c r="CJ89" s="495">
        <f t="shared" si="10"/>
        <v>63894.73</v>
      </c>
      <c r="CK89" s="495">
        <f t="shared" si="11"/>
        <v>0.03</v>
      </c>
      <c r="CL89" s="495">
        <f t="shared" si="12"/>
        <v>63894.73</v>
      </c>
      <c r="CM89" s="573">
        <f t="shared" si="13"/>
        <v>5549780.870000001</v>
      </c>
      <c r="CN89" s="573">
        <f t="shared" si="14"/>
        <v>5714477.1399999987</v>
      </c>
      <c r="CO89" s="573">
        <f t="shared" si="15"/>
        <v>4604518.58</v>
      </c>
      <c r="CP89" s="573">
        <f t="shared" si="16"/>
        <v>-164696.26999999769</v>
      </c>
    </row>
    <row r="90" spans="1:94" ht="14.25" customHeight="1">
      <c r="A90" s="491">
        <v>302</v>
      </c>
      <c r="B90" s="491">
        <v>7010</v>
      </c>
      <c r="C90" s="492" t="s">
        <v>124</v>
      </c>
      <c r="D90" s="491" t="s">
        <v>594</v>
      </c>
      <c r="E90" s="491"/>
      <c r="F90" s="491" t="s">
        <v>588</v>
      </c>
      <c r="G90" s="491">
        <v>0</v>
      </c>
      <c r="H90" s="491">
        <v>1</v>
      </c>
      <c r="I90" s="491" t="s">
        <v>717</v>
      </c>
      <c r="J90" s="491" t="s">
        <v>718</v>
      </c>
      <c r="K90" s="491" t="s">
        <v>591</v>
      </c>
      <c r="L90" s="491" t="s">
        <v>592</v>
      </c>
      <c r="M90" s="491" t="s">
        <v>591</v>
      </c>
      <c r="N90" s="491" t="s">
        <v>593</v>
      </c>
      <c r="O90" s="491" t="s">
        <v>188</v>
      </c>
      <c r="P90" s="491" t="s">
        <v>188</v>
      </c>
      <c r="Q90" s="493">
        <v>621555</v>
      </c>
      <c r="R90" s="493">
        <v>0</v>
      </c>
      <c r="S90" s="493">
        <v>48935</v>
      </c>
      <c r="T90" s="493">
        <v>981557.03</v>
      </c>
      <c r="U90" s="493">
        <v>310200</v>
      </c>
      <c r="V90" s="493">
        <v>2777515.97</v>
      </c>
      <c r="W90" s="493">
        <v>0</v>
      </c>
      <c r="X90" s="493">
        <v>43534.98</v>
      </c>
      <c r="Y90" s="493">
        <v>67900.39</v>
      </c>
      <c r="Z90" s="493">
        <v>24927.1</v>
      </c>
      <c r="AA90" s="493">
        <v>945.4</v>
      </c>
      <c r="AB90" s="493">
        <v>0</v>
      </c>
      <c r="AC90" s="493">
        <v>14675.2</v>
      </c>
      <c r="AD90" s="493">
        <v>0</v>
      </c>
      <c r="AE90" s="493">
        <v>3900</v>
      </c>
      <c r="AF90" s="493">
        <v>690</v>
      </c>
      <c r="AG90" s="493">
        <v>6859.18</v>
      </c>
      <c r="AH90" s="493">
        <v>0</v>
      </c>
      <c r="AI90" s="493">
        <v>0</v>
      </c>
      <c r="AJ90" s="493">
        <v>0</v>
      </c>
      <c r="AK90" s="493">
        <v>0</v>
      </c>
      <c r="AL90" s="493">
        <v>0</v>
      </c>
      <c r="AM90" s="493">
        <v>54937.88</v>
      </c>
      <c r="AN90" s="493">
        <v>0</v>
      </c>
      <c r="AO90" s="493">
        <v>1536360.9</v>
      </c>
      <c r="AP90" s="493">
        <v>0</v>
      </c>
      <c r="AQ90" s="493">
        <v>1719184.25</v>
      </c>
      <c r="AR90" s="493">
        <v>109670.73</v>
      </c>
      <c r="AS90" s="493">
        <v>166636.93</v>
      </c>
      <c r="AT90" s="493">
        <v>0</v>
      </c>
      <c r="AU90" s="493">
        <v>95326.76</v>
      </c>
      <c r="AV90" s="493">
        <v>26690.39</v>
      </c>
      <c r="AW90" s="493">
        <v>16899.93</v>
      </c>
      <c r="AX90" s="493">
        <v>0</v>
      </c>
      <c r="AY90" s="493">
        <v>0</v>
      </c>
      <c r="AZ90" s="493">
        <v>60072.12</v>
      </c>
      <c r="BA90" s="493">
        <v>18220.3</v>
      </c>
      <c r="BB90" s="493">
        <v>4757.01</v>
      </c>
      <c r="BC90" s="493">
        <v>5686.71</v>
      </c>
      <c r="BD90" s="493">
        <v>70293.039999999994</v>
      </c>
      <c r="BE90" s="493">
        <v>0</v>
      </c>
      <c r="BF90" s="493">
        <v>19960.09</v>
      </c>
      <c r="BG90" s="493">
        <v>64594.6</v>
      </c>
      <c r="BH90" s="493">
        <v>17126.72</v>
      </c>
      <c r="BI90" s="493">
        <v>1277.45</v>
      </c>
      <c r="BJ90" s="493">
        <v>9695.11</v>
      </c>
      <c r="BK90" s="493">
        <v>8950.59</v>
      </c>
      <c r="BL90" s="493">
        <v>67492.399999999994</v>
      </c>
      <c r="BM90" s="493">
        <v>33713.1</v>
      </c>
      <c r="BN90" s="493">
        <v>50270.400000000001</v>
      </c>
      <c r="BO90" s="493">
        <v>331632.48</v>
      </c>
      <c r="BP90" s="493">
        <v>34512.800000000003</v>
      </c>
      <c r="BQ90" s="493">
        <v>0</v>
      </c>
      <c r="BR90" s="493">
        <v>0</v>
      </c>
      <c r="BS90" s="493">
        <v>0</v>
      </c>
      <c r="BT90" s="493">
        <v>0</v>
      </c>
      <c r="BU90" s="493">
        <v>0</v>
      </c>
      <c r="BV90" s="494">
        <v>9265</v>
      </c>
      <c r="BW90" s="493">
        <v>0</v>
      </c>
      <c r="BX90" s="493">
        <v>0</v>
      </c>
      <c r="BY90" s="493">
        <v>6000</v>
      </c>
      <c r="BZ90" s="493">
        <v>0</v>
      </c>
      <c r="CA90" s="493">
        <v>10609.81</v>
      </c>
      <c r="CB90" s="493">
        <v>8928</v>
      </c>
      <c r="CC90" s="493">
        <v>0</v>
      </c>
      <c r="CD90" s="493">
        <v>0</v>
      </c>
      <c r="CE90" s="493">
        <v>440173.32</v>
      </c>
      <c r="CF90" s="493">
        <v>38662.19</v>
      </c>
      <c r="CG90" s="493">
        <v>0</v>
      </c>
      <c r="CH90" s="493">
        <v>0</v>
      </c>
      <c r="CI90" s="493">
        <v>0</v>
      </c>
      <c r="CJ90" s="495">
        <f t="shared" si="10"/>
        <v>440173.32</v>
      </c>
      <c r="CK90" s="495">
        <f t="shared" si="11"/>
        <v>38662.19</v>
      </c>
      <c r="CL90" s="495">
        <f t="shared" si="12"/>
        <v>440173.32</v>
      </c>
      <c r="CM90" s="573">
        <f t="shared" si="13"/>
        <v>4287643.13</v>
      </c>
      <c r="CN90" s="573">
        <f t="shared" si="14"/>
        <v>4469024.8099999996</v>
      </c>
      <c r="CO90" s="573">
        <f t="shared" si="15"/>
        <v>4069273</v>
      </c>
      <c r="CP90" s="573">
        <f t="shared" si="16"/>
        <v>-181381.6799999997</v>
      </c>
    </row>
    <row r="91" spans="1:94">
      <c r="Q91" s="497">
        <f t="shared" ref="Q91:AV91" si="17">SUM(Q4:Q90)</f>
        <v>8625230</v>
      </c>
      <c r="R91" s="497">
        <f t="shared" si="17"/>
        <v>129602.98999999999</v>
      </c>
      <c r="S91" s="497">
        <f t="shared" si="17"/>
        <v>1279369</v>
      </c>
      <c r="T91" s="497">
        <f t="shared" si="17"/>
        <v>189502166.34</v>
      </c>
      <c r="U91" s="497">
        <f t="shared" si="17"/>
        <v>7548378.4399999995</v>
      </c>
      <c r="V91" s="497">
        <f t="shared" si="17"/>
        <v>21957390.319999993</v>
      </c>
      <c r="W91" s="497">
        <f t="shared" si="17"/>
        <v>0</v>
      </c>
      <c r="X91" s="497">
        <f t="shared" si="17"/>
        <v>9423653.4000000004</v>
      </c>
      <c r="Y91" s="497">
        <f t="shared" si="17"/>
        <v>1300738.96</v>
      </c>
      <c r="Z91" s="497">
        <f t="shared" si="17"/>
        <v>5202132.9999999991</v>
      </c>
      <c r="AA91" s="497">
        <f t="shared" si="17"/>
        <v>1879109.5800000003</v>
      </c>
      <c r="AB91" s="497">
        <f t="shared" si="17"/>
        <v>3951115.5500000003</v>
      </c>
      <c r="AC91" s="497">
        <f t="shared" si="17"/>
        <v>2012126.2499999998</v>
      </c>
      <c r="AD91" s="497">
        <f t="shared" si="17"/>
        <v>145767.16</v>
      </c>
      <c r="AE91" s="497">
        <f t="shared" si="17"/>
        <v>106496.59</v>
      </c>
      <c r="AF91" s="497">
        <f t="shared" si="17"/>
        <v>6123087.4800000014</v>
      </c>
      <c r="AG91" s="497">
        <f t="shared" si="17"/>
        <v>8351131.3300000001</v>
      </c>
      <c r="AH91" s="497">
        <f t="shared" si="17"/>
        <v>0</v>
      </c>
      <c r="AI91" s="497">
        <f t="shared" si="17"/>
        <v>930596.21000000008</v>
      </c>
      <c r="AJ91" s="497">
        <f t="shared" si="17"/>
        <v>23147.67</v>
      </c>
      <c r="AK91" s="497">
        <f t="shared" si="17"/>
        <v>0</v>
      </c>
      <c r="AL91" s="497">
        <f t="shared" si="17"/>
        <v>0</v>
      </c>
      <c r="AM91" s="497">
        <f t="shared" si="17"/>
        <v>1591692.21</v>
      </c>
      <c r="AN91" s="497">
        <f t="shared" si="17"/>
        <v>5386815.96</v>
      </c>
      <c r="AO91" s="497">
        <f t="shared" si="17"/>
        <v>118421629.75</v>
      </c>
      <c r="AP91" s="497">
        <f t="shared" si="17"/>
        <v>328725.26</v>
      </c>
      <c r="AQ91" s="497">
        <f t="shared" si="17"/>
        <v>52484844.460000008</v>
      </c>
      <c r="AR91" s="497">
        <f t="shared" si="17"/>
        <v>5926291.8800000027</v>
      </c>
      <c r="AS91" s="497">
        <f t="shared" si="17"/>
        <v>12319733.940000003</v>
      </c>
      <c r="AT91" s="497">
        <f t="shared" si="17"/>
        <v>632958.10000000009</v>
      </c>
      <c r="AU91" s="497">
        <f t="shared" si="17"/>
        <v>5426824.4500000011</v>
      </c>
      <c r="AV91" s="497">
        <f t="shared" si="17"/>
        <v>1505946.4100000001</v>
      </c>
      <c r="AW91" s="497">
        <f t="shared" ref="AW91:CB91" si="18">SUM(AW4:AW90)</f>
        <v>541121.84000000008</v>
      </c>
      <c r="AX91" s="497">
        <f t="shared" si="18"/>
        <v>285795.78000000003</v>
      </c>
      <c r="AY91" s="497">
        <f t="shared" si="18"/>
        <v>39438.879999999997</v>
      </c>
      <c r="AZ91" s="497">
        <f t="shared" si="18"/>
        <v>3237711.8899999997</v>
      </c>
      <c r="BA91" s="497">
        <f t="shared" si="18"/>
        <v>557454.12000000023</v>
      </c>
      <c r="BB91" s="497">
        <f t="shared" si="18"/>
        <v>3356237.5299999993</v>
      </c>
      <c r="BC91" s="497">
        <f t="shared" si="18"/>
        <v>638382.37</v>
      </c>
      <c r="BD91" s="497">
        <f t="shared" si="18"/>
        <v>6251998.1799999997</v>
      </c>
      <c r="BE91" s="497">
        <f t="shared" si="18"/>
        <v>2043248.0100000005</v>
      </c>
      <c r="BF91" s="497">
        <f t="shared" si="18"/>
        <v>2165765.1000000006</v>
      </c>
      <c r="BG91" s="497">
        <f t="shared" si="18"/>
        <v>8218108.3600000013</v>
      </c>
      <c r="BH91" s="497">
        <f t="shared" si="18"/>
        <v>1904893.4099999997</v>
      </c>
      <c r="BI91" s="497">
        <f t="shared" si="18"/>
        <v>897933.52999999991</v>
      </c>
      <c r="BJ91" s="497">
        <f t="shared" si="18"/>
        <v>2062407.5600000005</v>
      </c>
      <c r="BK91" s="497">
        <f t="shared" si="18"/>
        <v>1326316.3299999998</v>
      </c>
      <c r="BL91" s="497">
        <f t="shared" si="18"/>
        <v>1021749.1599999999</v>
      </c>
      <c r="BM91" s="497">
        <f t="shared" si="18"/>
        <v>9126070.7599999979</v>
      </c>
      <c r="BN91" s="497">
        <f t="shared" si="18"/>
        <v>5449958.0799999991</v>
      </c>
      <c r="BO91" s="497">
        <f t="shared" si="18"/>
        <v>14686617.320000002</v>
      </c>
      <c r="BP91" s="497">
        <f t="shared" si="18"/>
        <v>4625547.2799999993</v>
      </c>
      <c r="BQ91" s="497">
        <f t="shared" si="18"/>
        <v>153204.94</v>
      </c>
      <c r="BR91" s="497">
        <f t="shared" si="18"/>
        <v>0</v>
      </c>
      <c r="BS91" s="497">
        <f t="shared" si="18"/>
        <v>512596.29</v>
      </c>
      <c r="BT91" s="497">
        <f t="shared" si="18"/>
        <v>686475.07000000007</v>
      </c>
      <c r="BU91" s="497">
        <f t="shared" si="18"/>
        <v>166382.82</v>
      </c>
      <c r="BV91" s="497">
        <f t="shared" si="18"/>
        <v>597019.99</v>
      </c>
      <c r="BW91" s="497">
        <f t="shared" si="18"/>
        <v>194305.8</v>
      </c>
      <c r="BX91" s="497">
        <f t="shared" si="18"/>
        <v>265422.3</v>
      </c>
      <c r="BY91" s="497">
        <f t="shared" si="18"/>
        <v>522000</v>
      </c>
      <c r="BZ91" s="497">
        <f t="shared" si="18"/>
        <v>0</v>
      </c>
      <c r="CA91" s="497">
        <f t="shared" si="18"/>
        <v>745388.29999999993</v>
      </c>
      <c r="CB91" s="497">
        <f t="shared" si="18"/>
        <v>290911.57</v>
      </c>
      <c r="CC91" s="497">
        <f t="shared" ref="CC91:CP91" si="19">SUM(CC4:CC90)</f>
        <v>399940.24999999994</v>
      </c>
      <c r="CD91" s="497">
        <f t="shared" si="19"/>
        <v>0</v>
      </c>
      <c r="CE91" s="497">
        <f t="shared" si="19"/>
        <v>6957521.6000000015</v>
      </c>
      <c r="CF91" s="497">
        <f t="shared" si="19"/>
        <v>899876.76000000024</v>
      </c>
      <c r="CG91" s="497">
        <f t="shared" si="19"/>
        <v>0</v>
      </c>
      <c r="CH91" s="497">
        <f t="shared" si="19"/>
        <v>230488.97999999998</v>
      </c>
      <c r="CI91" s="497">
        <f t="shared" si="19"/>
        <v>0</v>
      </c>
      <c r="CJ91" s="497">
        <f t="shared" si="19"/>
        <v>7188010.5800000029</v>
      </c>
      <c r="CK91" s="497">
        <f t="shared" si="19"/>
        <v>899876.76000000024</v>
      </c>
      <c r="CL91" s="497">
        <f t="shared" si="19"/>
        <v>6957521.6000000015</v>
      </c>
      <c r="CM91" s="497">
        <f t="shared" si="19"/>
        <v>264481802.57000002</v>
      </c>
      <c r="CN91" s="497">
        <f t="shared" si="19"/>
        <v>266149510.97000009</v>
      </c>
      <c r="CO91" s="497">
        <f t="shared" si="19"/>
        <v>219007935.10000002</v>
      </c>
      <c r="CP91" s="497">
        <f t="shared" si="19"/>
        <v>-1667708.4000000055</v>
      </c>
    </row>
    <row r="92" spans="1:94">
      <c r="Q92" s="498"/>
      <c r="R92" s="498"/>
      <c r="S92" s="498"/>
      <c r="T92" s="498"/>
      <c r="U92" s="498"/>
      <c r="V92" s="498"/>
      <c r="W92" s="498"/>
      <c r="X92" s="498"/>
      <c r="Y92" s="498"/>
      <c r="Z92" s="498"/>
      <c r="AA92" s="498"/>
      <c r="AB92" s="498"/>
      <c r="AC92" s="498"/>
      <c r="AD92" s="498"/>
      <c r="AE92" s="498"/>
      <c r="AF92" s="498"/>
      <c r="AG92" s="498"/>
      <c r="AH92" s="498"/>
      <c r="AI92" s="498"/>
      <c r="AJ92" s="498"/>
      <c r="AK92" s="498"/>
      <c r="AL92" s="498"/>
      <c r="AM92" s="498"/>
      <c r="AN92" s="498"/>
      <c r="AO92" s="498"/>
      <c r="AP92" s="498"/>
      <c r="AQ92" s="498"/>
      <c r="AR92" s="498"/>
      <c r="AS92" s="498"/>
      <c r="AT92" s="498"/>
      <c r="AU92" s="498"/>
      <c r="AV92" s="498"/>
      <c r="AW92" s="498"/>
      <c r="AX92" s="498"/>
      <c r="AY92" s="498"/>
      <c r="AZ92" s="498"/>
      <c r="BA92" s="498"/>
      <c r="BB92" s="498"/>
      <c r="BC92" s="498"/>
      <c r="BD92" s="498"/>
      <c r="BE92" s="498"/>
      <c r="BF92" s="498"/>
      <c r="BG92" s="498"/>
      <c r="BH92" s="498"/>
      <c r="BI92" s="498"/>
      <c r="BJ92" s="498"/>
      <c r="BK92" s="498"/>
      <c r="BL92" s="498"/>
      <c r="BM92" s="498"/>
      <c r="BN92" s="498"/>
      <c r="BO92" s="498"/>
      <c r="BP92" s="498"/>
      <c r="BQ92" s="498"/>
      <c r="BR92" s="498"/>
      <c r="BS92" s="498"/>
      <c r="BT92" s="498"/>
      <c r="BU92" s="498"/>
      <c r="BV92" s="498"/>
      <c r="BW92" s="498"/>
      <c r="BX92" s="498"/>
      <c r="BY92" s="498"/>
      <c r="BZ92" s="498"/>
      <c r="CA92" s="498"/>
      <c r="CB92" s="498"/>
      <c r="CC92" s="498"/>
      <c r="CD92" s="498"/>
      <c r="CE92" s="498"/>
      <c r="CF92" s="498"/>
      <c r="CG92" s="498"/>
      <c r="CH92" s="498"/>
      <c r="CI92" s="498"/>
    </row>
    <row r="93" spans="1:94">
      <c r="Q93" s="498"/>
      <c r="R93" s="498"/>
      <c r="S93" s="498"/>
      <c r="T93" s="498"/>
      <c r="U93" s="498"/>
      <c r="V93" s="498"/>
      <c r="W93" s="498"/>
      <c r="X93" s="498"/>
      <c r="Y93" s="498"/>
      <c r="Z93" s="498"/>
      <c r="AA93" s="498"/>
      <c r="AB93" s="498"/>
      <c r="AC93" s="498"/>
      <c r="AD93" s="498"/>
      <c r="AE93" s="498"/>
      <c r="AF93" s="498"/>
      <c r="AG93" s="498"/>
      <c r="AH93" s="498"/>
      <c r="AI93" s="498"/>
      <c r="AJ93" s="498"/>
      <c r="AK93" s="498"/>
      <c r="AL93" s="498"/>
      <c r="AM93" s="498"/>
      <c r="AN93" s="498"/>
      <c r="AO93" s="498"/>
      <c r="AP93" s="498"/>
      <c r="AQ93" s="498"/>
      <c r="AR93" s="498"/>
      <c r="AS93" s="498"/>
      <c r="AT93" s="498"/>
      <c r="AU93" s="498"/>
      <c r="AV93" s="498"/>
      <c r="AW93" s="498"/>
      <c r="AX93" s="498"/>
      <c r="AY93" s="498"/>
      <c r="AZ93" s="498"/>
      <c r="BA93" s="498"/>
      <c r="BB93" s="498"/>
      <c r="BC93" s="498"/>
      <c r="BD93" s="498"/>
      <c r="BE93" s="498"/>
      <c r="BF93" s="498"/>
      <c r="BG93" s="498"/>
      <c r="BH93" s="498"/>
      <c r="BI93" s="498"/>
      <c r="BJ93" s="498"/>
      <c r="BK93" s="498"/>
      <c r="BL93" s="498"/>
      <c r="BM93" s="498"/>
      <c r="BN93" s="498"/>
      <c r="BO93" s="498"/>
      <c r="BP93" s="498"/>
      <c r="BQ93" s="498"/>
      <c r="BR93" s="498"/>
      <c r="BS93" s="498"/>
      <c r="BT93" s="498"/>
      <c r="BU93" s="498"/>
      <c r="BV93" s="498"/>
      <c r="BW93" s="498"/>
      <c r="BX93" s="498"/>
      <c r="BY93" s="498"/>
      <c r="BZ93" s="498"/>
      <c r="CA93" s="498"/>
      <c r="CB93" s="498"/>
      <c r="CC93" s="498"/>
      <c r="CD93" s="498"/>
      <c r="CE93" s="498"/>
      <c r="CF93" s="498"/>
      <c r="CG93" s="498"/>
      <c r="CH93" s="498"/>
      <c r="CI93" s="498"/>
    </row>
  </sheetData>
  <mergeCells count="1">
    <mergeCell ref="A2:BZ2"/>
  </mergeCells>
  <pageMargins left="0.98425196850393704" right="0.98425196850393704" top="0.98425196850393704" bottom="0.98425196850393704" header="0.98425196850393704" footer="0.9842519685039370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625D8-3B86-4924-9C05-EE33D9A34277}">
  <dimension ref="A1:DA88"/>
  <sheetViews>
    <sheetView showGridLines="0" topLeftCell="A64" workbookViewId="0">
      <pane xSplit="3" topLeftCell="AG1" activePane="topRight" state="frozen"/>
      <selection activeCell="CN88" sqref="CN88:CO88"/>
      <selection pane="topRight" activeCell="CN88" sqref="CN88:CO88"/>
    </sheetView>
  </sheetViews>
  <sheetFormatPr defaultRowHeight="14.4"/>
  <cols>
    <col min="1" max="1" width="15.5546875" style="104" customWidth="1"/>
    <col min="2" max="2" width="16.6640625" style="104" customWidth="1"/>
    <col min="3" max="3" width="38" style="104" customWidth="1"/>
    <col min="4" max="4" width="28" style="104" customWidth="1"/>
    <col min="5" max="5" width="35.88671875" style="104" customWidth="1"/>
    <col min="6" max="8" width="13.6640625" style="104" customWidth="1"/>
    <col min="9" max="9" width="17.44140625" style="104" customWidth="1"/>
    <col min="10" max="10" width="18.6640625" style="104" customWidth="1"/>
    <col min="11" max="11" width="13.6640625" style="104" customWidth="1"/>
    <col min="12" max="12" width="17.6640625" style="104" customWidth="1"/>
    <col min="13" max="13" width="13.6640625" style="104" customWidth="1"/>
    <col min="14" max="14" width="19.109375" style="104" customWidth="1"/>
    <col min="15" max="15" width="17.6640625" style="104" customWidth="1"/>
    <col min="16" max="16" width="13.6640625" style="104" customWidth="1"/>
    <col min="17" max="17" width="16" style="104" customWidth="1"/>
    <col min="18" max="19" width="13.6640625" style="104" customWidth="1"/>
    <col min="20" max="20" width="16.5546875" style="104" bestFit="1" customWidth="1"/>
    <col min="21" max="21" width="15.33203125" style="104" bestFit="1" customWidth="1"/>
    <col min="22" max="27" width="13.6640625" style="104" customWidth="1"/>
    <col min="28" max="28" width="13.44140625" style="104" customWidth="1"/>
    <col min="29" max="36" width="13.6640625" style="104" customWidth="1"/>
    <col min="37" max="37" width="13.44140625" style="104" customWidth="1"/>
    <col min="38" max="59" width="13.6640625" style="104" customWidth="1"/>
    <col min="60" max="60" width="13.5546875" style="104" customWidth="1"/>
    <col min="61" max="62" width="13.44140625" style="104" customWidth="1"/>
    <col min="63" max="63" width="13.5546875" style="104" customWidth="1"/>
    <col min="64" max="66" width="13.44140625" style="104" customWidth="1"/>
    <col min="67" max="74" width="13.6640625" style="104" customWidth="1"/>
    <col min="75" max="75" width="13.44140625" style="104" customWidth="1"/>
    <col min="76" max="76" width="10.109375" style="104" customWidth="1"/>
    <col min="77" max="82" width="13.6640625" style="104" customWidth="1"/>
    <col min="83" max="83" width="17" style="104" customWidth="1"/>
    <col min="84" max="87" width="13.6640625" style="104" customWidth="1"/>
    <col min="88" max="89" width="13.44140625" style="104" customWidth="1"/>
    <col min="90" max="90" width="13.5546875" style="104" customWidth="1"/>
    <col min="91" max="91" width="13.44140625" style="104" customWidth="1"/>
    <col min="92" max="92" width="13.6640625" style="104" customWidth="1"/>
    <col min="93" max="93" width="16.109375" style="104" bestFit="1" customWidth="1"/>
    <col min="94" max="95" width="13.6640625" style="104" customWidth="1"/>
    <col min="96" max="96" width="13.5546875" style="104" customWidth="1"/>
    <col min="97" max="97" width="13.44140625" style="104" customWidth="1"/>
    <col min="98" max="98" width="0" style="104" hidden="1" customWidth="1"/>
    <col min="99" max="105" width="14.88671875" style="104" customWidth="1"/>
    <col min="106" max="16384" width="8.88671875" style="104"/>
  </cols>
  <sheetData>
    <row r="1" spans="1:105" ht="30" customHeight="1">
      <c r="A1" s="648" t="s">
        <v>840</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c r="AO1" s="649"/>
      <c r="AP1" s="649"/>
      <c r="AQ1" s="649"/>
      <c r="AR1" s="649"/>
      <c r="AS1" s="649"/>
      <c r="AT1" s="649"/>
      <c r="AU1" s="649"/>
      <c r="AV1" s="649"/>
      <c r="AW1" s="649"/>
      <c r="AX1" s="649"/>
      <c r="AY1" s="649"/>
      <c r="AZ1" s="649"/>
      <c r="BA1" s="649"/>
      <c r="BB1" s="649"/>
      <c r="BC1" s="649"/>
      <c r="BD1" s="649"/>
      <c r="BE1" s="649"/>
      <c r="BF1" s="649"/>
      <c r="BG1" s="649"/>
      <c r="BH1" s="649"/>
      <c r="BI1" s="649"/>
      <c r="BJ1" s="649"/>
      <c r="BK1" s="649"/>
      <c r="BL1" s="649"/>
      <c r="BM1" s="649"/>
      <c r="BN1" s="649"/>
      <c r="BO1" s="649"/>
      <c r="BP1" s="649"/>
      <c r="BQ1" s="649"/>
      <c r="BR1" s="649"/>
      <c r="BS1" s="649"/>
      <c r="BT1" s="649"/>
      <c r="BU1" s="649"/>
      <c r="BV1" s="649"/>
      <c r="BW1" s="649"/>
      <c r="BX1" s="649"/>
    </row>
    <row r="2" spans="1:105" ht="4.2" hidden="1" customHeight="1"/>
    <row r="3" spans="1:105" ht="55.2" customHeight="1">
      <c r="A3" s="575" t="s">
        <v>556</v>
      </c>
      <c r="B3" s="575" t="s">
        <v>557</v>
      </c>
      <c r="C3" s="575" t="s">
        <v>128</v>
      </c>
      <c r="D3" s="575" t="s">
        <v>558</v>
      </c>
      <c r="E3" s="575" t="s">
        <v>559</v>
      </c>
      <c r="F3" s="575" t="s">
        <v>560</v>
      </c>
      <c r="G3" s="575" t="s">
        <v>561</v>
      </c>
      <c r="H3" s="575" t="s">
        <v>562</v>
      </c>
      <c r="I3" s="575" t="s">
        <v>563</v>
      </c>
      <c r="J3" s="575" t="s">
        <v>564</v>
      </c>
      <c r="K3" s="575" t="s">
        <v>565</v>
      </c>
      <c r="L3" s="575" t="s">
        <v>566</v>
      </c>
      <c r="M3" s="575" t="s">
        <v>567</v>
      </c>
      <c r="N3" s="575" t="s">
        <v>568</v>
      </c>
      <c r="O3" s="575" t="s">
        <v>569</v>
      </c>
      <c r="P3" s="575" t="s">
        <v>570</v>
      </c>
      <c r="Q3" s="575" t="s">
        <v>305</v>
      </c>
      <c r="R3" s="575" t="s">
        <v>306</v>
      </c>
      <c r="S3" s="575" t="s">
        <v>307</v>
      </c>
      <c r="T3" s="575" t="s">
        <v>200</v>
      </c>
      <c r="U3" s="575" t="s">
        <v>201</v>
      </c>
      <c r="V3" s="575" t="s">
        <v>202</v>
      </c>
      <c r="W3" s="575" t="s">
        <v>203</v>
      </c>
      <c r="X3" s="575" t="s">
        <v>204</v>
      </c>
      <c r="Y3" s="575" t="s">
        <v>205</v>
      </c>
      <c r="Z3" s="575" t="s">
        <v>206</v>
      </c>
      <c r="AA3" s="575" t="s">
        <v>571</v>
      </c>
      <c r="AB3" s="575" t="s">
        <v>572</v>
      </c>
      <c r="AC3" s="575" t="s">
        <v>208</v>
      </c>
      <c r="AD3" s="575" t="s">
        <v>209</v>
      </c>
      <c r="AE3" s="575" t="s">
        <v>210</v>
      </c>
      <c r="AF3" s="575" t="s">
        <v>211</v>
      </c>
      <c r="AG3" s="575" t="s">
        <v>212</v>
      </c>
      <c r="AH3" s="575" t="s">
        <v>213</v>
      </c>
      <c r="AI3" s="575" t="s">
        <v>214</v>
      </c>
      <c r="AJ3" s="575" t="s">
        <v>215</v>
      </c>
      <c r="AK3" s="575" t="s">
        <v>525</v>
      </c>
      <c r="AL3" s="575" t="s">
        <v>526</v>
      </c>
      <c r="AM3" s="579" t="s">
        <v>335</v>
      </c>
      <c r="AN3" s="575" t="s">
        <v>216</v>
      </c>
      <c r="AO3" s="575" t="s">
        <v>217</v>
      </c>
      <c r="AP3" s="575" t="s">
        <v>218</v>
      </c>
      <c r="AQ3" s="575" t="s">
        <v>219</v>
      </c>
      <c r="AR3" s="575" t="s">
        <v>220</v>
      </c>
      <c r="AS3" s="575" t="s">
        <v>221</v>
      </c>
      <c r="AT3" s="575" t="s">
        <v>222</v>
      </c>
      <c r="AU3" s="575" t="s">
        <v>223</v>
      </c>
      <c r="AV3" s="575" t="s">
        <v>224</v>
      </c>
      <c r="AW3" s="575" t="s">
        <v>225</v>
      </c>
      <c r="AX3" s="575" t="s">
        <v>226</v>
      </c>
      <c r="AY3" s="575" t="s">
        <v>227</v>
      </c>
      <c r="AZ3" s="575" t="s">
        <v>228</v>
      </c>
      <c r="BA3" s="575" t="s">
        <v>229</v>
      </c>
      <c r="BB3" s="575" t="s">
        <v>230</v>
      </c>
      <c r="BC3" s="575" t="s">
        <v>231</v>
      </c>
      <c r="BD3" s="575" t="s">
        <v>232</v>
      </c>
      <c r="BE3" s="575" t="s">
        <v>233</v>
      </c>
      <c r="BF3" s="575" t="s">
        <v>234</v>
      </c>
      <c r="BG3" s="575" t="s">
        <v>841</v>
      </c>
      <c r="BH3" s="575" t="s">
        <v>842</v>
      </c>
      <c r="BI3" s="575" t="s">
        <v>843</v>
      </c>
      <c r="BJ3" s="575" t="s">
        <v>844</v>
      </c>
      <c r="BK3" s="575" t="s">
        <v>845</v>
      </c>
      <c r="BL3" s="575" t="s">
        <v>846</v>
      </c>
      <c r="BM3" s="575" t="s">
        <v>847</v>
      </c>
      <c r="BN3" s="575" t="s">
        <v>235</v>
      </c>
      <c r="BO3" s="575" t="s">
        <v>236</v>
      </c>
      <c r="BP3" s="575" t="s">
        <v>237</v>
      </c>
      <c r="BQ3" s="575" t="s">
        <v>238</v>
      </c>
      <c r="BR3" s="575" t="s">
        <v>239</v>
      </c>
      <c r="BS3" s="575" t="s">
        <v>240</v>
      </c>
      <c r="BT3" s="575" t="s">
        <v>241</v>
      </c>
      <c r="BU3" s="575" t="s">
        <v>242</v>
      </c>
      <c r="BV3" s="575" t="s">
        <v>573</v>
      </c>
      <c r="BW3" s="575" t="s">
        <v>574</v>
      </c>
      <c r="BX3" s="575" t="s">
        <v>244</v>
      </c>
      <c r="BY3" s="575" t="s">
        <v>245</v>
      </c>
      <c r="BZ3" s="575" t="s">
        <v>246</v>
      </c>
      <c r="CA3" s="575" t="s">
        <v>247</v>
      </c>
      <c r="CB3" s="575" t="s">
        <v>308</v>
      </c>
      <c r="CC3" s="575" t="s">
        <v>309</v>
      </c>
      <c r="CD3" s="575" t="s">
        <v>575</v>
      </c>
      <c r="CE3" s="575" t="s">
        <v>576</v>
      </c>
      <c r="CF3" s="575" t="s">
        <v>311</v>
      </c>
      <c r="CG3" s="575" t="s">
        <v>312</v>
      </c>
      <c r="CH3" s="575" t="s">
        <v>313</v>
      </c>
      <c r="CI3" s="575" t="s">
        <v>848</v>
      </c>
      <c r="CJ3" s="575" t="s">
        <v>849</v>
      </c>
      <c r="CK3" s="575" t="s">
        <v>850</v>
      </c>
      <c r="CL3" s="575" t="s">
        <v>851</v>
      </c>
      <c r="CM3" s="575" t="s">
        <v>852</v>
      </c>
      <c r="CN3" s="575" t="s">
        <v>577</v>
      </c>
      <c r="CO3" s="575" t="s">
        <v>578</v>
      </c>
      <c r="CP3" s="575" t="s">
        <v>579</v>
      </c>
      <c r="CQ3" s="575" t="s">
        <v>580</v>
      </c>
      <c r="CR3" s="575" t="s">
        <v>581</v>
      </c>
      <c r="CS3" s="575" t="s">
        <v>582</v>
      </c>
      <c r="CU3" s="108" t="s">
        <v>583</v>
      </c>
      <c r="CV3" s="108" t="s">
        <v>584</v>
      </c>
      <c r="CW3" s="108" t="s">
        <v>698</v>
      </c>
      <c r="CX3" s="108" t="s">
        <v>178</v>
      </c>
      <c r="CY3" s="108" t="s">
        <v>179</v>
      </c>
      <c r="CZ3" s="108" t="s">
        <v>839</v>
      </c>
      <c r="DA3" s="574" t="s">
        <v>180</v>
      </c>
    </row>
    <row r="4" spans="1:105" ht="15">
      <c r="A4" s="576">
        <v>302</v>
      </c>
      <c r="B4" s="576">
        <v>1000</v>
      </c>
      <c r="C4" s="576" t="s">
        <v>27</v>
      </c>
      <c r="D4" s="576" t="s">
        <v>586</v>
      </c>
      <c r="E4" s="576" t="s">
        <v>587</v>
      </c>
      <c r="F4" s="576" t="s">
        <v>588</v>
      </c>
      <c r="G4" s="576">
        <v>0</v>
      </c>
      <c r="H4" s="576">
        <v>0</v>
      </c>
      <c r="I4" s="576" t="s">
        <v>853</v>
      </c>
      <c r="J4" s="576" t="s">
        <v>854</v>
      </c>
      <c r="K4" s="576" t="s">
        <v>591</v>
      </c>
      <c r="L4" s="576" t="s">
        <v>592</v>
      </c>
      <c r="M4" s="576" t="s">
        <v>591</v>
      </c>
      <c r="N4" s="576" t="s">
        <v>593</v>
      </c>
      <c r="O4" s="576" t="s">
        <v>188</v>
      </c>
      <c r="P4" s="576" t="s">
        <v>188</v>
      </c>
      <c r="Q4" s="577">
        <v>-253268.6</v>
      </c>
      <c r="R4" s="577">
        <v>-22847.22</v>
      </c>
      <c r="S4" s="577">
        <v>61016.51</v>
      </c>
      <c r="T4" s="577">
        <v>2199395.85</v>
      </c>
      <c r="U4" s="577">
        <v>0</v>
      </c>
      <c r="V4" s="577">
        <v>119135.67</v>
      </c>
      <c r="W4" s="577">
        <v>0</v>
      </c>
      <c r="X4" s="577">
        <v>0</v>
      </c>
      <c r="Y4" s="577">
        <v>0</v>
      </c>
      <c r="Z4" s="577">
        <v>32416.28</v>
      </c>
      <c r="AA4" s="577">
        <v>21000</v>
      </c>
      <c r="AB4" s="577">
        <v>5636.56</v>
      </c>
      <c r="AC4" s="577">
        <v>0</v>
      </c>
      <c r="AD4" s="577">
        <v>0</v>
      </c>
      <c r="AE4" s="577">
        <v>0</v>
      </c>
      <c r="AF4" s="577">
        <v>538730.18999999994</v>
      </c>
      <c r="AG4" s="577">
        <v>14770.53</v>
      </c>
      <c r="AH4" s="577">
        <v>0</v>
      </c>
      <c r="AI4" s="577">
        <v>164223.42000000001</v>
      </c>
      <c r="AJ4" s="577">
        <v>1360</v>
      </c>
      <c r="AK4" s="577">
        <v>0</v>
      </c>
      <c r="AL4" s="577">
        <v>0</v>
      </c>
      <c r="AM4" s="580">
        <f>AK4+AL4</f>
        <v>0</v>
      </c>
      <c r="AN4" s="577">
        <v>434519.32</v>
      </c>
      <c r="AO4" s="577">
        <v>2262.8200000000002</v>
      </c>
      <c r="AP4" s="577">
        <v>1477295.71</v>
      </c>
      <c r="AQ4" s="577">
        <v>70848.679999999993</v>
      </c>
      <c r="AR4" s="577">
        <v>124863.63</v>
      </c>
      <c r="AS4" s="577">
        <v>0</v>
      </c>
      <c r="AT4" s="577">
        <v>72557.78</v>
      </c>
      <c r="AU4" s="577">
        <v>13594.31</v>
      </c>
      <c r="AV4" s="577">
        <v>4009.04</v>
      </c>
      <c r="AW4" s="577">
        <v>0</v>
      </c>
      <c r="AX4" s="577">
        <v>0</v>
      </c>
      <c r="AY4" s="577">
        <v>34165.040000000001</v>
      </c>
      <c r="AZ4" s="577">
        <v>4755</v>
      </c>
      <c r="BA4" s="577">
        <v>4920.3100000000004</v>
      </c>
      <c r="BB4" s="577">
        <v>4047.18</v>
      </c>
      <c r="BC4" s="577">
        <v>27556.61</v>
      </c>
      <c r="BD4" s="577">
        <v>98201.34</v>
      </c>
      <c r="BE4" s="577">
        <v>18586.48</v>
      </c>
      <c r="BF4" s="577">
        <v>45912.83</v>
      </c>
      <c r="BG4" s="577">
        <v>12968.5</v>
      </c>
      <c r="BH4" s="576">
        <v>0</v>
      </c>
      <c r="BI4" s="576">
        <v>0</v>
      </c>
      <c r="BJ4" s="576">
        <v>23049.29</v>
      </c>
      <c r="BK4" s="576">
        <v>0</v>
      </c>
      <c r="BL4" s="576">
        <v>16.32</v>
      </c>
      <c r="BM4" s="576">
        <v>6239.97</v>
      </c>
      <c r="BN4" s="577">
        <f>SUM(BG4:BM4)</f>
        <v>42274.080000000002</v>
      </c>
      <c r="BO4" s="577">
        <v>0</v>
      </c>
      <c r="BP4" s="577">
        <v>18480.580000000002</v>
      </c>
      <c r="BQ4" s="577">
        <v>9775</v>
      </c>
      <c r="BR4" s="577">
        <v>649.94000000000005</v>
      </c>
      <c r="BS4" s="577">
        <v>7531.89</v>
      </c>
      <c r="BT4" s="577">
        <v>0</v>
      </c>
      <c r="BU4" s="577">
        <v>8980</v>
      </c>
      <c r="BV4" s="577">
        <v>45048.91</v>
      </c>
      <c r="BW4" s="577">
        <v>0</v>
      </c>
      <c r="BX4" s="577">
        <v>0</v>
      </c>
      <c r="BY4" s="577">
        <v>0</v>
      </c>
      <c r="BZ4" s="577">
        <v>146349.96</v>
      </c>
      <c r="CA4" s="577">
        <v>23993.24</v>
      </c>
      <c r="CB4" s="577">
        <v>14561.63</v>
      </c>
      <c r="CC4" s="577">
        <v>0</v>
      </c>
      <c r="CD4" s="577">
        <v>0</v>
      </c>
      <c r="CE4" s="577">
        <v>6000</v>
      </c>
      <c r="CF4" s="577">
        <v>0</v>
      </c>
      <c r="CG4" s="577">
        <v>14475.14</v>
      </c>
      <c r="CH4" s="577">
        <v>0</v>
      </c>
      <c r="CI4" s="577">
        <v>0</v>
      </c>
      <c r="CJ4" s="576">
        <v>0</v>
      </c>
      <c r="CK4" s="576">
        <v>0</v>
      </c>
      <c r="CL4" s="576">
        <v>0</v>
      </c>
      <c r="CM4" s="576">
        <v>0</v>
      </c>
      <c r="CN4" s="577">
        <v>0</v>
      </c>
      <c r="CO4" s="577">
        <v>106980</v>
      </c>
      <c r="CP4" s="577">
        <v>61103</v>
      </c>
      <c r="CQ4" s="577">
        <v>0</v>
      </c>
      <c r="CR4" s="577">
        <v>-27607</v>
      </c>
      <c r="CS4" s="577">
        <v>0</v>
      </c>
      <c r="CU4" s="495">
        <f>CN4+CO4+CR4</f>
        <v>79373</v>
      </c>
      <c r="CV4" s="495">
        <f>CP4+CQ4+CS4</f>
        <v>61103</v>
      </c>
      <c r="CW4" s="495">
        <f>CN4+CO4</f>
        <v>106980</v>
      </c>
      <c r="CX4" s="495">
        <f t="shared" ref="CX4:CX35" si="0">SUM(T4:AL4)-AI4-AJ4</f>
        <v>2931085.0799999996</v>
      </c>
      <c r="CY4" s="495">
        <f>SUM(AN4:BY4)-BN4</f>
        <v>2570836.4800000004</v>
      </c>
      <c r="CZ4" s="495">
        <f t="shared" ref="CZ4:CZ35" si="1">SUM(T4:V4)</f>
        <v>2318531.52</v>
      </c>
      <c r="DA4" s="495">
        <f>CX4-CY4</f>
        <v>360248.59999999916</v>
      </c>
    </row>
    <row r="5" spans="1:105" ht="15">
      <c r="A5" s="576">
        <v>302</v>
      </c>
      <c r="B5" s="576">
        <v>1002</v>
      </c>
      <c r="C5" s="576" t="s">
        <v>29</v>
      </c>
      <c r="D5" s="576" t="s">
        <v>594</v>
      </c>
      <c r="E5" s="576"/>
      <c r="F5" s="576" t="s">
        <v>588</v>
      </c>
      <c r="G5" s="576">
        <v>0</v>
      </c>
      <c r="H5" s="576">
        <v>1</v>
      </c>
      <c r="I5" s="576" t="s">
        <v>853</v>
      </c>
      <c r="J5" s="576" t="s">
        <v>854</v>
      </c>
      <c r="K5" s="576" t="s">
        <v>591</v>
      </c>
      <c r="L5" s="576" t="s">
        <v>592</v>
      </c>
      <c r="M5" s="576" t="s">
        <v>591</v>
      </c>
      <c r="N5" s="576" t="s">
        <v>593</v>
      </c>
      <c r="O5" s="576" t="s">
        <v>591</v>
      </c>
      <c r="P5" s="576" t="s">
        <v>188</v>
      </c>
      <c r="Q5" s="577">
        <v>-122472.49</v>
      </c>
      <c r="R5" s="577">
        <v>0</v>
      </c>
      <c r="S5" s="577">
        <v>32253.5</v>
      </c>
      <c r="T5" s="577">
        <v>696417.25</v>
      </c>
      <c r="U5" s="577">
        <v>0</v>
      </c>
      <c r="V5" s="577">
        <v>13746.5</v>
      </c>
      <c r="W5" s="577">
        <v>0</v>
      </c>
      <c r="X5" s="577">
        <v>0</v>
      </c>
      <c r="Y5" s="577">
        <v>0</v>
      </c>
      <c r="Z5" s="577">
        <v>1180.5999999999999</v>
      </c>
      <c r="AA5" s="577">
        <v>0</v>
      </c>
      <c r="AB5" s="577">
        <v>0</v>
      </c>
      <c r="AC5" s="577">
        <v>22764.880000000001</v>
      </c>
      <c r="AD5" s="577">
        <v>0</v>
      </c>
      <c r="AE5" s="577">
        <v>0</v>
      </c>
      <c r="AF5" s="577">
        <v>380901.06</v>
      </c>
      <c r="AG5" s="577">
        <v>6910.69</v>
      </c>
      <c r="AH5" s="577">
        <v>0</v>
      </c>
      <c r="AI5" s="577">
        <v>0</v>
      </c>
      <c r="AJ5" s="577">
        <v>0</v>
      </c>
      <c r="AK5" s="577">
        <v>0</v>
      </c>
      <c r="AL5" s="577">
        <v>0</v>
      </c>
      <c r="AM5" s="580">
        <f t="shared" ref="AM5:AM68" si="2">AK5+AL5</f>
        <v>0</v>
      </c>
      <c r="AN5" s="577">
        <v>241185.45</v>
      </c>
      <c r="AO5" s="577">
        <v>0</v>
      </c>
      <c r="AP5" s="577">
        <v>399103.52</v>
      </c>
      <c r="AQ5" s="577">
        <v>41769.14</v>
      </c>
      <c r="AR5" s="577">
        <v>77964.820000000007</v>
      </c>
      <c r="AS5" s="577">
        <v>0</v>
      </c>
      <c r="AT5" s="577">
        <v>64135.08</v>
      </c>
      <c r="AU5" s="577">
        <v>8519.68</v>
      </c>
      <c r="AV5" s="577">
        <v>3821.94</v>
      </c>
      <c r="AW5" s="577">
        <v>0</v>
      </c>
      <c r="AX5" s="577">
        <v>0</v>
      </c>
      <c r="AY5" s="577">
        <v>13762.67</v>
      </c>
      <c r="AZ5" s="577">
        <v>12980.09</v>
      </c>
      <c r="BA5" s="577">
        <v>11067.91</v>
      </c>
      <c r="BB5" s="577">
        <v>1260.4100000000001</v>
      </c>
      <c r="BC5" s="577">
        <v>19325.330000000002</v>
      </c>
      <c r="BD5" s="577">
        <v>0</v>
      </c>
      <c r="BE5" s="577">
        <v>5684.09</v>
      </c>
      <c r="BF5" s="577">
        <v>13795.1</v>
      </c>
      <c r="BG5" s="577">
        <v>3470</v>
      </c>
      <c r="BH5" s="576">
        <v>0</v>
      </c>
      <c r="BI5" s="576">
        <v>75</v>
      </c>
      <c r="BJ5" s="576">
        <v>4589</v>
      </c>
      <c r="BK5" s="576">
        <v>611</v>
      </c>
      <c r="BL5" s="576">
        <v>280</v>
      </c>
      <c r="BM5" s="576">
        <v>1155</v>
      </c>
      <c r="BN5" s="577">
        <f t="shared" ref="BN5:BN68" si="3">SUM(BG5:BM5)</f>
        <v>10180</v>
      </c>
      <c r="BO5" s="577">
        <v>0</v>
      </c>
      <c r="BP5" s="577">
        <v>5741.27</v>
      </c>
      <c r="BQ5" s="577">
        <v>2250</v>
      </c>
      <c r="BR5" s="577">
        <v>3574.07</v>
      </c>
      <c r="BS5" s="577">
        <v>22764.880000000001</v>
      </c>
      <c r="BT5" s="577">
        <v>14311.58</v>
      </c>
      <c r="BU5" s="577">
        <v>36739.089999999997</v>
      </c>
      <c r="BV5" s="577">
        <v>10545.37</v>
      </c>
      <c r="BW5" s="577">
        <v>0</v>
      </c>
      <c r="BX5" s="577">
        <v>0</v>
      </c>
      <c r="BY5" s="577">
        <v>0</v>
      </c>
      <c r="BZ5" s="577">
        <v>0</v>
      </c>
      <c r="CA5" s="577">
        <v>0</v>
      </c>
      <c r="CB5" s="577">
        <v>4648</v>
      </c>
      <c r="CC5" s="577">
        <v>0</v>
      </c>
      <c r="CD5" s="577">
        <v>0</v>
      </c>
      <c r="CE5" s="577">
        <v>6000</v>
      </c>
      <c r="CF5" s="577">
        <v>0</v>
      </c>
      <c r="CG5" s="577">
        <v>30298.5</v>
      </c>
      <c r="CH5" s="577">
        <v>0</v>
      </c>
      <c r="CI5" s="577">
        <v>0</v>
      </c>
      <c r="CJ5" s="576">
        <v>0</v>
      </c>
      <c r="CK5" s="576">
        <v>0</v>
      </c>
      <c r="CL5" s="576">
        <v>0</v>
      </c>
      <c r="CM5" s="576">
        <v>0</v>
      </c>
      <c r="CN5" s="577">
        <v>0</v>
      </c>
      <c r="CO5" s="577">
        <v>-21033</v>
      </c>
      <c r="CP5" s="577">
        <v>6603</v>
      </c>
      <c r="CQ5" s="577">
        <v>0</v>
      </c>
      <c r="CR5" s="577">
        <v>0</v>
      </c>
      <c r="CS5" s="577">
        <v>0</v>
      </c>
      <c r="CU5" s="495">
        <f t="shared" ref="CU5:CU68" si="4">CN5+CO5+CR5</f>
        <v>-21033</v>
      </c>
      <c r="CV5" s="495">
        <f t="shared" ref="CV5:CV68" si="5">CP5+CQ5+CS5</f>
        <v>6603</v>
      </c>
      <c r="CW5" s="495">
        <f t="shared" ref="CW5:CW68" si="6">CN5+CO5</f>
        <v>-21033</v>
      </c>
      <c r="CX5" s="495">
        <f>SUM(T5:AL5)-AI5-AJ5</f>
        <v>1121920.98</v>
      </c>
      <c r="CY5" s="495">
        <f t="shared" ref="CY5:CY68" si="7">SUM(AN5:BY5)-BN5</f>
        <v>1020481.4899999998</v>
      </c>
      <c r="CZ5" s="495">
        <f t="shared" si="1"/>
        <v>710163.75</v>
      </c>
      <c r="DA5" s="495">
        <f t="shared" ref="DA5:DA68" si="8">CX5-CY5</f>
        <v>101439.49000000022</v>
      </c>
    </row>
    <row r="6" spans="1:105" ht="15">
      <c r="A6" s="576">
        <v>302</v>
      </c>
      <c r="B6" s="576">
        <v>1100</v>
      </c>
      <c r="C6" s="576" t="s">
        <v>327</v>
      </c>
      <c r="D6" s="576" t="s">
        <v>594</v>
      </c>
      <c r="E6" s="576"/>
      <c r="F6" s="576" t="s">
        <v>588</v>
      </c>
      <c r="G6" s="576">
        <v>0</v>
      </c>
      <c r="H6" s="576">
        <v>2</v>
      </c>
      <c r="I6" s="576" t="s">
        <v>853</v>
      </c>
      <c r="J6" s="576" t="s">
        <v>854</v>
      </c>
      <c r="K6" s="576" t="s">
        <v>591</v>
      </c>
      <c r="L6" s="576" t="s">
        <v>592</v>
      </c>
      <c r="M6" s="576" t="s">
        <v>591</v>
      </c>
      <c r="N6" s="576" t="s">
        <v>593</v>
      </c>
      <c r="O6" s="576" t="s">
        <v>591</v>
      </c>
      <c r="P6" s="576" t="s">
        <v>188</v>
      </c>
      <c r="Q6" s="577">
        <v>442196.94</v>
      </c>
      <c r="R6" s="577">
        <v>0</v>
      </c>
      <c r="S6" s="577">
        <v>50303.06</v>
      </c>
      <c r="T6" s="577">
        <v>2114714.52</v>
      </c>
      <c r="U6" s="577">
        <v>0</v>
      </c>
      <c r="V6" s="577">
        <v>1102580.1100000001</v>
      </c>
      <c r="W6" s="577">
        <v>0</v>
      </c>
      <c r="X6" s="577">
        <v>28815</v>
      </c>
      <c r="Y6" s="577">
        <v>0</v>
      </c>
      <c r="Z6" s="577">
        <v>90378.02</v>
      </c>
      <c r="AA6" s="577">
        <v>49950</v>
      </c>
      <c r="AB6" s="577">
        <v>243844.12</v>
      </c>
      <c r="AC6" s="577">
        <v>2156.34</v>
      </c>
      <c r="AD6" s="577">
        <v>0</v>
      </c>
      <c r="AE6" s="577">
        <v>0</v>
      </c>
      <c r="AF6" s="577">
        <v>1147.5</v>
      </c>
      <c r="AG6" s="577">
        <v>5454</v>
      </c>
      <c r="AH6" s="577">
        <v>0</v>
      </c>
      <c r="AI6" s="577">
        <v>0</v>
      </c>
      <c r="AJ6" s="577">
        <v>0</v>
      </c>
      <c r="AK6" s="577">
        <v>0</v>
      </c>
      <c r="AL6" s="577">
        <v>10489.56</v>
      </c>
      <c r="AM6" s="580">
        <f t="shared" si="2"/>
        <v>10489.56</v>
      </c>
      <c r="AN6" s="577">
        <v>1964056.15</v>
      </c>
      <c r="AO6" s="577">
        <v>147061.81</v>
      </c>
      <c r="AP6" s="577">
        <v>497872.04</v>
      </c>
      <c r="AQ6" s="577">
        <v>50994.21</v>
      </c>
      <c r="AR6" s="577">
        <v>206704.84</v>
      </c>
      <c r="AS6" s="577">
        <v>0</v>
      </c>
      <c r="AT6" s="577">
        <v>0</v>
      </c>
      <c r="AU6" s="577">
        <v>23746.53</v>
      </c>
      <c r="AV6" s="577">
        <v>49073.440000000002</v>
      </c>
      <c r="AW6" s="577">
        <v>0</v>
      </c>
      <c r="AX6" s="577">
        <v>0</v>
      </c>
      <c r="AY6" s="577">
        <v>4286.59</v>
      </c>
      <c r="AZ6" s="577">
        <v>2410</v>
      </c>
      <c r="BA6" s="577">
        <v>36799</v>
      </c>
      <c r="BB6" s="577">
        <v>1147.26</v>
      </c>
      <c r="BC6" s="577">
        <v>53541.61</v>
      </c>
      <c r="BD6" s="577">
        <v>0</v>
      </c>
      <c r="BE6" s="577">
        <v>11841.18</v>
      </c>
      <c r="BF6" s="577">
        <v>48582.26</v>
      </c>
      <c r="BG6" s="577">
        <v>31864.57</v>
      </c>
      <c r="BH6" s="576">
        <v>0</v>
      </c>
      <c r="BI6" s="576">
        <v>0</v>
      </c>
      <c r="BJ6" s="576">
        <v>0</v>
      </c>
      <c r="BK6" s="576">
        <v>0</v>
      </c>
      <c r="BL6" s="576">
        <v>0</v>
      </c>
      <c r="BM6" s="576">
        <v>0</v>
      </c>
      <c r="BN6" s="577">
        <f t="shared" si="3"/>
        <v>31864.57</v>
      </c>
      <c r="BO6" s="577">
        <v>12406.5</v>
      </c>
      <c r="BP6" s="577">
        <v>26781.24</v>
      </c>
      <c r="BQ6" s="577">
        <v>7000</v>
      </c>
      <c r="BR6" s="577">
        <v>2966.95</v>
      </c>
      <c r="BS6" s="577">
        <v>26069.69</v>
      </c>
      <c r="BT6" s="577">
        <v>158949.67000000001</v>
      </c>
      <c r="BU6" s="577">
        <v>167885.98</v>
      </c>
      <c r="BV6" s="577">
        <v>55836.59</v>
      </c>
      <c r="BW6" s="577">
        <v>0</v>
      </c>
      <c r="BX6" s="577">
        <v>0</v>
      </c>
      <c r="BY6" s="577">
        <v>0</v>
      </c>
      <c r="BZ6" s="577">
        <v>0</v>
      </c>
      <c r="CA6" s="577">
        <v>0</v>
      </c>
      <c r="CB6" s="577">
        <v>7855.94</v>
      </c>
      <c r="CC6" s="577">
        <v>0</v>
      </c>
      <c r="CD6" s="577">
        <v>0</v>
      </c>
      <c r="CE6" s="577">
        <v>6000</v>
      </c>
      <c r="CF6" s="577">
        <v>0</v>
      </c>
      <c r="CG6" s="577">
        <v>32221.38</v>
      </c>
      <c r="CH6" s="577">
        <v>0</v>
      </c>
      <c r="CI6" s="577">
        <v>0</v>
      </c>
      <c r="CJ6" s="576">
        <v>0</v>
      </c>
      <c r="CK6" s="576">
        <v>0</v>
      </c>
      <c r="CL6" s="576">
        <v>0</v>
      </c>
      <c r="CM6" s="576">
        <v>0</v>
      </c>
      <c r="CN6" s="577">
        <v>0</v>
      </c>
      <c r="CO6" s="577">
        <v>503848</v>
      </c>
      <c r="CP6" s="577">
        <v>25937.62</v>
      </c>
      <c r="CQ6" s="577">
        <v>0</v>
      </c>
      <c r="CR6" s="577">
        <v>0</v>
      </c>
      <c r="CS6" s="577">
        <v>0</v>
      </c>
      <c r="CU6" s="495">
        <f t="shared" si="4"/>
        <v>503848</v>
      </c>
      <c r="CV6" s="495">
        <f t="shared" si="5"/>
        <v>25937.62</v>
      </c>
      <c r="CW6" s="495">
        <f t="shared" si="6"/>
        <v>503848</v>
      </c>
      <c r="CX6" s="495">
        <f t="shared" si="0"/>
        <v>3649529.17</v>
      </c>
      <c r="CY6" s="495">
        <f t="shared" si="7"/>
        <v>3587878.1099999989</v>
      </c>
      <c r="CZ6" s="495">
        <f t="shared" si="1"/>
        <v>3217294.63</v>
      </c>
      <c r="DA6" s="495">
        <f t="shared" si="8"/>
        <v>61651.060000000987</v>
      </c>
    </row>
    <row r="7" spans="1:105" ht="15">
      <c r="A7" s="576">
        <v>302</v>
      </c>
      <c r="B7" s="576">
        <v>1102</v>
      </c>
      <c r="C7" s="576" t="s">
        <v>348</v>
      </c>
      <c r="D7" s="576" t="s">
        <v>594</v>
      </c>
      <c r="E7" s="576"/>
      <c r="F7" s="576" t="s">
        <v>588</v>
      </c>
      <c r="G7" s="576">
        <v>0</v>
      </c>
      <c r="H7" s="576">
        <v>3</v>
      </c>
      <c r="I7" s="576" t="s">
        <v>853</v>
      </c>
      <c r="J7" s="576" t="s">
        <v>854</v>
      </c>
      <c r="K7" s="576" t="s">
        <v>591</v>
      </c>
      <c r="L7" s="576" t="s">
        <v>592</v>
      </c>
      <c r="M7" s="576" t="s">
        <v>591</v>
      </c>
      <c r="N7" s="576" t="s">
        <v>593</v>
      </c>
      <c r="O7" s="576" t="s">
        <v>591</v>
      </c>
      <c r="P7" s="576" t="s">
        <v>188</v>
      </c>
      <c r="Q7" s="577">
        <v>-37777.82</v>
      </c>
      <c r="R7" s="577">
        <v>0</v>
      </c>
      <c r="S7" s="577">
        <v>21514.75</v>
      </c>
      <c r="T7" s="577">
        <v>564937.07999999996</v>
      </c>
      <c r="U7" s="577">
        <v>0</v>
      </c>
      <c r="V7" s="577">
        <v>36747.68</v>
      </c>
      <c r="W7" s="577">
        <v>0</v>
      </c>
      <c r="X7" s="577">
        <v>6895</v>
      </c>
      <c r="Y7" s="577">
        <v>0</v>
      </c>
      <c r="Z7" s="577">
        <v>49081.59</v>
      </c>
      <c r="AA7" s="577">
        <v>342360.7</v>
      </c>
      <c r="AB7" s="577">
        <v>36119</v>
      </c>
      <c r="AC7" s="577">
        <v>0</v>
      </c>
      <c r="AD7" s="577">
        <v>0</v>
      </c>
      <c r="AE7" s="577">
        <v>0</v>
      </c>
      <c r="AF7" s="577">
        <v>165</v>
      </c>
      <c r="AG7" s="577">
        <v>0</v>
      </c>
      <c r="AH7" s="577">
        <v>0</v>
      </c>
      <c r="AI7" s="577">
        <v>0</v>
      </c>
      <c r="AJ7" s="577">
        <v>0</v>
      </c>
      <c r="AK7" s="577">
        <v>3514.06</v>
      </c>
      <c r="AL7" s="577">
        <v>0</v>
      </c>
      <c r="AM7" s="580">
        <f t="shared" si="2"/>
        <v>3514.06</v>
      </c>
      <c r="AN7" s="577">
        <v>608047.92000000004</v>
      </c>
      <c r="AO7" s="577">
        <v>0</v>
      </c>
      <c r="AP7" s="577">
        <v>45727.87</v>
      </c>
      <c r="AQ7" s="577">
        <v>0</v>
      </c>
      <c r="AR7" s="577">
        <v>30266.04</v>
      </c>
      <c r="AS7" s="577">
        <v>0</v>
      </c>
      <c r="AT7" s="577">
        <v>6647.83</v>
      </c>
      <c r="AU7" s="577">
        <v>2983.56</v>
      </c>
      <c r="AV7" s="577">
        <v>1686.63</v>
      </c>
      <c r="AW7" s="577">
        <v>0</v>
      </c>
      <c r="AX7" s="577">
        <v>0</v>
      </c>
      <c r="AY7" s="577">
        <v>1185.97</v>
      </c>
      <c r="AZ7" s="577">
        <v>0</v>
      </c>
      <c r="BA7" s="577">
        <v>28.95</v>
      </c>
      <c r="BB7" s="577">
        <v>0</v>
      </c>
      <c r="BC7" s="577">
        <v>0</v>
      </c>
      <c r="BD7" s="577">
        <v>0</v>
      </c>
      <c r="BE7" s="577">
        <v>356790.96</v>
      </c>
      <c r="BF7" s="577">
        <v>6953.55</v>
      </c>
      <c r="BG7" s="577">
        <v>5514.11</v>
      </c>
      <c r="BH7" s="576">
        <v>0</v>
      </c>
      <c r="BI7" s="576">
        <v>1297.6400000000001</v>
      </c>
      <c r="BJ7" s="576">
        <v>8380.56</v>
      </c>
      <c r="BK7" s="576">
        <v>0</v>
      </c>
      <c r="BL7" s="576">
        <v>0</v>
      </c>
      <c r="BM7" s="576">
        <v>7530.27</v>
      </c>
      <c r="BN7" s="577">
        <f t="shared" si="3"/>
        <v>22722.58</v>
      </c>
      <c r="BO7" s="577">
        <v>6030.42</v>
      </c>
      <c r="BP7" s="577">
        <v>8629.77</v>
      </c>
      <c r="BQ7" s="577">
        <v>61.82</v>
      </c>
      <c r="BR7" s="577">
        <v>243.28</v>
      </c>
      <c r="BS7" s="577">
        <v>632.99</v>
      </c>
      <c r="BT7" s="577">
        <v>1290.0999999999999</v>
      </c>
      <c r="BU7" s="577">
        <v>25017.47</v>
      </c>
      <c r="BV7" s="577">
        <v>24737.97</v>
      </c>
      <c r="BW7" s="577">
        <v>0</v>
      </c>
      <c r="BX7" s="577">
        <v>0</v>
      </c>
      <c r="BY7" s="577">
        <v>0</v>
      </c>
      <c r="BZ7" s="577">
        <v>0</v>
      </c>
      <c r="CA7" s="577">
        <v>0</v>
      </c>
      <c r="CB7" s="577">
        <v>4801.5600000000004</v>
      </c>
      <c r="CC7" s="577">
        <v>0</v>
      </c>
      <c r="CD7" s="577">
        <v>0</v>
      </c>
      <c r="CE7" s="577">
        <v>6000</v>
      </c>
      <c r="CF7" s="577">
        <v>0</v>
      </c>
      <c r="CG7" s="577">
        <v>0</v>
      </c>
      <c r="CH7" s="577">
        <v>435.81</v>
      </c>
      <c r="CI7" s="577">
        <v>0</v>
      </c>
      <c r="CJ7" s="576">
        <v>0</v>
      </c>
      <c r="CK7" s="576">
        <v>0</v>
      </c>
      <c r="CL7" s="576">
        <v>2263.9299999999998</v>
      </c>
      <c r="CM7" s="576">
        <v>634.96</v>
      </c>
      <c r="CN7" s="577">
        <v>0</v>
      </c>
      <c r="CO7" s="577">
        <v>-147643.39000000001</v>
      </c>
      <c r="CP7" s="577">
        <v>22981.61</v>
      </c>
      <c r="CQ7" s="577">
        <v>0</v>
      </c>
      <c r="CR7" s="577">
        <v>0</v>
      </c>
      <c r="CS7" s="577">
        <v>0</v>
      </c>
      <c r="CU7" s="495">
        <f t="shared" si="4"/>
        <v>-147643.39000000001</v>
      </c>
      <c r="CV7" s="495">
        <f t="shared" si="5"/>
        <v>22981.61</v>
      </c>
      <c r="CW7" s="495">
        <f t="shared" si="6"/>
        <v>-147643.39000000001</v>
      </c>
      <c r="CX7" s="495">
        <f t="shared" si="0"/>
        <v>1039820.1100000001</v>
      </c>
      <c r="CY7" s="495">
        <f t="shared" si="7"/>
        <v>1149685.6800000002</v>
      </c>
      <c r="CZ7" s="495">
        <f t="shared" si="1"/>
        <v>601684.76</v>
      </c>
      <c r="DA7" s="495">
        <f t="shared" si="8"/>
        <v>-109865.57000000007</v>
      </c>
    </row>
    <row r="8" spans="1:105" ht="15">
      <c r="A8" s="576">
        <v>302</v>
      </c>
      <c r="B8" s="576">
        <v>2002</v>
      </c>
      <c r="C8" s="576" t="s">
        <v>258</v>
      </c>
      <c r="D8" s="576" t="s">
        <v>594</v>
      </c>
      <c r="E8" s="576"/>
      <c r="F8" s="576" t="s">
        <v>588</v>
      </c>
      <c r="G8" s="576">
        <v>0</v>
      </c>
      <c r="H8" s="576">
        <v>1</v>
      </c>
      <c r="I8" s="576" t="s">
        <v>853</v>
      </c>
      <c r="J8" s="576" t="s">
        <v>854</v>
      </c>
      <c r="K8" s="576" t="s">
        <v>591</v>
      </c>
      <c r="L8" s="576" t="s">
        <v>592</v>
      </c>
      <c r="M8" s="576" t="s">
        <v>591</v>
      </c>
      <c r="N8" s="576" t="s">
        <v>593</v>
      </c>
      <c r="O8" s="576" t="s">
        <v>188</v>
      </c>
      <c r="P8" s="576" t="s">
        <v>188</v>
      </c>
      <c r="Q8" s="577">
        <v>38294.5</v>
      </c>
      <c r="R8" s="577">
        <v>0</v>
      </c>
      <c r="S8" s="577">
        <v>0</v>
      </c>
      <c r="T8" s="577">
        <v>2652474.5099999998</v>
      </c>
      <c r="U8" s="577">
        <v>0</v>
      </c>
      <c r="V8" s="577">
        <v>258413.54</v>
      </c>
      <c r="W8" s="577">
        <v>0</v>
      </c>
      <c r="X8" s="577">
        <v>125800</v>
      </c>
      <c r="Y8" s="577">
        <v>10088.84</v>
      </c>
      <c r="Z8" s="577">
        <v>97858.6</v>
      </c>
      <c r="AA8" s="577">
        <v>18178.990000000002</v>
      </c>
      <c r="AB8" s="577">
        <v>45556.72</v>
      </c>
      <c r="AC8" s="577">
        <v>788.58</v>
      </c>
      <c r="AD8" s="577">
        <v>0</v>
      </c>
      <c r="AE8" s="577">
        <v>0</v>
      </c>
      <c r="AF8" s="577">
        <v>31007.46</v>
      </c>
      <c r="AG8" s="577">
        <v>7491.67</v>
      </c>
      <c r="AH8" s="577">
        <v>0</v>
      </c>
      <c r="AI8" s="577">
        <v>0</v>
      </c>
      <c r="AJ8" s="577">
        <v>0</v>
      </c>
      <c r="AK8" s="577">
        <v>2897.5</v>
      </c>
      <c r="AL8" s="577">
        <v>85941</v>
      </c>
      <c r="AM8" s="580">
        <f t="shared" si="2"/>
        <v>88838.5</v>
      </c>
      <c r="AN8" s="577">
        <v>1372842.8</v>
      </c>
      <c r="AO8" s="577">
        <v>0</v>
      </c>
      <c r="AP8" s="577">
        <v>688780.96</v>
      </c>
      <c r="AQ8" s="577">
        <v>25413.11</v>
      </c>
      <c r="AR8" s="577">
        <v>119803.56</v>
      </c>
      <c r="AS8" s="577">
        <v>0</v>
      </c>
      <c r="AT8" s="577">
        <v>46366.69</v>
      </c>
      <c r="AU8" s="577">
        <v>6079.6</v>
      </c>
      <c r="AV8" s="577">
        <v>4733.79</v>
      </c>
      <c r="AW8" s="577">
        <v>689</v>
      </c>
      <c r="AX8" s="577">
        <v>0</v>
      </c>
      <c r="AY8" s="577">
        <v>23535.17</v>
      </c>
      <c r="AZ8" s="577">
        <v>0</v>
      </c>
      <c r="BA8" s="577">
        <v>78262.63</v>
      </c>
      <c r="BB8" s="577">
        <v>11592.85</v>
      </c>
      <c r="BC8" s="577">
        <v>73965.820000000007</v>
      </c>
      <c r="BD8" s="577">
        <v>36300</v>
      </c>
      <c r="BE8" s="577">
        <v>16882.03</v>
      </c>
      <c r="BF8" s="577">
        <v>89703.9</v>
      </c>
      <c r="BG8" s="577">
        <v>5495</v>
      </c>
      <c r="BH8" s="576">
        <v>0</v>
      </c>
      <c r="BI8" s="576">
        <v>4508.3999999999996</v>
      </c>
      <c r="BJ8" s="576">
        <v>6910</v>
      </c>
      <c r="BK8" s="576">
        <v>2789.06</v>
      </c>
      <c r="BL8" s="576">
        <v>250</v>
      </c>
      <c r="BM8" s="576">
        <v>21360.6</v>
      </c>
      <c r="BN8" s="577">
        <f t="shared" si="3"/>
        <v>41313.06</v>
      </c>
      <c r="BO8" s="577">
        <v>0</v>
      </c>
      <c r="BP8" s="577">
        <v>13683.49</v>
      </c>
      <c r="BQ8" s="577">
        <v>17470.09</v>
      </c>
      <c r="BR8" s="577">
        <v>8083.79</v>
      </c>
      <c r="BS8" s="577">
        <v>178187.05</v>
      </c>
      <c r="BT8" s="577">
        <v>23433.9</v>
      </c>
      <c r="BU8" s="577">
        <v>469374.65</v>
      </c>
      <c r="BV8" s="577">
        <v>64786.97</v>
      </c>
      <c r="BW8" s="577">
        <v>0</v>
      </c>
      <c r="BX8" s="577">
        <v>0</v>
      </c>
      <c r="BY8" s="577">
        <v>27709</v>
      </c>
      <c r="BZ8" s="577">
        <v>0</v>
      </c>
      <c r="CA8" s="577">
        <v>0</v>
      </c>
      <c r="CB8" s="577">
        <v>8882.5</v>
      </c>
      <c r="CC8" s="577">
        <v>65000</v>
      </c>
      <c r="CD8" s="577">
        <v>27709</v>
      </c>
      <c r="CE8" s="577">
        <v>6000</v>
      </c>
      <c r="CF8" s="577">
        <v>0</v>
      </c>
      <c r="CG8" s="577">
        <v>87279.5</v>
      </c>
      <c r="CH8" s="577">
        <v>14312</v>
      </c>
      <c r="CI8" s="577">
        <v>0</v>
      </c>
      <c r="CJ8" s="576">
        <v>0</v>
      </c>
      <c r="CK8" s="576">
        <v>0</v>
      </c>
      <c r="CL8" s="576">
        <v>0</v>
      </c>
      <c r="CM8" s="576">
        <v>0</v>
      </c>
      <c r="CN8" s="577">
        <v>1512</v>
      </c>
      <c r="CO8" s="577">
        <v>-65714</v>
      </c>
      <c r="CP8" s="577">
        <v>0</v>
      </c>
      <c r="CQ8" s="577">
        <v>0</v>
      </c>
      <c r="CR8" s="577">
        <v>0</v>
      </c>
      <c r="CS8" s="577">
        <v>0</v>
      </c>
      <c r="CU8" s="495">
        <f t="shared" si="4"/>
        <v>-64202</v>
      </c>
      <c r="CV8" s="495">
        <f t="shared" si="5"/>
        <v>0</v>
      </c>
      <c r="CW8" s="495">
        <f t="shared" si="6"/>
        <v>-64202</v>
      </c>
      <c r="CX8" s="495">
        <f t="shared" si="0"/>
        <v>3336497.41</v>
      </c>
      <c r="CY8" s="495">
        <f t="shared" si="7"/>
        <v>3438993.9099999997</v>
      </c>
      <c r="CZ8" s="495">
        <f t="shared" si="1"/>
        <v>2910888.05</v>
      </c>
      <c r="DA8" s="495">
        <f t="shared" si="8"/>
        <v>-102496.49999999953</v>
      </c>
    </row>
    <row r="9" spans="1:105" ht="15">
      <c r="A9" s="576">
        <v>302</v>
      </c>
      <c r="B9" s="576">
        <v>2007</v>
      </c>
      <c r="C9" s="576" t="s">
        <v>42</v>
      </c>
      <c r="D9" s="576" t="s">
        <v>594</v>
      </c>
      <c r="E9" s="576"/>
      <c r="F9" s="576" t="s">
        <v>588</v>
      </c>
      <c r="G9" s="576">
        <v>0</v>
      </c>
      <c r="H9" s="576">
        <v>0</v>
      </c>
      <c r="I9" s="576" t="s">
        <v>853</v>
      </c>
      <c r="J9" s="576" t="s">
        <v>854</v>
      </c>
      <c r="K9" s="576" t="s">
        <v>591</v>
      </c>
      <c r="L9" s="576" t="s">
        <v>592</v>
      </c>
      <c r="M9" s="576" t="s">
        <v>591</v>
      </c>
      <c r="N9" s="576" t="s">
        <v>593</v>
      </c>
      <c r="O9" s="576" t="s">
        <v>188</v>
      </c>
      <c r="P9" s="576" t="s">
        <v>188</v>
      </c>
      <c r="Q9" s="577">
        <v>150290.09</v>
      </c>
      <c r="R9" s="577">
        <v>0</v>
      </c>
      <c r="S9" s="577">
        <v>0</v>
      </c>
      <c r="T9" s="577">
        <v>1920869.46</v>
      </c>
      <c r="U9" s="577">
        <v>0</v>
      </c>
      <c r="V9" s="577">
        <v>157213.07999999999</v>
      </c>
      <c r="W9" s="577">
        <v>0</v>
      </c>
      <c r="X9" s="577">
        <v>106730</v>
      </c>
      <c r="Y9" s="577">
        <v>2114.81</v>
      </c>
      <c r="Z9" s="577">
        <v>167586.47</v>
      </c>
      <c r="AA9" s="577">
        <v>49397.98</v>
      </c>
      <c r="AB9" s="577">
        <v>69747.38</v>
      </c>
      <c r="AC9" s="577">
        <v>0</v>
      </c>
      <c r="AD9" s="577">
        <v>4440</v>
      </c>
      <c r="AE9" s="577">
        <v>3200</v>
      </c>
      <c r="AF9" s="577">
        <v>94782.59</v>
      </c>
      <c r="AG9" s="577">
        <v>30877.94</v>
      </c>
      <c r="AH9" s="577">
        <v>0</v>
      </c>
      <c r="AI9" s="577">
        <v>0</v>
      </c>
      <c r="AJ9" s="577">
        <v>0</v>
      </c>
      <c r="AK9" s="577">
        <v>7458.13</v>
      </c>
      <c r="AL9" s="577">
        <v>19556</v>
      </c>
      <c r="AM9" s="580">
        <f t="shared" si="2"/>
        <v>27014.13</v>
      </c>
      <c r="AN9" s="577">
        <v>1230210.44</v>
      </c>
      <c r="AO9" s="577">
        <v>0</v>
      </c>
      <c r="AP9" s="577">
        <v>465956.76</v>
      </c>
      <c r="AQ9" s="577">
        <v>41930.51</v>
      </c>
      <c r="AR9" s="577">
        <v>123129.19</v>
      </c>
      <c r="AS9" s="577">
        <v>0</v>
      </c>
      <c r="AT9" s="577">
        <v>61825.34</v>
      </c>
      <c r="AU9" s="577">
        <v>7780.33</v>
      </c>
      <c r="AV9" s="577">
        <v>3686</v>
      </c>
      <c r="AW9" s="577">
        <v>25380.94</v>
      </c>
      <c r="AX9" s="577">
        <v>0</v>
      </c>
      <c r="AY9" s="577">
        <v>62155.15</v>
      </c>
      <c r="AZ9" s="577">
        <v>6461.48</v>
      </c>
      <c r="BA9" s="577">
        <v>56618.62</v>
      </c>
      <c r="BB9" s="577">
        <v>2661.81</v>
      </c>
      <c r="BC9" s="577">
        <v>77101.09</v>
      </c>
      <c r="BD9" s="577">
        <v>24099.599999999999</v>
      </c>
      <c r="BE9" s="577">
        <v>9381.8799999999992</v>
      </c>
      <c r="BF9" s="577">
        <v>115918.33</v>
      </c>
      <c r="BG9" s="577">
        <v>3497.5</v>
      </c>
      <c r="BH9" s="576">
        <v>0</v>
      </c>
      <c r="BI9" s="576">
        <v>9305.5</v>
      </c>
      <c r="BJ9" s="576">
        <v>690</v>
      </c>
      <c r="BK9" s="576">
        <v>1373.98</v>
      </c>
      <c r="BL9" s="576">
        <v>0</v>
      </c>
      <c r="BM9" s="576">
        <v>0</v>
      </c>
      <c r="BN9" s="577">
        <f t="shared" si="3"/>
        <v>14866.98</v>
      </c>
      <c r="BO9" s="577">
        <v>0</v>
      </c>
      <c r="BP9" s="577">
        <v>23325.65</v>
      </c>
      <c r="BQ9" s="577">
        <v>14434.17</v>
      </c>
      <c r="BR9" s="577">
        <v>6682.36</v>
      </c>
      <c r="BS9" s="577">
        <v>114755.24</v>
      </c>
      <c r="BT9" s="577">
        <v>26267.200000000001</v>
      </c>
      <c r="BU9" s="577">
        <v>187784.57</v>
      </c>
      <c r="BV9" s="577">
        <v>35455.29</v>
      </c>
      <c r="BW9" s="577">
        <v>0</v>
      </c>
      <c r="BX9" s="577">
        <v>0</v>
      </c>
      <c r="BY9" s="577">
        <v>0</v>
      </c>
      <c r="BZ9" s="577">
        <v>0</v>
      </c>
      <c r="CA9" s="577">
        <v>0</v>
      </c>
      <c r="CB9" s="577">
        <v>11027.5</v>
      </c>
      <c r="CC9" s="577">
        <v>0</v>
      </c>
      <c r="CD9" s="577">
        <v>0</v>
      </c>
      <c r="CE9" s="577">
        <v>6000</v>
      </c>
      <c r="CF9" s="577">
        <v>0</v>
      </c>
      <c r="CG9" s="577">
        <v>7053.5</v>
      </c>
      <c r="CH9" s="577">
        <v>0</v>
      </c>
      <c r="CI9" s="577">
        <v>0</v>
      </c>
      <c r="CJ9" s="576">
        <v>0</v>
      </c>
      <c r="CK9" s="576">
        <v>0</v>
      </c>
      <c r="CL9" s="576">
        <v>0</v>
      </c>
      <c r="CM9" s="576">
        <v>0</v>
      </c>
      <c r="CN9" s="577">
        <v>8510</v>
      </c>
      <c r="CO9" s="577">
        <v>37885</v>
      </c>
      <c r="CP9" s="577">
        <v>3974</v>
      </c>
      <c r="CQ9" s="577">
        <v>0</v>
      </c>
      <c r="CR9" s="577">
        <v>0</v>
      </c>
      <c r="CS9" s="577">
        <v>0</v>
      </c>
      <c r="CU9" s="495">
        <f t="shared" si="4"/>
        <v>46395</v>
      </c>
      <c r="CV9" s="495">
        <f t="shared" si="5"/>
        <v>3974</v>
      </c>
      <c r="CW9" s="495">
        <f t="shared" si="6"/>
        <v>46395</v>
      </c>
      <c r="CX9" s="495">
        <f t="shared" si="0"/>
        <v>2633973.84</v>
      </c>
      <c r="CY9" s="495">
        <f t="shared" si="7"/>
        <v>2737868.93</v>
      </c>
      <c r="CZ9" s="495">
        <f t="shared" si="1"/>
        <v>2078082.54</v>
      </c>
      <c r="DA9" s="495">
        <f t="shared" si="8"/>
        <v>-103895.09000000032</v>
      </c>
    </row>
    <row r="10" spans="1:105" ht="15">
      <c r="A10" s="576">
        <v>302</v>
      </c>
      <c r="B10" s="576">
        <v>2008</v>
      </c>
      <c r="C10" s="576" t="s">
        <v>357</v>
      </c>
      <c r="D10" s="576" t="s">
        <v>594</v>
      </c>
      <c r="E10" s="576"/>
      <c r="F10" s="576" t="s">
        <v>588</v>
      </c>
      <c r="G10" s="576">
        <v>0</v>
      </c>
      <c r="H10" s="576">
        <v>1</v>
      </c>
      <c r="I10" s="576" t="s">
        <v>853</v>
      </c>
      <c r="J10" s="576" t="s">
        <v>854</v>
      </c>
      <c r="K10" s="576" t="s">
        <v>591</v>
      </c>
      <c r="L10" s="576" t="s">
        <v>592</v>
      </c>
      <c r="M10" s="576" t="s">
        <v>591</v>
      </c>
      <c r="N10" s="576" t="s">
        <v>593</v>
      </c>
      <c r="O10" s="576" t="s">
        <v>188</v>
      </c>
      <c r="P10" s="576" t="s">
        <v>188</v>
      </c>
      <c r="Q10" s="577">
        <v>34078.49</v>
      </c>
      <c r="R10" s="577">
        <v>0</v>
      </c>
      <c r="S10" s="577">
        <v>758.25</v>
      </c>
      <c r="T10" s="577">
        <v>1740040.66</v>
      </c>
      <c r="U10" s="577">
        <v>0</v>
      </c>
      <c r="V10" s="577">
        <v>126424.48</v>
      </c>
      <c r="W10" s="577">
        <v>0</v>
      </c>
      <c r="X10" s="577">
        <v>41440</v>
      </c>
      <c r="Y10" s="577">
        <v>2914.81</v>
      </c>
      <c r="Z10" s="577">
        <v>2205.9499999999998</v>
      </c>
      <c r="AA10" s="577">
        <v>46173.43</v>
      </c>
      <c r="AB10" s="577">
        <v>11622.17</v>
      </c>
      <c r="AC10" s="577">
        <v>14092.74</v>
      </c>
      <c r="AD10" s="577">
        <v>0</v>
      </c>
      <c r="AE10" s="577">
        <v>22523.05</v>
      </c>
      <c r="AF10" s="577">
        <v>119382.36</v>
      </c>
      <c r="AG10" s="577">
        <v>15497.93</v>
      </c>
      <c r="AH10" s="577">
        <v>0</v>
      </c>
      <c r="AI10" s="577">
        <v>0</v>
      </c>
      <c r="AJ10" s="577">
        <v>0</v>
      </c>
      <c r="AK10" s="577">
        <v>12151</v>
      </c>
      <c r="AL10" s="577">
        <v>115746</v>
      </c>
      <c r="AM10" s="580">
        <f t="shared" si="2"/>
        <v>127897</v>
      </c>
      <c r="AN10" s="577">
        <v>1005556.64</v>
      </c>
      <c r="AO10" s="577">
        <v>0</v>
      </c>
      <c r="AP10" s="577">
        <v>460161.97</v>
      </c>
      <c r="AQ10" s="577">
        <v>30894.63</v>
      </c>
      <c r="AR10" s="577">
        <v>36505.18</v>
      </c>
      <c r="AS10" s="577">
        <v>0</v>
      </c>
      <c r="AT10" s="577">
        <v>17052.68</v>
      </c>
      <c r="AU10" s="577">
        <v>7042.66</v>
      </c>
      <c r="AV10" s="577">
        <v>4080</v>
      </c>
      <c r="AW10" s="577">
        <v>21660.41</v>
      </c>
      <c r="AX10" s="577">
        <v>0</v>
      </c>
      <c r="AY10" s="577">
        <v>18857.57</v>
      </c>
      <c r="AZ10" s="577">
        <v>5278.06</v>
      </c>
      <c r="BA10" s="577">
        <v>49302.559999999998</v>
      </c>
      <c r="BB10" s="577">
        <v>4675.79</v>
      </c>
      <c r="BC10" s="577">
        <v>52807.12</v>
      </c>
      <c r="BD10" s="577">
        <v>4016.6</v>
      </c>
      <c r="BE10" s="577">
        <v>10275.32</v>
      </c>
      <c r="BF10" s="577">
        <v>53359.71</v>
      </c>
      <c r="BG10" s="577">
        <v>3497.5</v>
      </c>
      <c r="BH10" s="576">
        <v>0</v>
      </c>
      <c r="BI10" s="576">
        <v>5389.79</v>
      </c>
      <c r="BJ10" s="576">
        <v>678</v>
      </c>
      <c r="BK10" s="576">
        <v>3268.93</v>
      </c>
      <c r="BL10" s="576">
        <v>7395.24</v>
      </c>
      <c r="BM10" s="576">
        <v>0</v>
      </c>
      <c r="BN10" s="577">
        <f t="shared" si="3"/>
        <v>20229.46</v>
      </c>
      <c r="BO10" s="577">
        <v>0</v>
      </c>
      <c r="BP10" s="577">
        <v>12029.82</v>
      </c>
      <c r="BQ10" s="577">
        <v>10631.4</v>
      </c>
      <c r="BR10" s="577">
        <v>11004.74</v>
      </c>
      <c r="BS10" s="577">
        <v>104263.41</v>
      </c>
      <c r="BT10" s="577">
        <v>98518.02</v>
      </c>
      <c r="BU10" s="577">
        <v>325546.36</v>
      </c>
      <c r="BV10" s="577">
        <v>33704.959999999999</v>
      </c>
      <c r="BW10" s="577">
        <v>0</v>
      </c>
      <c r="BX10" s="577">
        <v>0</v>
      </c>
      <c r="BY10" s="577">
        <v>0</v>
      </c>
      <c r="BZ10" s="577">
        <v>0</v>
      </c>
      <c r="CA10" s="577">
        <v>0</v>
      </c>
      <c r="CB10" s="577">
        <v>7386.25</v>
      </c>
      <c r="CC10" s="577">
        <v>0</v>
      </c>
      <c r="CD10" s="577">
        <v>0</v>
      </c>
      <c r="CE10" s="577">
        <v>6000</v>
      </c>
      <c r="CF10" s="577">
        <v>0</v>
      </c>
      <c r="CG10" s="577">
        <v>5159.5</v>
      </c>
      <c r="CH10" s="577">
        <v>0</v>
      </c>
      <c r="CI10" s="577">
        <v>0</v>
      </c>
      <c r="CJ10" s="576">
        <v>0</v>
      </c>
      <c r="CK10" s="576">
        <v>0</v>
      </c>
      <c r="CL10" s="576">
        <v>0</v>
      </c>
      <c r="CM10" s="576">
        <v>0</v>
      </c>
      <c r="CN10" s="577">
        <v>0</v>
      </c>
      <c r="CO10" s="577">
        <v>-93162</v>
      </c>
      <c r="CP10" s="577">
        <v>2985</v>
      </c>
      <c r="CQ10" s="577">
        <v>0</v>
      </c>
      <c r="CR10" s="577">
        <v>0</v>
      </c>
      <c r="CS10" s="577">
        <v>0</v>
      </c>
      <c r="CU10" s="495">
        <f t="shared" si="4"/>
        <v>-93162</v>
      </c>
      <c r="CV10" s="495">
        <f t="shared" si="5"/>
        <v>2985</v>
      </c>
      <c r="CW10" s="495">
        <f t="shared" si="6"/>
        <v>-93162</v>
      </c>
      <c r="CX10" s="495">
        <f t="shared" si="0"/>
        <v>2270214.58</v>
      </c>
      <c r="CY10" s="495">
        <f t="shared" si="7"/>
        <v>2397455.0699999998</v>
      </c>
      <c r="CZ10" s="495">
        <f t="shared" si="1"/>
        <v>1866465.14</v>
      </c>
      <c r="DA10" s="495">
        <f t="shared" si="8"/>
        <v>-127240.48999999976</v>
      </c>
    </row>
    <row r="11" spans="1:105" ht="30">
      <c r="A11" s="576">
        <v>302</v>
      </c>
      <c r="B11" s="576">
        <v>2009</v>
      </c>
      <c r="C11" s="576" t="s">
        <v>358</v>
      </c>
      <c r="D11" s="576" t="s">
        <v>594</v>
      </c>
      <c r="E11" s="576"/>
      <c r="F11" s="576" t="s">
        <v>588</v>
      </c>
      <c r="G11" s="576">
        <v>0</v>
      </c>
      <c r="H11" s="576">
        <v>1</v>
      </c>
      <c r="I11" s="576" t="s">
        <v>853</v>
      </c>
      <c r="J11" s="576" t="s">
        <v>854</v>
      </c>
      <c r="K11" s="576" t="s">
        <v>591</v>
      </c>
      <c r="L11" s="576" t="s">
        <v>592</v>
      </c>
      <c r="M11" s="576" t="s">
        <v>591</v>
      </c>
      <c r="N11" s="576" t="s">
        <v>593</v>
      </c>
      <c r="O11" s="576" t="s">
        <v>188</v>
      </c>
      <c r="P11" s="576" t="s">
        <v>188</v>
      </c>
      <c r="Q11" s="577">
        <v>-112860.21</v>
      </c>
      <c r="R11" s="577">
        <v>0</v>
      </c>
      <c r="S11" s="577">
        <v>0</v>
      </c>
      <c r="T11" s="577">
        <v>2549294.31</v>
      </c>
      <c r="U11" s="577">
        <v>0</v>
      </c>
      <c r="V11" s="577">
        <v>302857.89</v>
      </c>
      <c r="W11" s="577">
        <v>0</v>
      </c>
      <c r="X11" s="577">
        <v>126110</v>
      </c>
      <c r="Y11" s="577">
        <v>8213.11</v>
      </c>
      <c r="Z11" s="577">
        <v>112392.34</v>
      </c>
      <c r="AA11" s="577">
        <v>39243</v>
      </c>
      <c r="AB11" s="577">
        <v>235791.75</v>
      </c>
      <c r="AC11" s="577">
        <v>2900.72</v>
      </c>
      <c r="AD11" s="577">
        <v>0</v>
      </c>
      <c r="AE11" s="577">
        <v>0</v>
      </c>
      <c r="AF11" s="577">
        <v>73312.55</v>
      </c>
      <c r="AG11" s="577">
        <v>22847.16</v>
      </c>
      <c r="AH11" s="577">
        <v>0</v>
      </c>
      <c r="AI11" s="577">
        <v>0</v>
      </c>
      <c r="AJ11" s="577">
        <v>0</v>
      </c>
      <c r="AK11" s="577">
        <v>9489.81</v>
      </c>
      <c r="AL11" s="577">
        <v>83006</v>
      </c>
      <c r="AM11" s="580">
        <f t="shared" si="2"/>
        <v>92495.81</v>
      </c>
      <c r="AN11" s="577">
        <v>1680252.52</v>
      </c>
      <c r="AO11" s="577">
        <v>0</v>
      </c>
      <c r="AP11" s="577">
        <v>628087.16</v>
      </c>
      <c r="AQ11" s="577">
        <v>30960.36</v>
      </c>
      <c r="AR11" s="577">
        <v>131408.67000000001</v>
      </c>
      <c r="AS11" s="577">
        <v>0</v>
      </c>
      <c r="AT11" s="577">
        <v>125312.76</v>
      </c>
      <c r="AU11" s="577">
        <v>14159.1</v>
      </c>
      <c r="AV11" s="577">
        <v>10669.3</v>
      </c>
      <c r="AW11" s="577">
        <v>695.54</v>
      </c>
      <c r="AX11" s="577">
        <v>0</v>
      </c>
      <c r="AY11" s="577">
        <v>23265.03</v>
      </c>
      <c r="AZ11" s="577">
        <v>5121.75</v>
      </c>
      <c r="BA11" s="577">
        <v>54076.36</v>
      </c>
      <c r="BB11" s="577">
        <v>6825.1</v>
      </c>
      <c r="BC11" s="577">
        <v>42299.78</v>
      </c>
      <c r="BD11" s="577">
        <v>47880</v>
      </c>
      <c r="BE11" s="577">
        <v>17599.89</v>
      </c>
      <c r="BF11" s="577">
        <v>96735.06</v>
      </c>
      <c r="BG11" s="577">
        <v>11203.12</v>
      </c>
      <c r="BH11" s="576">
        <v>495</v>
      </c>
      <c r="BI11" s="576">
        <v>11768.94</v>
      </c>
      <c r="BJ11" s="576">
        <v>11222.27</v>
      </c>
      <c r="BK11" s="576">
        <v>7456.65</v>
      </c>
      <c r="BL11" s="576">
        <v>423.47</v>
      </c>
      <c r="BM11" s="576">
        <v>11014</v>
      </c>
      <c r="BN11" s="577">
        <f t="shared" si="3"/>
        <v>53583.450000000004</v>
      </c>
      <c r="BO11" s="577">
        <v>0</v>
      </c>
      <c r="BP11" s="577">
        <v>10950.46</v>
      </c>
      <c r="BQ11" s="577">
        <v>20092.91</v>
      </c>
      <c r="BR11" s="577">
        <v>48041.16</v>
      </c>
      <c r="BS11" s="577">
        <v>167718.89000000001</v>
      </c>
      <c r="BT11" s="577">
        <v>36624.730000000003</v>
      </c>
      <c r="BU11" s="577">
        <v>290484.27</v>
      </c>
      <c r="BV11" s="577">
        <v>31156.18</v>
      </c>
      <c r="BW11" s="577">
        <v>0</v>
      </c>
      <c r="BX11" s="577">
        <v>0</v>
      </c>
      <c r="BY11" s="577">
        <v>0</v>
      </c>
      <c r="BZ11" s="577">
        <v>0</v>
      </c>
      <c r="CA11" s="577">
        <v>0</v>
      </c>
      <c r="CB11" s="577">
        <v>9078.25</v>
      </c>
      <c r="CC11" s="577">
        <v>0</v>
      </c>
      <c r="CD11" s="577">
        <v>0</v>
      </c>
      <c r="CE11" s="577">
        <v>6000</v>
      </c>
      <c r="CF11" s="577">
        <v>0</v>
      </c>
      <c r="CG11" s="577">
        <v>7201.25</v>
      </c>
      <c r="CH11" s="577">
        <v>0</v>
      </c>
      <c r="CI11" s="577">
        <v>0</v>
      </c>
      <c r="CJ11" s="576">
        <v>0</v>
      </c>
      <c r="CK11" s="576">
        <v>0</v>
      </c>
      <c r="CL11" s="576">
        <v>0</v>
      </c>
      <c r="CM11" s="576">
        <v>0</v>
      </c>
      <c r="CN11" s="577">
        <v>1360</v>
      </c>
      <c r="CO11" s="577">
        <v>-122762</v>
      </c>
      <c r="CP11" s="577">
        <v>1877</v>
      </c>
      <c r="CQ11" s="577">
        <v>0</v>
      </c>
      <c r="CR11" s="577">
        <v>0</v>
      </c>
      <c r="CS11" s="577">
        <v>0</v>
      </c>
      <c r="CU11" s="495">
        <f t="shared" si="4"/>
        <v>-121402</v>
      </c>
      <c r="CV11" s="495">
        <f t="shared" si="5"/>
        <v>1877</v>
      </c>
      <c r="CW11" s="495">
        <f t="shared" si="6"/>
        <v>-121402</v>
      </c>
      <c r="CX11" s="495">
        <f t="shared" si="0"/>
        <v>3565458.64</v>
      </c>
      <c r="CY11" s="495">
        <f t="shared" si="7"/>
        <v>3574000.43</v>
      </c>
      <c r="CZ11" s="495">
        <f t="shared" si="1"/>
        <v>2852152.2</v>
      </c>
      <c r="DA11" s="495">
        <f t="shared" si="8"/>
        <v>-8541.7900000000373</v>
      </c>
    </row>
    <row r="12" spans="1:105" ht="15">
      <c r="A12" s="576">
        <v>302</v>
      </c>
      <c r="B12" s="576">
        <v>2011</v>
      </c>
      <c r="C12" s="576" t="s">
        <v>47</v>
      </c>
      <c r="D12" s="576" t="s">
        <v>594</v>
      </c>
      <c r="E12" s="576"/>
      <c r="F12" s="576" t="s">
        <v>588</v>
      </c>
      <c r="G12" s="576">
        <v>0</v>
      </c>
      <c r="H12" s="576">
        <v>1</v>
      </c>
      <c r="I12" s="576" t="s">
        <v>853</v>
      </c>
      <c r="J12" s="576" t="s">
        <v>854</v>
      </c>
      <c r="K12" s="576" t="s">
        <v>591</v>
      </c>
      <c r="L12" s="576" t="s">
        <v>592</v>
      </c>
      <c r="M12" s="576" t="s">
        <v>591</v>
      </c>
      <c r="N12" s="576" t="s">
        <v>593</v>
      </c>
      <c r="O12" s="576" t="s">
        <v>188</v>
      </c>
      <c r="P12" s="576" t="s">
        <v>188</v>
      </c>
      <c r="Q12" s="577">
        <v>-171995.46</v>
      </c>
      <c r="R12" s="577">
        <v>0</v>
      </c>
      <c r="S12" s="577">
        <v>14472.69</v>
      </c>
      <c r="T12" s="577">
        <v>1200085.3500000001</v>
      </c>
      <c r="U12" s="577">
        <v>0</v>
      </c>
      <c r="V12" s="577">
        <v>116024.42</v>
      </c>
      <c r="W12" s="577">
        <v>0</v>
      </c>
      <c r="X12" s="577">
        <v>65647</v>
      </c>
      <c r="Y12" s="577">
        <v>20787.14</v>
      </c>
      <c r="Z12" s="577">
        <v>61793.120000000003</v>
      </c>
      <c r="AA12" s="577">
        <v>2347.2399999999998</v>
      </c>
      <c r="AB12" s="577">
        <v>74017.02</v>
      </c>
      <c r="AC12" s="577">
        <v>271.13</v>
      </c>
      <c r="AD12" s="577">
        <v>0</v>
      </c>
      <c r="AE12" s="577">
        <v>630.87</v>
      </c>
      <c r="AF12" s="577">
        <v>24658.81</v>
      </c>
      <c r="AG12" s="577">
        <v>6116.19</v>
      </c>
      <c r="AH12" s="577">
        <v>0</v>
      </c>
      <c r="AI12" s="577">
        <v>0</v>
      </c>
      <c r="AJ12" s="577">
        <v>0</v>
      </c>
      <c r="AK12" s="577">
        <v>5018.75</v>
      </c>
      <c r="AL12" s="577">
        <v>41913</v>
      </c>
      <c r="AM12" s="580">
        <f t="shared" si="2"/>
        <v>46931.75</v>
      </c>
      <c r="AN12" s="577">
        <v>772327.44</v>
      </c>
      <c r="AO12" s="577">
        <v>0</v>
      </c>
      <c r="AP12" s="577">
        <v>287716.15999999997</v>
      </c>
      <c r="AQ12" s="577">
        <v>29767.68</v>
      </c>
      <c r="AR12" s="577">
        <v>65481.3</v>
      </c>
      <c r="AS12" s="577">
        <v>0</v>
      </c>
      <c r="AT12" s="577">
        <v>76159.5</v>
      </c>
      <c r="AU12" s="577">
        <v>6743.14</v>
      </c>
      <c r="AV12" s="577">
        <v>5152.43</v>
      </c>
      <c r="AW12" s="577">
        <v>340.3</v>
      </c>
      <c r="AX12" s="577">
        <v>0</v>
      </c>
      <c r="AY12" s="577">
        <v>32599.98</v>
      </c>
      <c r="AZ12" s="577">
        <v>5693</v>
      </c>
      <c r="BA12" s="577">
        <v>23689.17</v>
      </c>
      <c r="BB12" s="577">
        <v>1451.17</v>
      </c>
      <c r="BC12" s="577">
        <v>36696.07</v>
      </c>
      <c r="BD12" s="577">
        <v>25243.94</v>
      </c>
      <c r="BE12" s="577">
        <v>10500.35</v>
      </c>
      <c r="BF12" s="577">
        <v>56289.79</v>
      </c>
      <c r="BG12" s="577">
        <v>7956.63</v>
      </c>
      <c r="BH12" s="576">
        <v>0</v>
      </c>
      <c r="BI12" s="576">
        <v>3811.24</v>
      </c>
      <c r="BJ12" s="576">
        <v>8485.17</v>
      </c>
      <c r="BK12" s="576">
        <v>1242.3900000000001</v>
      </c>
      <c r="BL12" s="576">
        <v>0</v>
      </c>
      <c r="BM12" s="576">
        <v>7954</v>
      </c>
      <c r="BN12" s="577">
        <f t="shared" si="3"/>
        <v>29449.43</v>
      </c>
      <c r="BO12" s="577">
        <v>0</v>
      </c>
      <c r="BP12" s="577">
        <v>1716.48</v>
      </c>
      <c r="BQ12" s="577">
        <v>11142.45</v>
      </c>
      <c r="BR12" s="577">
        <v>32564.91</v>
      </c>
      <c r="BS12" s="577">
        <v>75637.289999999994</v>
      </c>
      <c r="BT12" s="577">
        <v>3682</v>
      </c>
      <c r="BU12" s="577">
        <v>79685.34</v>
      </c>
      <c r="BV12" s="577">
        <v>20434.259999999998</v>
      </c>
      <c r="BW12" s="577">
        <v>0</v>
      </c>
      <c r="BX12" s="577">
        <v>0</v>
      </c>
      <c r="BY12" s="577">
        <v>3619</v>
      </c>
      <c r="BZ12" s="577">
        <v>0</v>
      </c>
      <c r="CA12" s="577">
        <v>0</v>
      </c>
      <c r="CB12" s="577">
        <v>6385</v>
      </c>
      <c r="CC12" s="577">
        <v>0</v>
      </c>
      <c r="CD12" s="577">
        <v>3619</v>
      </c>
      <c r="CE12" s="577">
        <v>6000</v>
      </c>
      <c r="CF12" s="577">
        <v>0</v>
      </c>
      <c r="CG12" s="577">
        <v>24476.69</v>
      </c>
      <c r="CH12" s="577">
        <v>0</v>
      </c>
      <c r="CI12" s="577">
        <v>0</v>
      </c>
      <c r="CJ12" s="576">
        <v>0</v>
      </c>
      <c r="CK12" s="576">
        <v>0</v>
      </c>
      <c r="CL12" s="576">
        <v>0</v>
      </c>
      <c r="CM12" s="576">
        <v>0</v>
      </c>
      <c r="CN12" s="577">
        <v>5107</v>
      </c>
      <c r="CO12" s="577">
        <v>-251575</v>
      </c>
      <c r="CP12" s="577">
        <v>0</v>
      </c>
      <c r="CQ12" s="577">
        <v>0</v>
      </c>
      <c r="CR12" s="577">
        <v>0</v>
      </c>
      <c r="CS12" s="577">
        <v>0</v>
      </c>
      <c r="CU12" s="495">
        <f t="shared" si="4"/>
        <v>-246468</v>
      </c>
      <c r="CV12" s="495">
        <f t="shared" si="5"/>
        <v>0</v>
      </c>
      <c r="CW12" s="495">
        <f t="shared" si="6"/>
        <v>-246468</v>
      </c>
      <c r="CX12" s="495">
        <f t="shared" si="0"/>
        <v>1619310.04</v>
      </c>
      <c r="CY12" s="495">
        <f t="shared" si="7"/>
        <v>1693782.5799999994</v>
      </c>
      <c r="CZ12" s="495">
        <f t="shared" si="1"/>
        <v>1316109.77</v>
      </c>
      <c r="DA12" s="495">
        <f t="shared" si="8"/>
        <v>-74472.539999999339</v>
      </c>
    </row>
    <row r="13" spans="1:105" ht="15">
      <c r="A13" s="576">
        <v>302</v>
      </c>
      <c r="B13" s="576">
        <v>2014</v>
      </c>
      <c r="C13" s="576" t="s">
        <v>266</v>
      </c>
      <c r="D13" s="576" t="s">
        <v>594</v>
      </c>
      <c r="E13" s="576"/>
      <c r="F13" s="576" t="s">
        <v>588</v>
      </c>
      <c r="G13" s="576">
        <v>0</v>
      </c>
      <c r="H13" s="576">
        <v>1</v>
      </c>
      <c r="I13" s="576" t="s">
        <v>853</v>
      </c>
      <c r="J13" s="576" t="s">
        <v>854</v>
      </c>
      <c r="K13" s="576" t="s">
        <v>591</v>
      </c>
      <c r="L13" s="576" t="s">
        <v>592</v>
      </c>
      <c r="M13" s="576" t="s">
        <v>591</v>
      </c>
      <c r="N13" s="576" t="s">
        <v>593</v>
      </c>
      <c r="O13" s="576" t="s">
        <v>188</v>
      </c>
      <c r="P13" s="576" t="s">
        <v>188</v>
      </c>
      <c r="Q13" s="577">
        <v>80713.02</v>
      </c>
      <c r="R13" s="577">
        <v>0</v>
      </c>
      <c r="S13" s="577">
        <v>5898.5</v>
      </c>
      <c r="T13" s="577">
        <v>4149489.92</v>
      </c>
      <c r="U13" s="577">
        <v>0</v>
      </c>
      <c r="V13" s="577">
        <v>408564.1</v>
      </c>
      <c r="W13" s="577">
        <v>0</v>
      </c>
      <c r="X13" s="577">
        <v>264530</v>
      </c>
      <c r="Y13" s="577">
        <v>8044.76</v>
      </c>
      <c r="Z13" s="577">
        <v>132839.76999999999</v>
      </c>
      <c r="AA13" s="577">
        <v>47755.53</v>
      </c>
      <c r="AB13" s="577">
        <v>18428.330000000002</v>
      </c>
      <c r="AC13" s="577">
        <v>309.91000000000003</v>
      </c>
      <c r="AD13" s="577">
        <v>0</v>
      </c>
      <c r="AE13" s="577">
        <v>0</v>
      </c>
      <c r="AF13" s="577">
        <v>73823.75</v>
      </c>
      <c r="AG13" s="577">
        <v>19.72</v>
      </c>
      <c r="AH13" s="577">
        <v>0</v>
      </c>
      <c r="AI13" s="577">
        <v>0</v>
      </c>
      <c r="AJ13" s="577">
        <v>0</v>
      </c>
      <c r="AK13" s="577">
        <v>19259.38</v>
      </c>
      <c r="AL13" s="577">
        <v>113281</v>
      </c>
      <c r="AM13" s="580">
        <f t="shared" si="2"/>
        <v>132540.38</v>
      </c>
      <c r="AN13" s="577">
        <v>2218240.4</v>
      </c>
      <c r="AO13" s="577">
        <v>0</v>
      </c>
      <c r="AP13" s="577">
        <v>1048338.65</v>
      </c>
      <c r="AQ13" s="577">
        <v>112013.15</v>
      </c>
      <c r="AR13" s="577">
        <v>189482.7</v>
      </c>
      <c r="AS13" s="577">
        <v>0</v>
      </c>
      <c r="AT13" s="577">
        <v>117779.94</v>
      </c>
      <c r="AU13" s="577">
        <v>25312.39</v>
      </c>
      <c r="AV13" s="577">
        <v>7041.01</v>
      </c>
      <c r="AW13" s="577">
        <v>1040.82</v>
      </c>
      <c r="AX13" s="577">
        <v>0</v>
      </c>
      <c r="AY13" s="577">
        <v>152657.62</v>
      </c>
      <c r="AZ13" s="577">
        <v>12771.16</v>
      </c>
      <c r="BA13" s="577">
        <v>74435.42</v>
      </c>
      <c r="BB13" s="577">
        <v>17271.89</v>
      </c>
      <c r="BC13" s="577">
        <v>150560.18</v>
      </c>
      <c r="BD13" s="577">
        <v>134207.76</v>
      </c>
      <c r="BE13" s="577">
        <v>33301.94</v>
      </c>
      <c r="BF13" s="577">
        <v>108241.83</v>
      </c>
      <c r="BG13" s="577">
        <v>14527.4</v>
      </c>
      <c r="BH13" s="576">
        <v>0</v>
      </c>
      <c r="BI13" s="576">
        <v>21668.95</v>
      </c>
      <c r="BJ13" s="576">
        <v>16485.84</v>
      </c>
      <c r="BK13" s="576">
        <v>810</v>
      </c>
      <c r="BL13" s="576">
        <v>1200</v>
      </c>
      <c r="BM13" s="576">
        <v>12870</v>
      </c>
      <c r="BN13" s="577">
        <f t="shared" si="3"/>
        <v>67562.19</v>
      </c>
      <c r="BO13" s="577">
        <v>0</v>
      </c>
      <c r="BP13" s="577">
        <v>34612.97</v>
      </c>
      <c r="BQ13" s="577">
        <v>26328.03</v>
      </c>
      <c r="BR13" s="577">
        <v>16756.93</v>
      </c>
      <c r="BS13" s="577">
        <v>251258.28</v>
      </c>
      <c r="BT13" s="577">
        <v>64879.56</v>
      </c>
      <c r="BU13" s="577">
        <v>390498.5</v>
      </c>
      <c r="BV13" s="577">
        <v>64669.65</v>
      </c>
      <c r="BW13" s="577">
        <v>900</v>
      </c>
      <c r="BX13" s="577">
        <v>0</v>
      </c>
      <c r="BY13" s="577">
        <v>100480</v>
      </c>
      <c r="BZ13" s="577">
        <v>0</v>
      </c>
      <c r="CA13" s="577">
        <v>0</v>
      </c>
      <c r="CB13" s="577">
        <v>11692.3</v>
      </c>
      <c r="CC13" s="577">
        <v>0</v>
      </c>
      <c r="CD13" s="577">
        <v>100480</v>
      </c>
      <c r="CE13" s="577">
        <v>6000</v>
      </c>
      <c r="CF13" s="577">
        <v>0</v>
      </c>
      <c r="CG13" s="577">
        <v>32135.45</v>
      </c>
      <c r="CH13" s="577">
        <v>0</v>
      </c>
      <c r="CI13" s="577">
        <v>0</v>
      </c>
      <c r="CJ13" s="576">
        <v>0</v>
      </c>
      <c r="CK13" s="576">
        <v>0</v>
      </c>
      <c r="CL13" s="576">
        <v>34440</v>
      </c>
      <c r="CM13" s="576">
        <v>25480</v>
      </c>
      <c r="CN13" s="577">
        <v>0</v>
      </c>
      <c r="CO13" s="577">
        <v>-103583.78</v>
      </c>
      <c r="CP13" s="577">
        <v>26015.35</v>
      </c>
      <c r="CQ13" s="577">
        <v>0</v>
      </c>
      <c r="CR13" s="577">
        <v>0</v>
      </c>
      <c r="CS13" s="577">
        <v>0</v>
      </c>
      <c r="CU13" s="495">
        <f t="shared" si="4"/>
        <v>-103583.78</v>
      </c>
      <c r="CV13" s="495">
        <f t="shared" si="5"/>
        <v>26015.35</v>
      </c>
      <c r="CW13" s="495">
        <f t="shared" si="6"/>
        <v>-103583.78</v>
      </c>
      <c r="CX13" s="495">
        <f t="shared" si="0"/>
        <v>5236346.169999999</v>
      </c>
      <c r="CY13" s="495">
        <f t="shared" si="7"/>
        <v>5420642.9700000007</v>
      </c>
      <c r="CZ13" s="495">
        <f t="shared" si="1"/>
        <v>4558054.0199999996</v>
      </c>
      <c r="DA13" s="495">
        <f t="shared" si="8"/>
        <v>-184296.80000000168</v>
      </c>
    </row>
    <row r="14" spans="1:105" ht="15">
      <c r="A14" s="576">
        <v>302</v>
      </c>
      <c r="B14" s="576">
        <v>2015</v>
      </c>
      <c r="C14" s="576" t="s">
        <v>267</v>
      </c>
      <c r="D14" s="576" t="s">
        <v>594</v>
      </c>
      <c r="E14" s="576"/>
      <c r="F14" s="576" t="s">
        <v>588</v>
      </c>
      <c r="G14" s="576">
        <v>0</v>
      </c>
      <c r="H14" s="576">
        <v>1</v>
      </c>
      <c r="I14" s="576" t="s">
        <v>853</v>
      </c>
      <c r="J14" s="576" t="s">
        <v>854</v>
      </c>
      <c r="K14" s="576" t="s">
        <v>591</v>
      </c>
      <c r="L14" s="576" t="s">
        <v>592</v>
      </c>
      <c r="M14" s="576" t="s">
        <v>591</v>
      </c>
      <c r="N14" s="576" t="s">
        <v>593</v>
      </c>
      <c r="O14" s="576" t="s">
        <v>188</v>
      </c>
      <c r="P14" s="576" t="s">
        <v>188</v>
      </c>
      <c r="Q14" s="577">
        <v>-119744.03</v>
      </c>
      <c r="R14" s="577">
        <v>87885.93</v>
      </c>
      <c r="S14" s="577">
        <v>21546</v>
      </c>
      <c r="T14" s="577">
        <v>1610888.93</v>
      </c>
      <c r="U14" s="577">
        <v>0</v>
      </c>
      <c r="V14" s="577">
        <v>410542.27</v>
      </c>
      <c r="W14" s="577">
        <v>0</v>
      </c>
      <c r="X14" s="577">
        <v>105090</v>
      </c>
      <c r="Y14" s="577">
        <v>4752.22</v>
      </c>
      <c r="Z14" s="577">
        <v>35318.050000000003</v>
      </c>
      <c r="AA14" s="577">
        <v>15213.8</v>
      </c>
      <c r="AB14" s="577">
        <v>3400.42</v>
      </c>
      <c r="AC14" s="577">
        <v>4324.53</v>
      </c>
      <c r="AD14" s="577">
        <v>0</v>
      </c>
      <c r="AE14" s="577">
        <v>0</v>
      </c>
      <c r="AF14" s="577">
        <v>30560.73</v>
      </c>
      <c r="AG14" s="577">
        <v>5327.24</v>
      </c>
      <c r="AH14" s="577">
        <v>0</v>
      </c>
      <c r="AI14" s="577">
        <v>216786.9</v>
      </c>
      <c r="AJ14" s="577">
        <v>0</v>
      </c>
      <c r="AK14" s="577">
        <v>2172.84</v>
      </c>
      <c r="AL14" s="577">
        <v>41052</v>
      </c>
      <c r="AM14" s="580">
        <f t="shared" si="2"/>
        <v>43224.84</v>
      </c>
      <c r="AN14" s="577">
        <v>840401.54</v>
      </c>
      <c r="AO14" s="577">
        <v>0</v>
      </c>
      <c r="AP14" s="577">
        <v>775971.91</v>
      </c>
      <c r="AQ14" s="577">
        <v>40974.44</v>
      </c>
      <c r="AR14" s="577">
        <v>67661.86</v>
      </c>
      <c r="AS14" s="577">
        <v>71008.5</v>
      </c>
      <c r="AT14" s="577">
        <v>24151.07</v>
      </c>
      <c r="AU14" s="577">
        <v>13434.01</v>
      </c>
      <c r="AV14" s="577">
        <v>3032.38</v>
      </c>
      <c r="AW14" s="577">
        <v>320.38</v>
      </c>
      <c r="AX14" s="577">
        <v>0</v>
      </c>
      <c r="AY14" s="577">
        <v>21888.75</v>
      </c>
      <c r="AZ14" s="577">
        <v>6802.75</v>
      </c>
      <c r="BA14" s="577">
        <v>39927.199999999997</v>
      </c>
      <c r="BB14" s="577">
        <v>7229.85</v>
      </c>
      <c r="BC14" s="577">
        <v>39395.050000000003</v>
      </c>
      <c r="BD14" s="577">
        <v>42343.05</v>
      </c>
      <c r="BE14" s="577">
        <v>25813.26</v>
      </c>
      <c r="BF14" s="577">
        <v>83964.25</v>
      </c>
      <c r="BG14" s="577">
        <v>15132.24</v>
      </c>
      <c r="BH14" s="576">
        <v>0</v>
      </c>
      <c r="BI14" s="576">
        <v>0</v>
      </c>
      <c r="BJ14" s="576">
        <v>0</v>
      </c>
      <c r="BK14" s="576">
        <v>0</v>
      </c>
      <c r="BL14" s="576">
        <v>0</v>
      </c>
      <c r="BM14" s="576">
        <v>0</v>
      </c>
      <c r="BN14" s="577">
        <f t="shared" si="3"/>
        <v>15132.24</v>
      </c>
      <c r="BO14" s="577">
        <v>0</v>
      </c>
      <c r="BP14" s="577">
        <v>27578.06</v>
      </c>
      <c r="BQ14" s="577">
        <v>3066.77</v>
      </c>
      <c r="BR14" s="577">
        <v>4878.3599999999997</v>
      </c>
      <c r="BS14" s="577">
        <v>54664.34</v>
      </c>
      <c r="BT14" s="577">
        <v>84823.59</v>
      </c>
      <c r="BU14" s="577">
        <v>222748.48</v>
      </c>
      <c r="BV14" s="577">
        <v>48183.91</v>
      </c>
      <c r="BW14" s="577">
        <v>0</v>
      </c>
      <c r="BX14" s="577">
        <v>0</v>
      </c>
      <c r="BY14" s="577">
        <v>0</v>
      </c>
      <c r="BZ14" s="577">
        <v>103861.94</v>
      </c>
      <c r="CA14" s="577">
        <v>12434.89</v>
      </c>
      <c r="CB14" s="577">
        <v>6955</v>
      </c>
      <c r="CC14" s="577">
        <v>0</v>
      </c>
      <c r="CD14" s="577">
        <v>0</v>
      </c>
      <c r="CE14" s="577">
        <v>6000</v>
      </c>
      <c r="CF14" s="577">
        <v>0</v>
      </c>
      <c r="CG14" s="577">
        <v>0</v>
      </c>
      <c r="CH14" s="577">
        <v>0</v>
      </c>
      <c r="CI14" s="577">
        <v>0</v>
      </c>
      <c r="CJ14" s="576">
        <v>0</v>
      </c>
      <c r="CK14" s="576">
        <v>0</v>
      </c>
      <c r="CL14" s="576">
        <v>0</v>
      </c>
      <c r="CM14" s="576">
        <v>0</v>
      </c>
      <c r="CN14" s="577">
        <v>0</v>
      </c>
      <c r="CO14" s="577">
        <v>-416497</v>
      </c>
      <c r="CP14" s="577">
        <v>28501</v>
      </c>
      <c r="CQ14" s="577">
        <v>0</v>
      </c>
      <c r="CR14" s="577">
        <v>188376</v>
      </c>
      <c r="CS14" s="577">
        <v>0</v>
      </c>
      <c r="CU14" s="495">
        <f t="shared" si="4"/>
        <v>-228121</v>
      </c>
      <c r="CV14" s="495">
        <f t="shared" si="5"/>
        <v>28501</v>
      </c>
      <c r="CW14" s="495">
        <f t="shared" si="6"/>
        <v>-416497</v>
      </c>
      <c r="CX14" s="495">
        <f t="shared" si="0"/>
        <v>2268643.0299999998</v>
      </c>
      <c r="CY14" s="495">
        <f t="shared" si="7"/>
        <v>2565396</v>
      </c>
      <c r="CZ14" s="495">
        <f t="shared" si="1"/>
        <v>2021431.2</v>
      </c>
      <c r="DA14" s="495">
        <f t="shared" si="8"/>
        <v>-296752.9700000002</v>
      </c>
    </row>
    <row r="15" spans="1:105" ht="15">
      <c r="A15" s="576">
        <v>302</v>
      </c>
      <c r="B15" s="576">
        <v>2016</v>
      </c>
      <c r="C15" s="576" t="s">
        <v>52</v>
      </c>
      <c r="D15" s="576" t="s">
        <v>594</v>
      </c>
      <c r="E15" s="576"/>
      <c r="F15" s="576" t="s">
        <v>588</v>
      </c>
      <c r="G15" s="576">
        <v>0</v>
      </c>
      <c r="H15" s="576">
        <v>1</v>
      </c>
      <c r="I15" s="576" t="s">
        <v>853</v>
      </c>
      <c r="J15" s="576" t="s">
        <v>854</v>
      </c>
      <c r="K15" s="576" t="s">
        <v>591</v>
      </c>
      <c r="L15" s="576" t="s">
        <v>592</v>
      </c>
      <c r="M15" s="576" t="s">
        <v>591</v>
      </c>
      <c r="N15" s="576" t="s">
        <v>593</v>
      </c>
      <c r="O15" s="576" t="s">
        <v>188</v>
      </c>
      <c r="P15" s="576" t="s">
        <v>188</v>
      </c>
      <c r="Q15" s="577">
        <v>-6125.33</v>
      </c>
      <c r="R15" s="577">
        <v>0</v>
      </c>
      <c r="S15" s="577">
        <v>30325.25</v>
      </c>
      <c r="T15" s="577">
        <v>1214330.99</v>
      </c>
      <c r="U15" s="577">
        <v>0</v>
      </c>
      <c r="V15" s="577">
        <v>70830.850000000006</v>
      </c>
      <c r="W15" s="577">
        <v>0</v>
      </c>
      <c r="X15" s="577">
        <v>50935</v>
      </c>
      <c r="Y15" s="577">
        <v>0</v>
      </c>
      <c r="Z15" s="577">
        <v>55064.02</v>
      </c>
      <c r="AA15" s="577">
        <v>2160</v>
      </c>
      <c r="AB15" s="577">
        <v>3929.35</v>
      </c>
      <c r="AC15" s="577">
        <v>63.1</v>
      </c>
      <c r="AD15" s="577">
        <v>0</v>
      </c>
      <c r="AE15" s="577">
        <v>0</v>
      </c>
      <c r="AF15" s="577">
        <v>21858.09</v>
      </c>
      <c r="AG15" s="577">
        <v>18684.32</v>
      </c>
      <c r="AH15" s="577">
        <v>0</v>
      </c>
      <c r="AI15" s="577">
        <v>0</v>
      </c>
      <c r="AJ15" s="577">
        <v>0</v>
      </c>
      <c r="AK15" s="577">
        <v>2548.13</v>
      </c>
      <c r="AL15" s="577">
        <v>55445</v>
      </c>
      <c r="AM15" s="580">
        <f t="shared" si="2"/>
        <v>57993.13</v>
      </c>
      <c r="AN15" s="577">
        <v>665285.46</v>
      </c>
      <c r="AO15" s="577">
        <v>3767.78</v>
      </c>
      <c r="AP15" s="577">
        <v>249655.05</v>
      </c>
      <c r="AQ15" s="577">
        <v>41348.620000000003</v>
      </c>
      <c r="AR15" s="577">
        <v>74221.86</v>
      </c>
      <c r="AS15" s="577">
        <v>0</v>
      </c>
      <c r="AT15" s="577">
        <v>17732.68</v>
      </c>
      <c r="AU15" s="577">
        <v>6738.44</v>
      </c>
      <c r="AV15" s="577">
        <v>379</v>
      </c>
      <c r="AW15" s="577">
        <v>350.26</v>
      </c>
      <c r="AX15" s="577">
        <v>0</v>
      </c>
      <c r="AY15" s="577">
        <v>8213.2900000000009</v>
      </c>
      <c r="AZ15" s="577">
        <v>4977.67</v>
      </c>
      <c r="BA15" s="577">
        <v>26045.56</v>
      </c>
      <c r="BB15" s="577">
        <v>6481.05</v>
      </c>
      <c r="BC15" s="577">
        <v>24231.42</v>
      </c>
      <c r="BD15" s="577">
        <v>25000.15</v>
      </c>
      <c r="BE15" s="577">
        <v>7778.15</v>
      </c>
      <c r="BF15" s="577">
        <v>56163.08</v>
      </c>
      <c r="BG15" s="577">
        <v>6218.96</v>
      </c>
      <c r="BH15" s="576">
        <v>0</v>
      </c>
      <c r="BI15" s="576">
        <v>1384.11</v>
      </c>
      <c r="BJ15" s="576">
        <v>10170.83</v>
      </c>
      <c r="BK15" s="576">
        <v>2134.0500000000002</v>
      </c>
      <c r="BL15" s="576">
        <v>256.66000000000003</v>
      </c>
      <c r="BM15" s="576">
        <v>12480</v>
      </c>
      <c r="BN15" s="577">
        <f t="shared" si="3"/>
        <v>32644.61</v>
      </c>
      <c r="BO15" s="577">
        <v>0</v>
      </c>
      <c r="BP15" s="577">
        <v>335.5</v>
      </c>
      <c r="BQ15" s="577">
        <v>8632.7900000000009</v>
      </c>
      <c r="BR15" s="577">
        <v>2248</v>
      </c>
      <c r="BS15" s="577">
        <v>85906.71</v>
      </c>
      <c r="BT15" s="577">
        <v>12147</v>
      </c>
      <c r="BU15" s="577">
        <v>109623.88</v>
      </c>
      <c r="BV15" s="577">
        <v>23163.51</v>
      </c>
      <c r="BW15" s="577">
        <v>0</v>
      </c>
      <c r="BX15" s="577">
        <v>0</v>
      </c>
      <c r="BY15" s="577">
        <v>0</v>
      </c>
      <c r="BZ15" s="577">
        <v>0</v>
      </c>
      <c r="CA15" s="577">
        <v>0</v>
      </c>
      <c r="CB15" s="577">
        <v>6373.75</v>
      </c>
      <c r="CC15" s="577">
        <v>0</v>
      </c>
      <c r="CD15" s="577">
        <v>0</v>
      </c>
      <c r="CE15" s="577">
        <v>6000</v>
      </c>
      <c r="CF15" s="577">
        <v>0</v>
      </c>
      <c r="CG15" s="577">
        <v>0</v>
      </c>
      <c r="CH15" s="577">
        <v>0</v>
      </c>
      <c r="CI15" s="577">
        <v>0</v>
      </c>
      <c r="CJ15" s="576">
        <v>0</v>
      </c>
      <c r="CK15" s="576">
        <v>0</v>
      </c>
      <c r="CL15" s="576">
        <v>0</v>
      </c>
      <c r="CM15" s="576">
        <v>0</v>
      </c>
      <c r="CN15" s="577">
        <v>16870</v>
      </c>
      <c r="CO15" s="577">
        <v>-20218</v>
      </c>
      <c r="CP15" s="577">
        <v>36699</v>
      </c>
      <c r="CQ15" s="577">
        <v>0</v>
      </c>
      <c r="CR15" s="577">
        <v>0</v>
      </c>
      <c r="CS15" s="577">
        <v>0</v>
      </c>
      <c r="CU15" s="495">
        <f t="shared" si="4"/>
        <v>-3348</v>
      </c>
      <c r="CV15" s="495">
        <f t="shared" si="5"/>
        <v>36699</v>
      </c>
      <c r="CW15" s="495">
        <f t="shared" si="6"/>
        <v>-3348</v>
      </c>
      <c r="CX15" s="495">
        <f t="shared" si="0"/>
        <v>1495848.8500000003</v>
      </c>
      <c r="CY15" s="495">
        <f t="shared" si="7"/>
        <v>1493071.52</v>
      </c>
      <c r="CZ15" s="495">
        <f t="shared" si="1"/>
        <v>1285161.8400000001</v>
      </c>
      <c r="DA15" s="495">
        <f t="shared" si="8"/>
        <v>2777.3300000003073</v>
      </c>
    </row>
    <row r="16" spans="1:105" ht="15">
      <c r="A16" s="576">
        <v>302</v>
      </c>
      <c r="B16" s="576">
        <v>2017</v>
      </c>
      <c r="C16" s="576" t="s">
        <v>268</v>
      </c>
      <c r="D16" s="576" t="s">
        <v>594</v>
      </c>
      <c r="E16" s="576"/>
      <c r="F16" s="576" t="s">
        <v>588</v>
      </c>
      <c r="G16" s="576">
        <v>0</v>
      </c>
      <c r="H16" s="576">
        <v>1</v>
      </c>
      <c r="I16" s="576" t="s">
        <v>853</v>
      </c>
      <c r="J16" s="576" t="s">
        <v>854</v>
      </c>
      <c r="K16" s="576" t="s">
        <v>591</v>
      </c>
      <c r="L16" s="576" t="s">
        <v>592</v>
      </c>
      <c r="M16" s="576" t="s">
        <v>591</v>
      </c>
      <c r="N16" s="576" t="s">
        <v>593</v>
      </c>
      <c r="O16" s="576" t="s">
        <v>188</v>
      </c>
      <c r="P16" s="576" t="s">
        <v>188</v>
      </c>
      <c r="Q16" s="577">
        <v>20527</v>
      </c>
      <c r="R16" s="577">
        <v>0</v>
      </c>
      <c r="S16" s="577">
        <v>15712</v>
      </c>
      <c r="T16" s="577">
        <v>2280087.7000000002</v>
      </c>
      <c r="U16" s="577">
        <v>0</v>
      </c>
      <c r="V16" s="577">
        <v>215453.35</v>
      </c>
      <c r="W16" s="577">
        <v>0</v>
      </c>
      <c r="X16" s="577">
        <v>118410</v>
      </c>
      <c r="Y16" s="577">
        <v>3189.47</v>
      </c>
      <c r="Z16" s="577">
        <v>94610.93</v>
      </c>
      <c r="AA16" s="577">
        <v>122581.9</v>
      </c>
      <c r="AB16" s="577">
        <v>0</v>
      </c>
      <c r="AC16" s="577">
        <v>668.43</v>
      </c>
      <c r="AD16" s="577">
        <v>7669.5</v>
      </c>
      <c r="AE16" s="577">
        <v>963.2</v>
      </c>
      <c r="AF16" s="577">
        <v>68264.06</v>
      </c>
      <c r="AG16" s="577">
        <v>10847.41</v>
      </c>
      <c r="AH16" s="577">
        <v>0</v>
      </c>
      <c r="AI16" s="577">
        <v>0</v>
      </c>
      <c r="AJ16" s="577">
        <v>0</v>
      </c>
      <c r="AK16" s="577">
        <v>6090.25</v>
      </c>
      <c r="AL16" s="577">
        <v>92203</v>
      </c>
      <c r="AM16" s="580">
        <f t="shared" si="2"/>
        <v>98293.25</v>
      </c>
      <c r="AN16" s="577">
        <v>1167544.45</v>
      </c>
      <c r="AO16" s="577">
        <v>0</v>
      </c>
      <c r="AP16" s="577">
        <v>686754.63</v>
      </c>
      <c r="AQ16" s="577">
        <v>21889.33</v>
      </c>
      <c r="AR16" s="577">
        <v>98315.54</v>
      </c>
      <c r="AS16" s="577">
        <v>0</v>
      </c>
      <c r="AT16" s="577">
        <v>90348.5</v>
      </c>
      <c r="AU16" s="577">
        <v>33740.160000000003</v>
      </c>
      <c r="AV16" s="577">
        <v>3012.6</v>
      </c>
      <c r="AW16" s="577">
        <v>688.9</v>
      </c>
      <c r="AX16" s="577">
        <v>0</v>
      </c>
      <c r="AY16" s="577">
        <v>13923.99</v>
      </c>
      <c r="AZ16" s="577">
        <v>4822.0200000000004</v>
      </c>
      <c r="BA16" s="577">
        <v>63454.13</v>
      </c>
      <c r="BB16" s="577">
        <v>314.2</v>
      </c>
      <c r="BC16" s="577">
        <v>47545.39</v>
      </c>
      <c r="BD16" s="577">
        <v>46603.199999999997</v>
      </c>
      <c r="BE16" s="577">
        <v>13749.9</v>
      </c>
      <c r="BF16" s="577">
        <v>132945.44</v>
      </c>
      <c r="BG16" s="577">
        <v>6141.84</v>
      </c>
      <c r="BH16" s="576">
        <v>0</v>
      </c>
      <c r="BI16" s="576">
        <v>6485.47</v>
      </c>
      <c r="BJ16" s="576">
        <v>9800.73</v>
      </c>
      <c r="BK16" s="576">
        <v>2707.29</v>
      </c>
      <c r="BL16" s="576">
        <v>76.319999999999993</v>
      </c>
      <c r="BM16" s="576">
        <v>0</v>
      </c>
      <c r="BN16" s="577">
        <f t="shared" si="3"/>
        <v>25211.65</v>
      </c>
      <c r="BO16" s="577">
        <v>0</v>
      </c>
      <c r="BP16" s="577">
        <v>30987.19</v>
      </c>
      <c r="BQ16" s="577">
        <v>17530.349999999999</v>
      </c>
      <c r="BR16" s="577">
        <v>10707.27</v>
      </c>
      <c r="BS16" s="577">
        <v>144612.47</v>
      </c>
      <c r="BT16" s="577">
        <v>235296.15</v>
      </c>
      <c r="BU16" s="577">
        <v>197292.9</v>
      </c>
      <c r="BV16" s="577">
        <v>73467.839999999997</v>
      </c>
      <c r="BW16" s="577">
        <v>0</v>
      </c>
      <c r="BX16" s="577">
        <v>0</v>
      </c>
      <c r="BY16" s="577">
        <v>0</v>
      </c>
      <c r="BZ16" s="577">
        <v>0</v>
      </c>
      <c r="CA16" s="577">
        <v>0</v>
      </c>
      <c r="CB16" s="577">
        <v>8668.75</v>
      </c>
      <c r="CC16" s="577">
        <v>0</v>
      </c>
      <c r="CD16" s="577">
        <v>0</v>
      </c>
      <c r="CE16" s="577">
        <v>6000</v>
      </c>
      <c r="CF16" s="577">
        <v>0</v>
      </c>
      <c r="CG16" s="577">
        <v>13865.75</v>
      </c>
      <c r="CH16" s="577">
        <v>0</v>
      </c>
      <c r="CI16" s="577">
        <v>0</v>
      </c>
      <c r="CJ16" s="576">
        <v>0</v>
      </c>
      <c r="CK16" s="576">
        <v>0</v>
      </c>
      <c r="CL16" s="576">
        <v>0</v>
      </c>
      <c r="CM16" s="576">
        <v>0</v>
      </c>
      <c r="CN16" s="577">
        <v>0</v>
      </c>
      <c r="CO16" s="577">
        <v>-119192</v>
      </c>
      <c r="CP16" s="577">
        <v>6216</v>
      </c>
      <c r="CQ16" s="577">
        <v>4299</v>
      </c>
      <c r="CR16" s="577">
        <v>0</v>
      </c>
      <c r="CS16" s="577">
        <v>0</v>
      </c>
      <c r="CU16" s="495">
        <f t="shared" si="4"/>
        <v>-119192</v>
      </c>
      <c r="CV16" s="495">
        <f t="shared" si="5"/>
        <v>10515</v>
      </c>
      <c r="CW16" s="495">
        <f t="shared" si="6"/>
        <v>-119192</v>
      </c>
      <c r="CX16" s="495">
        <f t="shared" si="0"/>
        <v>3021039.2000000011</v>
      </c>
      <c r="CY16" s="495">
        <f t="shared" si="7"/>
        <v>3160758.2000000007</v>
      </c>
      <c r="CZ16" s="495">
        <f t="shared" si="1"/>
        <v>2495541.0500000003</v>
      </c>
      <c r="DA16" s="495">
        <f t="shared" si="8"/>
        <v>-139718.99999999953</v>
      </c>
    </row>
    <row r="17" spans="1:105" ht="15">
      <c r="A17" s="576">
        <v>302</v>
      </c>
      <c r="B17" s="576">
        <v>2019</v>
      </c>
      <c r="C17" s="576" t="s">
        <v>55</v>
      </c>
      <c r="D17" s="576" t="s">
        <v>594</v>
      </c>
      <c r="E17" s="576"/>
      <c r="F17" s="576" t="s">
        <v>588</v>
      </c>
      <c r="G17" s="576">
        <v>0</v>
      </c>
      <c r="H17" s="576">
        <v>2</v>
      </c>
      <c r="I17" s="576" t="s">
        <v>853</v>
      </c>
      <c r="J17" s="576" t="s">
        <v>854</v>
      </c>
      <c r="K17" s="576" t="s">
        <v>591</v>
      </c>
      <c r="L17" s="576" t="s">
        <v>592</v>
      </c>
      <c r="M17" s="576" t="s">
        <v>591</v>
      </c>
      <c r="N17" s="576" t="s">
        <v>593</v>
      </c>
      <c r="O17" s="576" t="s">
        <v>188</v>
      </c>
      <c r="P17" s="576" t="s">
        <v>188</v>
      </c>
      <c r="Q17" s="577">
        <v>-24333.59</v>
      </c>
      <c r="R17" s="577">
        <v>0</v>
      </c>
      <c r="S17" s="577">
        <v>1438.34</v>
      </c>
      <c r="T17" s="577">
        <v>1349798.22</v>
      </c>
      <c r="U17" s="577">
        <v>0</v>
      </c>
      <c r="V17" s="577">
        <v>87419.5</v>
      </c>
      <c r="W17" s="577">
        <v>0</v>
      </c>
      <c r="X17" s="577">
        <v>59200</v>
      </c>
      <c r="Y17" s="577">
        <v>1723.5</v>
      </c>
      <c r="Z17" s="577">
        <v>2150</v>
      </c>
      <c r="AA17" s="577">
        <v>9960.07</v>
      </c>
      <c r="AB17" s="577">
        <v>23211.9</v>
      </c>
      <c r="AC17" s="577">
        <v>94.58</v>
      </c>
      <c r="AD17" s="577">
        <v>0</v>
      </c>
      <c r="AE17" s="577">
        <v>2500</v>
      </c>
      <c r="AF17" s="577">
        <v>26201.5</v>
      </c>
      <c r="AG17" s="577">
        <v>8743.7000000000007</v>
      </c>
      <c r="AH17" s="577">
        <v>0</v>
      </c>
      <c r="AI17" s="577">
        <v>0</v>
      </c>
      <c r="AJ17" s="577">
        <v>0</v>
      </c>
      <c r="AK17" s="577">
        <v>1871.88</v>
      </c>
      <c r="AL17" s="577">
        <v>74806</v>
      </c>
      <c r="AM17" s="580">
        <f t="shared" si="2"/>
        <v>76677.88</v>
      </c>
      <c r="AN17" s="577">
        <v>821591.34</v>
      </c>
      <c r="AO17" s="577">
        <v>0</v>
      </c>
      <c r="AP17" s="577">
        <v>449566.68</v>
      </c>
      <c r="AQ17" s="577">
        <v>52650.96</v>
      </c>
      <c r="AR17" s="577">
        <v>91824.59</v>
      </c>
      <c r="AS17" s="577">
        <v>0</v>
      </c>
      <c r="AT17" s="577">
        <v>40688.769999999997</v>
      </c>
      <c r="AU17" s="577">
        <v>38785.99</v>
      </c>
      <c r="AV17" s="577">
        <v>2280.98</v>
      </c>
      <c r="AW17" s="577">
        <v>280.54000000000002</v>
      </c>
      <c r="AX17" s="577">
        <v>0</v>
      </c>
      <c r="AY17" s="577">
        <v>15224.7</v>
      </c>
      <c r="AZ17" s="577">
        <v>5311</v>
      </c>
      <c r="BA17" s="577">
        <v>2060.44</v>
      </c>
      <c r="BB17" s="577">
        <v>12665.28</v>
      </c>
      <c r="BC17" s="577">
        <v>45232.13</v>
      </c>
      <c r="BD17" s="577">
        <v>21150</v>
      </c>
      <c r="BE17" s="577">
        <v>6651.9</v>
      </c>
      <c r="BF17" s="577">
        <v>23514.91</v>
      </c>
      <c r="BG17" s="577">
        <v>7998.77</v>
      </c>
      <c r="BH17" s="576">
        <v>0</v>
      </c>
      <c r="BI17" s="576">
        <v>5238.6499999999996</v>
      </c>
      <c r="BJ17" s="576">
        <v>15473.62</v>
      </c>
      <c r="BK17" s="576">
        <v>2452.1999999999998</v>
      </c>
      <c r="BL17" s="576">
        <v>148.1</v>
      </c>
      <c r="BM17" s="576">
        <v>7280</v>
      </c>
      <c r="BN17" s="577">
        <f t="shared" si="3"/>
        <v>38591.339999999997</v>
      </c>
      <c r="BO17" s="577">
        <v>0</v>
      </c>
      <c r="BP17" s="577">
        <v>10011.4</v>
      </c>
      <c r="BQ17" s="577">
        <v>6910.41</v>
      </c>
      <c r="BR17" s="577">
        <v>4394.5</v>
      </c>
      <c r="BS17" s="577">
        <v>66449.759999999995</v>
      </c>
      <c r="BT17" s="577">
        <v>12521.8</v>
      </c>
      <c r="BU17" s="577">
        <v>44609.81</v>
      </c>
      <c r="BV17" s="577">
        <v>22383.599999999999</v>
      </c>
      <c r="BW17" s="577">
        <v>0</v>
      </c>
      <c r="BX17" s="577">
        <v>0</v>
      </c>
      <c r="BY17" s="577">
        <v>618</v>
      </c>
      <c r="BZ17" s="577">
        <v>0</v>
      </c>
      <c r="CA17" s="577">
        <v>0</v>
      </c>
      <c r="CB17" s="577">
        <v>6776.5</v>
      </c>
      <c r="CC17" s="577">
        <v>0</v>
      </c>
      <c r="CD17" s="577">
        <v>618</v>
      </c>
      <c r="CE17" s="577">
        <v>6000</v>
      </c>
      <c r="CF17" s="577">
        <v>0</v>
      </c>
      <c r="CG17" s="577">
        <v>0</v>
      </c>
      <c r="CH17" s="577">
        <v>0</v>
      </c>
      <c r="CI17" s="577">
        <v>7165.1</v>
      </c>
      <c r="CJ17" s="576">
        <v>0</v>
      </c>
      <c r="CK17" s="576">
        <v>0</v>
      </c>
      <c r="CL17" s="576">
        <v>1078.8399999999999</v>
      </c>
      <c r="CM17" s="576">
        <v>588.9</v>
      </c>
      <c r="CN17" s="577">
        <v>0</v>
      </c>
      <c r="CO17" s="577">
        <v>-212623.57</v>
      </c>
      <c r="CP17" s="577">
        <v>0</v>
      </c>
      <c r="CQ17" s="577">
        <v>0</v>
      </c>
      <c r="CR17" s="577">
        <v>0</v>
      </c>
      <c r="CS17" s="577">
        <v>0</v>
      </c>
      <c r="CU17" s="495">
        <f t="shared" si="4"/>
        <v>-212623.57</v>
      </c>
      <c r="CV17" s="495">
        <f t="shared" si="5"/>
        <v>0</v>
      </c>
      <c r="CW17" s="495">
        <f t="shared" si="6"/>
        <v>-212623.57</v>
      </c>
      <c r="CX17" s="495">
        <f t="shared" si="0"/>
        <v>1647680.8499999999</v>
      </c>
      <c r="CY17" s="495">
        <f t="shared" si="7"/>
        <v>1835970.8299999998</v>
      </c>
      <c r="CZ17" s="495">
        <f t="shared" si="1"/>
        <v>1437217.72</v>
      </c>
      <c r="DA17" s="495">
        <f t="shared" si="8"/>
        <v>-188289.97999999998</v>
      </c>
    </row>
    <row r="18" spans="1:105" ht="15">
      <c r="A18" s="576">
        <v>302</v>
      </c>
      <c r="B18" s="576">
        <v>2023</v>
      </c>
      <c r="C18" s="576" t="s">
        <v>412</v>
      </c>
      <c r="D18" s="576" t="s">
        <v>594</v>
      </c>
      <c r="E18" s="576"/>
      <c r="F18" s="576" t="s">
        <v>588</v>
      </c>
      <c r="G18" s="576">
        <v>0</v>
      </c>
      <c r="H18" s="576">
        <v>1</v>
      </c>
      <c r="I18" s="576" t="s">
        <v>853</v>
      </c>
      <c r="J18" s="576" t="s">
        <v>854</v>
      </c>
      <c r="K18" s="576" t="s">
        <v>591</v>
      </c>
      <c r="L18" s="576" t="s">
        <v>592</v>
      </c>
      <c r="M18" s="576" t="s">
        <v>591</v>
      </c>
      <c r="N18" s="576" t="s">
        <v>593</v>
      </c>
      <c r="O18" s="576" t="s">
        <v>188</v>
      </c>
      <c r="P18" s="576" t="s">
        <v>188</v>
      </c>
      <c r="Q18" s="577">
        <v>31240.73</v>
      </c>
      <c r="R18" s="577">
        <v>0</v>
      </c>
      <c r="S18" s="577">
        <v>8701.25</v>
      </c>
      <c r="T18" s="577">
        <v>2674845.5</v>
      </c>
      <c r="U18" s="577">
        <v>0</v>
      </c>
      <c r="V18" s="577">
        <v>221842.74</v>
      </c>
      <c r="W18" s="577">
        <v>0</v>
      </c>
      <c r="X18" s="577">
        <v>217560</v>
      </c>
      <c r="Y18" s="577">
        <v>10991.02</v>
      </c>
      <c r="Z18" s="577">
        <v>81201.039999999994</v>
      </c>
      <c r="AA18" s="577">
        <v>120773.97</v>
      </c>
      <c r="AB18" s="577">
        <v>22311.73</v>
      </c>
      <c r="AC18" s="577">
        <v>2113.0500000000002</v>
      </c>
      <c r="AD18" s="577">
        <v>0</v>
      </c>
      <c r="AE18" s="577">
        <v>0</v>
      </c>
      <c r="AF18" s="577">
        <v>11845.15</v>
      </c>
      <c r="AG18" s="577">
        <v>2762.7</v>
      </c>
      <c r="AH18" s="577">
        <v>0</v>
      </c>
      <c r="AI18" s="577">
        <v>0</v>
      </c>
      <c r="AJ18" s="577">
        <v>0</v>
      </c>
      <c r="AK18" s="577">
        <v>5180</v>
      </c>
      <c r="AL18" s="577">
        <v>82962</v>
      </c>
      <c r="AM18" s="580">
        <f t="shared" si="2"/>
        <v>88142</v>
      </c>
      <c r="AN18" s="577">
        <v>1322690.8600000001</v>
      </c>
      <c r="AO18" s="577">
        <v>0</v>
      </c>
      <c r="AP18" s="577">
        <v>843885.48</v>
      </c>
      <c r="AQ18" s="577">
        <v>84057.07</v>
      </c>
      <c r="AR18" s="577">
        <v>196802.98</v>
      </c>
      <c r="AS18" s="577">
        <v>0</v>
      </c>
      <c r="AT18" s="577">
        <v>29858.3</v>
      </c>
      <c r="AU18" s="577">
        <v>50496.84</v>
      </c>
      <c r="AV18" s="577">
        <v>2727.28</v>
      </c>
      <c r="AW18" s="577">
        <v>682.26</v>
      </c>
      <c r="AX18" s="577">
        <v>0</v>
      </c>
      <c r="AY18" s="577">
        <v>39945.11</v>
      </c>
      <c r="AZ18" s="577">
        <v>5841.5</v>
      </c>
      <c r="BA18" s="577">
        <v>74329.59</v>
      </c>
      <c r="BB18" s="577">
        <v>21822.75</v>
      </c>
      <c r="BC18" s="577">
        <v>63159.34</v>
      </c>
      <c r="BD18" s="577">
        <v>28742.400000000001</v>
      </c>
      <c r="BE18" s="577">
        <v>8284.9599999999991</v>
      </c>
      <c r="BF18" s="577">
        <v>95575.82</v>
      </c>
      <c r="BG18" s="577">
        <v>19675</v>
      </c>
      <c r="BH18" s="576">
        <v>455.9</v>
      </c>
      <c r="BI18" s="576">
        <v>4397.75</v>
      </c>
      <c r="BJ18" s="576">
        <v>22691.69</v>
      </c>
      <c r="BK18" s="576">
        <v>3775.42</v>
      </c>
      <c r="BL18" s="576">
        <v>4676.57</v>
      </c>
      <c r="BM18" s="576">
        <v>55</v>
      </c>
      <c r="BN18" s="577">
        <f t="shared" si="3"/>
        <v>55727.329999999994</v>
      </c>
      <c r="BO18" s="577">
        <v>0</v>
      </c>
      <c r="BP18" s="577">
        <v>12327.95</v>
      </c>
      <c r="BQ18" s="577">
        <v>16805.79</v>
      </c>
      <c r="BR18" s="577">
        <v>7327.8</v>
      </c>
      <c r="BS18" s="577">
        <v>175907.22</v>
      </c>
      <c r="BT18" s="577">
        <v>133093.74</v>
      </c>
      <c r="BU18" s="577">
        <v>224376.52</v>
      </c>
      <c r="BV18" s="577">
        <v>33654.44</v>
      </c>
      <c r="BW18" s="577">
        <v>0</v>
      </c>
      <c r="BX18" s="577">
        <v>0</v>
      </c>
      <c r="BY18" s="577">
        <v>0</v>
      </c>
      <c r="BZ18" s="577">
        <v>0</v>
      </c>
      <c r="CA18" s="577">
        <v>0</v>
      </c>
      <c r="CB18" s="577">
        <v>9173.8799999999992</v>
      </c>
      <c r="CC18" s="577">
        <v>0</v>
      </c>
      <c r="CD18" s="577">
        <v>0</v>
      </c>
      <c r="CE18" s="577">
        <v>6000</v>
      </c>
      <c r="CF18" s="577">
        <v>0</v>
      </c>
      <c r="CG18" s="577">
        <v>14359</v>
      </c>
      <c r="CH18" s="577">
        <v>0</v>
      </c>
      <c r="CI18" s="577">
        <v>0</v>
      </c>
      <c r="CJ18" s="576">
        <v>0</v>
      </c>
      <c r="CK18" s="576">
        <v>0</v>
      </c>
      <c r="CL18" s="576">
        <v>0</v>
      </c>
      <c r="CM18" s="576">
        <v>0</v>
      </c>
      <c r="CN18" s="577">
        <v>0</v>
      </c>
      <c r="CO18" s="577">
        <v>-42493.7</v>
      </c>
      <c r="CP18" s="577">
        <v>3516.13</v>
      </c>
      <c r="CQ18" s="577">
        <v>0</v>
      </c>
      <c r="CR18" s="577">
        <v>0</v>
      </c>
      <c r="CS18" s="577">
        <v>0</v>
      </c>
      <c r="CU18" s="495">
        <f t="shared" si="4"/>
        <v>-42493.7</v>
      </c>
      <c r="CV18" s="495">
        <f t="shared" si="5"/>
        <v>3516.13</v>
      </c>
      <c r="CW18" s="495">
        <f t="shared" si="6"/>
        <v>-42493.7</v>
      </c>
      <c r="CX18" s="495">
        <f t="shared" si="0"/>
        <v>3454388.9000000004</v>
      </c>
      <c r="CY18" s="495">
        <f t="shared" si="7"/>
        <v>3528123.3299999982</v>
      </c>
      <c r="CZ18" s="495">
        <f t="shared" si="1"/>
        <v>2896688.24</v>
      </c>
      <c r="DA18" s="495">
        <f t="shared" si="8"/>
        <v>-73734.429999997839</v>
      </c>
    </row>
    <row r="19" spans="1:105" ht="30">
      <c r="A19" s="576">
        <v>302</v>
      </c>
      <c r="B19" s="576">
        <v>2024</v>
      </c>
      <c r="C19" s="576" t="s">
        <v>421</v>
      </c>
      <c r="D19" s="576" t="s">
        <v>594</v>
      </c>
      <c r="E19" s="576"/>
      <c r="F19" s="576" t="s">
        <v>588</v>
      </c>
      <c r="G19" s="576">
        <v>0</v>
      </c>
      <c r="H19" s="576">
        <v>1</v>
      </c>
      <c r="I19" s="576" t="s">
        <v>853</v>
      </c>
      <c r="J19" s="576" t="s">
        <v>854</v>
      </c>
      <c r="K19" s="576" t="s">
        <v>591</v>
      </c>
      <c r="L19" s="576" t="s">
        <v>592</v>
      </c>
      <c r="M19" s="576" t="s">
        <v>591</v>
      </c>
      <c r="N19" s="576" t="s">
        <v>593</v>
      </c>
      <c r="O19" s="576" t="s">
        <v>188</v>
      </c>
      <c r="P19" s="576" t="s">
        <v>188</v>
      </c>
      <c r="Q19" s="577">
        <v>-122297.84</v>
      </c>
      <c r="R19" s="577">
        <v>53977.49</v>
      </c>
      <c r="S19" s="577">
        <v>27813.1</v>
      </c>
      <c r="T19" s="577">
        <v>1670178.56</v>
      </c>
      <c r="U19" s="577">
        <v>0</v>
      </c>
      <c r="V19" s="577">
        <v>116440.02</v>
      </c>
      <c r="W19" s="577">
        <v>0</v>
      </c>
      <c r="X19" s="577">
        <v>128399</v>
      </c>
      <c r="Y19" s="577">
        <v>3000</v>
      </c>
      <c r="Z19" s="577">
        <v>35626.67</v>
      </c>
      <c r="AA19" s="577">
        <v>24763.43</v>
      </c>
      <c r="AB19" s="577">
        <v>9222.92</v>
      </c>
      <c r="AC19" s="577">
        <v>661.13</v>
      </c>
      <c r="AD19" s="577">
        <v>0</v>
      </c>
      <c r="AE19" s="577">
        <v>0</v>
      </c>
      <c r="AF19" s="577">
        <v>72639.55</v>
      </c>
      <c r="AG19" s="577">
        <v>7686.65</v>
      </c>
      <c r="AH19" s="577">
        <v>0</v>
      </c>
      <c r="AI19" s="577">
        <v>198014</v>
      </c>
      <c r="AJ19" s="577">
        <v>0</v>
      </c>
      <c r="AK19" s="577">
        <v>7031.38</v>
      </c>
      <c r="AL19" s="577">
        <v>46916</v>
      </c>
      <c r="AM19" s="580">
        <f t="shared" si="2"/>
        <v>53947.38</v>
      </c>
      <c r="AN19" s="577">
        <v>712470.97</v>
      </c>
      <c r="AO19" s="577">
        <v>0</v>
      </c>
      <c r="AP19" s="577">
        <v>626986.75</v>
      </c>
      <c r="AQ19" s="577">
        <v>34879.85</v>
      </c>
      <c r="AR19" s="577">
        <v>99268.95</v>
      </c>
      <c r="AS19" s="577">
        <v>0</v>
      </c>
      <c r="AT19" s="577">
        <v>34861.74</v>
      </c>
      <c r="AU19" s="577">
        <v>7731.6</v>
      </c>
      <c r="AV19" s="577">
        <v>3209.99</v>
      </c>
      <c r="AW19" s="577">
        <v>341.96</v>
      </c>
      <c r="AX19" s="577">
        <v>0</v>
      </c>
      <c r="AY19" s="577">
        <v>5546.1</v>
      </c>
      <c r="AZ19" s="577">
        <v>3438.18</v>
      </c>
      <c r="BA19" s="577">
        <v>38222.69</v>
      </c>
      <c r="BB19" s="577">
        <v>6368.86</v>
      </c>
      <c r="BC19" s="577">
        <v>53861</v>
      </c>
      <c r="BD19" s="577">
        <v>60857.78</v>
      </c>
      <c r="BE19" s="577">
        <v>12299.35</v>
      </c>
      <c r="BF19" s="577">
        <v>35844.160000000003</v>
      </c>
      <c r="BG19" s="577">
        <v>5857.26</v>
      </c>
      <c r="BH19" s="576">
        <v>0</v>
      </c>
      <c r="BI19" s="576">
        <v>944.5</v>
      </c>
      <c r="BJ19" s="576">
        <v>19269.64</v>
      </c>
      <c r="BK19" s="576">
        <v>0</v>
      </c>
      <c r="BL19" s="576">
        <v>1591.48</v>
      </c>
      <c r="BM19" s="576">
        <v>12859.15</v>
      </c>
      <c r="BN19" s="577">
        <f t="shared" si="3"/>
        <v>40522.03</v>
      </c>
      <c r="BO19" s="577">
        <v>0</v>
      </c>
      <c r="BP19" s="577">
        <v>4585.79</v>
      </c>
      <c r="BQ19" s="577">
        <v>7623.34</v>
      </c>
      <c r="BR19" s="577">
        <v>2608.11</v>
      </c>
      <c r="BS19" s="577">
        <v>82637.710000000006</v>
      </c>
      <c r="BT19" s="577">
        <v>58273.5</v>
      </c>
      <c r="BU19" s="577">
        <v>99430.01</v>
      </c>
      <c r="BV19" s="577">
        <v>39713.620000000003</v>
      </c>
      <c r="BW19" s="577">
        <v>0</v>
      </c>
      <c r="BX19" s="577">
        <v>0</v>
      </c>
      <c r="BY19" s="577">
        <v>0</v>
      </c>
      <c r="BZ19" s="577">
        <v>127482.85</v>
      </c>
      <c r="CA19" s="577">
        <v>33593.32</v>
      </c>
      <c r="CB19" s="577">
        <v>6730.37</v>
      </c>
      <c r="CC19" s="577">
        <v>0</v>
      </c>
      <c r="CD19" s="577">
        <v>0</v>
      </c>
      <c r="CE19" s="577">
        <v>6000</v>
      </c>
      <c r="CF19" s="577">
        <v>0</v>
      </c>
      <c r="CG19" s="577">
        <v>0</v>
      </c>
      <c r="CH19" s="577">
        <v>0</v>
      </c>
      <c r="CI19" s="577">
        <v>6575.56</v>
      </c>
      <c r="CJ19" s="576">
        <v>0</v>
      </c>
      <c r="CK19" s="576">
        <v>0</v>
      </c>
      <c r="CL19" s="576">
        <v>0</v>
      </c>
      <c r="CM19" s="576">
        <v>0</v>
      </c>
      <c r="CN19" s="577">
        <v>0</v>
      </c>
      <c r="CO19" s="577">
        <v>-71316.570000000007</v>
      </c>
      <c r="CP19" s="577">
        <v>27967.91</v>
      </c>
      <c r="CQ19" s="577">
        <v>0</v>
      </c>
      <c r="CR19" s="577">
        <v>90915.32</v>
      </c>
      <c r="CS19" s="577">
        <v>0</v>
      </c>
      <c r="CU19" s="495">
        <f t="shared" si="4"/>
        <v>19598.75</v>
      </c>
      <c r="CV19" s="495">
        <f t="shared" si="5"/>
        <v>27967.91</v>
      </c>
      <c r="CW19" s="495">
        <f t="shared" si="6"/>
        <v>-71316.570000000007</v>
      </c>
      <c r="CX19" s="495">
        <f t="shared" si="0"/>
        <v>2122565.3099999996</v>
      </c>
      <c r="CY19" s="495">
        <f t="shared" si="7"/>
        <v>2071584.0400000003</v>
      </c>
      <c r="CZ19" s="495">
        <f t="shared" si="1"/>
        <v>1786618.58</v>
      </c>
      <c r="DA19" s="495">
        <f t="shared" si="8"/>
        <v>50981.26999999932</v>
      </c>
    </row>
    <row r="20" spans="1:105" ht="15">
      <c r="A20" s="576">
        <v>302</v>
      </c>
      <c r="B20" s="576">
        <v>2025</v>
      </c>
      <c r="C20" s="576" t="s">
        <v>62</v>
      </c>
      <c r="D20" s="576" t="s">
        <v>594</v>
      </c>
      <c r="E20" s="576"/>
      <c r="F20" s="576" t="s">
        <v>588</v>
      </c>
      <c r="G20" s="576">
        <v>0</v>
      </c>
      <c r="H20" s="576">
        <v>0</v>
      </c>
      <c r="I20" s="576" t="s">
        <v>853</v>
      </c>
      <c r="J20" s="576" t="s">
        <v>854</v>
      </c>
      <c r="K20" s="576" t="s">
        <v>591</v>
      </c>
      <c r="L20" s="576" t="s">
        <v>592</v>
      </c>
      <c r="M20" s="576" t="s">
        <v>591</v>
      </c>
      <c r="N20" s="576" t="s">
        <v>593</v>
      </c>
      <c r="O20" s="576" t="s">
        <v>188</v>
      </c>
      <c r="P20" s="576" t="s">
        <v>188</v>
      </c>
      <c r="Q20" s="577">
        <v>53929.47</v>
      </c>
      <c r="R20" s="577">
        <v>0</v>
      </c>
      <c r="S20" s="577">
        <v>23245.26</v>
      </c>
      <c r="T20" s="577">
        <v>1643378.11</v>
      </c>
      <c r="U20" s="577">
        <v>0</v>
      </c>
      <c r="V20" s="577">
        <v>86367.41</v>
      </c>
      <c r="W20" s="577">
        <v>0</v>
      </c>
      <c r="X20" s="577">
        <v>21140</v>
      </c>
      <c r="Y20" s="577">
        <v>4000</v>
      </c>
      <c r="Z20" s="577">
        <v>103912.13</v>
      </c>
      <c r="AA20" s="577">
        <v>45702.5</v>
      </c>
      <c r="AB20" s="577">
        <v>31771.53</v>
      </c>
      <c r="AC20" s="577">
        <v>0</v>
      </c>
      <c r="AD20" s="577">
        <v>0</v>
      </c>
      <c r="AE20" s="577">
        <v>0</v>
      </c>
      <c r="AF20" s="577">
        <v>81433.2</v>
      </c>
      <c r="AG20" s="577">
        <v>29048.91</v>
      </c>
      <c r="AH20" s="577">
        <v>0</v>
      </c>
      <c r="AI20" s="577">
        <v>0</v>
      </c>
      <c r="AJ20" s="577">
        <v>0</v>
      </c>
      <c r="AK20" s="577">
        <v>566.88</v>
      </c>
      <c r="AL20" s="577">
        <v>81643</v>
      </c>
      <c r="AM20" s="580">
        <f t="shared" si="2"/>
        <v>82209.88</v>
      </c>
      <c r="AN20" s="577">
        <v>1104979.6100000001</v>
      </c>
      <c r="AO20" s="577">
        <v>7026.42</v>
      </c>
      <c r="AP20" s="577">
        <v>337965.89</v>
      </c>
      <c r="AQ20" s="577">
        <v>91615.02</v>
      </c>
      <c r="AR20" s="577">
        <v>74207.460000000006</v>
      </c>
      <c r="AS20" s="577">
        <v>0</v>
      </c>
      <c r="AT20" s="577">
        <v>46063.99</v>
      </c>
      <c r="AU20" s="577">
        <v>8423.68</v>
      </c>
      <c r="AV20" s="577">
        <v>2924.05</v>
      </c>
      <c r="AW20" s="577">
        <v>519.58000000000004</v>
      </c>
      <c r="AX20" s="577">
        <v>0</v>
      </c>
      <c r="AY20" s="577">
        <v>16658.8</v>
      </c>
      <c r="AZ20" s="577">
        <v>0</v>
      </c>
      <c r="BA20" s="577">
        <v>3708.11</v>
      </c>
      <c r="BB20" s="577">
        <v>3346.9</v>
      </c>
      <c r="BC20" s="577">
        <v>65053.7</v>
      </c>
      <c r="BD20" s="577">
        <v>40857.599999999999</v>
      </c>
      <c r="BE20" s="577">
        <v>6352.56</v>
      </c>
      <c r="BF20" s="577">
        <v>83674.59</v>
      </c>
      <c r="BG20" s="577">
        <v>5780.11</v>
      </c>
      <c r="BH20" s="576">
        <v>0</v>
      </c>
      <c r="BI20" s="576">
        <v>4892.75</v>
      </c>
      <c r="BJ20" s="576">
        <v>4716.72</v>
      </c>
      <c r="BK20" s="576">
        <v>0</v>
      </c>
      <c r="BL20" s="576">
        <v>3482.72</v>
      </c>
      <c r="BM20" s="576">
        <v>6240</v>
      </c>
      <c r="BN20" s="577">
        <f t="shared" si="3"/>
        <v>25112.300000000003</v>
      </c>
      <c r="BO20" s="577">
        <v>0</v>
      </c>
      <c r="BP20" s="577">
        <v>4865.25</v>
      </c>
      <c r="BQ20" s="577">
        <v>12798.57</v>
      </c>
      <c r="BR20" s="577">
        <v>7901.01</v>
      </c>
      <c r="BS20" s="577">
        <v>132590.79999999999</v>
      </c>
      <c r="BT20" s="577">
        <v>16472.400000000001</v>
      </c>
      <c r="BU20" s="577">
        <v>60727.6</v>
      </c>
      <c r="BV20" s="577">
        <v>28968.25</v>
      </c>
      <c r="BW20" s="577">
        <v>0</v>
      </c>
      <c r="BX20" s="577">
        <v>0</v>
      </c>
      <c r="BY20" s="577">
        <v>0</v>
      </c>
      <c r="BZ20" s="577">
        <v>0</v>
      </c>
      <c r="CA20" s="577">
        <v>0</v>
      </c>
      <c r="CB20" s="577">
        <v>7588.74</v>
      </c>
      <c r="CC20" s="577">
        <v>0</v>
      </c>
      <c r="CD20" s="577">
        <v>0</v>
      </c>
      <c r="CE20" s="577">
        <v>6000</v>
      </c>
      <c r="CF20" s="577">
        <v>0</v>
      </c>
      <c r="CG20" s="577">
        <v>0</v>
      </c>
      <c r="CH20" s="577">
        <v>0</v>
      </c>
      <c r="CI20" s="577">
        <v>0</v>
      </c>
      <c r="CJ20" s="576">
        <v>0</v>
      </c>
      <c r="CK20" s="576">
        <v>0</v>
      </c>
      <c r="CL20" s="576">
        <v>0</v>
      </c>
      <c r="CM20" s="576">
        <v>0</v>
      </c>
      <c r="CN20" s="577">
        <v>79</v>
      </c>
      <c r="CO20" s="577">
        <v>0</v>
      </c>
      <c r="CP20" s="577">
        <v>30834</v>
      </c>
      <c r="CQ20" s="577">
        <v>0</v>
      </c>
      <c r="CR20" s="577">
        <v>0</v>
      </c>
      <c r="CS20" s="577">
        <v>0</v>
      </c>
      <c r="CU20" s="495">
        <f t="shared" si="4"/>
        <v>79</v>
      </c>
      <c r="CV20" s="495">
        <f t="shared" si="5"/>
        <v>30834</v>
      </c>
      <c r="CW20" s="495">
        <f t="shared" si="6"/>
        <v>79</v>
      </c>
      <c r="CX20" s="495">
        <f t="shared" si="0"/>
        <v>2128963.67</v>
      </c>
      <c r="CY20" s="495">
        <f t="shared" si="7"/>
        <v>2182814.1400000006</v>
      </c>
      <c r="CZ20" s="495">
        <f t="shared" si="1"/>
        <v>1729745.52</v>
      </c>
      <c r="DA20" s="495">
        <f t="shared" si="8"/>
        <v>-53850.470000000671</v>
      </c>
    </row>
    <row r="21" spans="1:105" ht="15">
      <c r="A21" s="576">
        <v>302</v>
      </c>
      <c r="B21" s="576">
        <v>2026</v>
      </c>
      <c r="C21" s="576" t="s">
        <v>270</v>
      </c>
      <c r="D21" s="576" t="s">
        <v>594</v>
      </c>
      <c r="E21" s="576"/>
      <c r="F21" s="576" t="s">
        <v>588</v>
      </c>
      <c r="G21" s="576">
        <v>0</v>
      </c>
      <c r="H21" s="576">
        <v>0</v>
      </c>
      <c r="I21" s="576" t="s">
        <v>853</v>
      </c>
      <c r="J21" s="576" t="s">
        <v>854</v>
      </c>
      <c r="K21" s="576" t="s">
        <v>591</v>
      </c>
      <c r="L21" s="576" t="s">
        <v>592</v>
      </c>
      <c r="M21" s="576" t="s">
        <v>591</v>
      </c>
      <c r="N21" s="576" t="s">
        <v>593</v>
      </c>
      <c r="O21" s="576" t="s">
        <v>188</v>
      </c>
      <c r="P21" s="576" t="s">
        <v>188</v>
      </c>
      <c r="Q21" s="577">
        <v>-99110.62</v>
      </c>
      <c r="R21" s="577">
        <v>0</v>
      </c>
      <c r="S21" s="577">
        <v>20603.25</v>
      </c>
      <c r="T21" s="577">
        <v>2867251.6</v>
      </c>
      <c r="U21" s="577">
        <v>0</v>
      </c>
      <c r="V21" s="577">
        <v>127528.51</v>
      </c>
      <c r="W21" s="577">
        <v>0</v>
      </c>
      <c r="X21" s="577">
        <v>98770</v>
      </c>
      <c r="Y21" s="577">
        <v>1400</v>
      </c>
      <c r="Z21" s="577">
        <v>112484.52</v>
      </c>
      <c r="AA21" s="577">
        <v>65845.73</v>
      </c>
      <c r="AB21" s="577">
        <v>1710.31</v>
      </c>
      <c r="AC21" s="577">
        <v>6709.04</v>
      </c>
      <c r="AD21" s="577">
        <v>0</v>
      </c>
      <c r="AE21" s="577">
        <v>0</v>
      </c>
      <c r="AF21" s="577">
        <v>190304.23</v>
      </c>
      <c r="AG21" s="577">
        <v>16148.2</v>
      </c>
      <c r="AH21" s="577">
        <v>0</v>
      </c>
      <c r="AI21" s="577">
        <v>0</v>
      </c>
      <c r="AJ21" s="577">
        <v>0</v>
      </c>
      <c r="AK21" s="577">
        <v>5434.38</v>
      </c>
      <c r="AL21" s="577">
        <v>95221</v>
      </c>
      <c r="AM21" s="580">
        <f t="shared" si="2"/>
        <v>100655.38</v>
      </c>
      <c r="AN21" s="577">
        <v>1490400.77</v>
      </c>
      <c r="AO21" s="577">
        <v>0</v>
      </c>
      <c r="AP21" s="577">
        <v>788620.66</v>
      </c>
      <c r="AQ21" s="577">
        <v>75730.12</v>
      </c>
      <c r="AR21" s="577">
        <v>134861.69</v>
      </c>
      <c r="AS21" s="577">
        <v>0</v>
      </c>
      <c r="AT21" s="577">
        <v>94808.87</v>
      </c>
      <c r="AU21" s="577">
        <v>11687.92</v>
      </c>
      <c r="AV21" s="577">
        <v>4854.55</v>
      </c>
      <c r="AW21" s="577">
        <v>730.4</v>
      </c>
      <c r="AX21" s="577">
        <v>0</v>
      </c>
      <c r="AY21" s="577">
        <v>39082.1</v>
      </c>
      <c r="AZ21" s="577">
        <v>4378.33</v>
      </c>
      <c r="BA21" s="577">
        <v>65578.73</v>
      </c>
      <c r="BB21" s="577">
        <v>3500.1</v>
      </c>
      <c r="BC21" s="577">
        <v>67727.62</v>
      </c>
      <c r="BD21" s="577">
        <v>51596.81</v>
      </c>
      <c r="BE21" s="577">
        <v>16246.83</v>
      </c>
      <c r="BF21" s="577">
        <v>92954</v>
      </c>
      <c r="BG21" s="577">
        <v>7245</v>
      </c>
      <c r="BH21" s="576">
        <v>2577.6999999999998</v>
      </c>
      <c r="BI21" s="576">
        <v>13823.7</v>
      </c>
      <c r="BJ21" s="576">
        <v>15035.37</v>
      </c>
      <c r="BK21" s="576">
        <v>5513.41</v>
      </c>
      <c r="BL21" s="576">
        <v>718.52</v>
      </c>
      <c r="BM21" s="576">
        <v>13130</v>
      </c>
      <c r="BN21" s="577">
        <f t="shared" si="3"/>
        <v>58043.700000000004</v>
      </c>
      <c r="BO21" s="577">
        <v>0</v>
      </c>
      <c r="BP21" s="577">
        <v>12106.83</v>
      </c>
      <c r="BQ21" s="577">
        <v>18899.93</v>
      </c>
      <c r="BR21" s="577">
        <v>328</v>
      </c>
      <c r="BS21" s="577">
        <v>176803.35</v>
      </c>
      <c r="BT21" s="577">
        <v>38529.24</v>
      </c>
      <c r="BU21" s="577">
        <v>116329.81</v>
      </c>
      <c r="BV21" s="577">
        <v>49298.54</v>
      </c>
      <c r="BW21" s="577">
        <v>0</v>
      </c>
      <c r="BX21" s="577">
        <v>0</v>
      </c>
      <c r="BY21" s="577">
        <v>0</v>
      </c>
      <c r="BZ21" s="577">
        <v>0</v>
      </c>
      <c r="CA21" s="577">
        <v>0</v>
      </c>
      <c r="CB21" s="577">
        <v>9567.65</v>
      </c>
      <c r="CC21" s="577">
        <v>3000</v>
      </c>
      <c r="CD21" s="577">
        <v>0</v>
      </c>
      <c r="CE21" s="577">
        <v>6000</v>
      </c>
      <c r="CF21" s="577">
        <v>0</v>
      </c>
      <c r="CG21" s="577">
        <v>0</v>
      </c>
      <c r="CH21" s="577">
        <v>23319.9</v>
      </c>
      <c r="CI21" s="577">
        <v>0</v>
      </c>
      <c r="CJ21" s="576">
        <v>0</v>
      </c>
      <c r="CK21" s="576">
        <v>0</v>
      </c>
      <c r="CL21" s="576">
        <v>0</v>
      </c>
      <c r="CM21" s="576">
        <v>0</v>
      </c>
      <c r="CN21" s="577">
        <v>5634</v>
      </c>
      <c r="CO21" s="577">
        <v>70964</v>
      </c>
      <c r="CP21" s="577">
        <v>9851</v>
      </c>
      <c r="CQ21" s="577">
        <v>0</v>
      </c>
      <c r="CR21" s="577">
        <v>0</v>
      </c>
      <c r="CS21" s="577">
        <v>0</v>
      </c>
      <c r="CU21" s="495">
        <f t="shared" si="4"/>
        <v>76598</v>
      </c>
      <c r="CV21" s="495">
        <f t="shared" si="5"/>
        <v>9851</v>
      </c>
      <c r="CW21" s="495">
        <f t="shared" si="6"/>
        <v>76598</v>
      </c>
      <c r="CX21" s="495">
        <f t="shared" si="0"/>
        <v>3588807.52</v>
      </c>
      <c r="CY21" s="495">
        <f t="shared" si="7"/>
        <v>3413098.9000000018</v>
      </c>
      <c r="CZ21" s="495">
        <f t="shared" si="1"/>
        <v>2994780.11</v>
      </c>
      <c r="DA21" s="495">
        <f t="shared" si="8"/>
        <v>175708.61999999825</v>
      </c>
    </row>
    <row r="22" spans="1:105" ht="15">
      <c r="A22" s="576">
        <v>302</v>
      </c>
      <c r="B22" s="576">
        <v>2027</v>
      </c>
      <c r="C22" s="576" t="s">
        <v>65</v>
      </c>
      <c r="D22" s="576" t="s">
        <v>594</v>
      </c>
      <c r="E22" s="576"/>
      <c r="F22" s="576" t="s">
        <v>588</v>
      </c>
      <c r="G22" s="576">
        <v>0</v>
      </c>
      <c r="H22" s="576">
        <v>1</v>
      </c>
      <c r="I22" s="576" t="s">
        <v>853</v>
      </c>
      <c r="J22" s="576" t="s">
        <v>854</v>
      </c>
      <c r="K22" s="576" t="s">
        <v>591</v>
      </c>
      <c r="L22" s="576" t="s">
        <v>592</v>
      </c>
      <c r="M22" s="576" t="s">
        <v>591</v>
      </c>
      <c r="N22" s="576" t="s">
        <v>593</v>
      </c>
      <c r="O22" s="576" t="s">
        <v>188</v>
      </c>
      <c r="P22" s="576" t="s">
        <v>188</v>
      </c>
      <c r="Q22" s="577">
        <v>-94203.32</v>
      </c>
      <c r="R22" s="577">
        <v>0</v>
      </c>
      <c r="S22" s="577">
        <v>27755.75</v>
      </c>
      <c r="T22" s="577">
        <v>1877936.41</v>
      </c>
      <c r="U22" s="577">
        <v>0</v>
      </c>
      <c r="V22" s="577">
        <v>173961.68</v>
      </c>
      <c r="W22" s="577">
        <v>0</v>
      </c>
      <c r="X22" s="577">
        <v>130940</v>
      </c>
      <c r="Y22" s="577">
        <v>1400</v>
      </c>
      <c r="Z22" s="577">
        <v>153367.89000000001</v>
      </c>
      <c r="AA22" s="577">
        <v>15331.5</v>
      </c>
      <c r="AB22" s="577">
        <v>21683.119999999999</v>
      </c>
      <c r="AC22" s="577">
        <v>5124.97</v>
      </c>
      <c r="AD22" s="577">
        <v>6000</v>
      </c>
      <c r="AE22" s="577">
        <v>2268</v>
      </c>
      <c r="AF22" s="577">
        <v>32870.449999999997</v>
      </c>
      <c r="AG22" s="577">
        <v>8625.1200000000008</v>
      </c>
      <c r="AH22" s="577">
        <v>0</v>
      </c>
      <c r="AI22" s="577">
        <v>0</v>
      </c>
      <c r="AJ22" s="577">
        <v>0</v>
      </c>
      <c r="AK22" s="577">
        <v>9196.8799999999992</v>
      </c>
      <c r="AL22" s="577">
        <v>19303</v>
      </c>
      <c r="AM22" s="580">
        <f t="shared" si="2"/>
        <v>28499.879999999997</v>
      </c>
      <c r="AN22" s="577">
        <v>1201155.02</v>
      </c>
      <c r="AO22" s="577">
        <v>0</v>
      </c>
      <c r="AP22" s="577">
        <v>302709.78000000003</v>
      </c>
      <c r="AQ22" s="577">
        <v>44175.73</v>
      </c>
      <c r="AR22" s="577">
        <v>101684.63</v>
      </c>
      <c r="AS22" s="577">
        <v>0</v>
      </c>
      <c r="AT22" s="577">
        <v>27965.69</v>
      </c>
      <c r="AU22" s="577">
        <v>13622.96</v>
      </c>
      <c r="AV22" s="577">
        <v>3932.5</v>
      </c>
      <c r="AW22" s="577">
        <v>6535.14</v>
      </c>
      <c r="AX22" s="577">
        <v>0</v>
      </c>
      <c r="AY22" s="577">
        <v>17217.91</v>
      </c>
      <c r="AZ22" s="577">
        <v>2786</v>
      </c>
      <c r="BA22" s="577">
        <v>31053.82</v>
      </c>
      <c r="BB22" s="577">
        <v>5284.19</v>
      </c>
      <c r="BC22" s="577">
        <v>47881.68</v>
      </c>
      <c r="BD22" s="577">
        <v>23451.360000000001</v>
      </c>
      <c r="BE22" s="577">
        <v>12203.74</v>
      </c>
      <c r="BF22" s="577">
        <v>60229.33</v>
      </c>
      <c r="BG22" s="577">
        <v>3825.72</v>
      </c>
      <c r="BH22" s="576">
        <v>0</v>
      </c>
      <c r="BI22" s="576">
        <v>9197.84</v>
      </c>
      <c r="BJ22" s="576">
        <v>9219.81</v>
      </c>
      <c r="BK22" s="576">
        <v>0</v>
      </c>
      <c r="BL22" s="576">
        <v>1751.62</v>
      </c>
      <c r="BM22" s="576">
        <v>10644.5</v>
      </c>
      <c r="BN22" s="577">
        <f t="shared" si="3"/>
        <v>34639.49</v>
      </c>
      <c r="BO22" s="577">
        <v>0</v>
      </c>
      <c r="BP22" s="577">
        <v>5708.23</v>
      </c>
      <c r="BQ22" s="577">
        <v>13719.81</v>
      </c>
      <c r="BR22" s="577">
        <v>11762.55</v>
      </c>
      <c r="BS22" s="577">
        <v>120744.77</v>
      </c>
      <c r="BT22" s="577">
        <v>163243.60999999999</v>
      </c>
      <c r="BU22" s="577">
        <v>324093.26</v>
      </c>
      <c r="BV22" s="577">
        <v>35747.5</v>
      </c>
      <c r="BW22" s="577">
        <v>0</v>
      </c>
      <c r="BX22" s="577">
        <v>0</v>
      </c>
      <c r="BY22" s="577">
        <v>0</v>
      </c>
      <c r="BZ22" s="577">
        <v>0</v>
      </c>
      <c r="CA22" s="577">
        <v>0</v>
      </c>
      <c r="CB22" s="577">
        <v>7690</v>
      </c>
      <c r="CC22" s="577">
        <v>24569.200000000001</v>
      </c>
      <c r="CD22" s="577">
        <v>0</v>
      </c>
      <c r="CE22" s="577">
        <v>6000</v>
      </c>
      <c r="CF22" s="577">
        <v>0</v>
      </c>
      <c r="CG22" s="577">
        <v>0</v>
      </c>
      <c r="CH22" s="577">
        <v>0</v>
      </c>
      <c r="CI22" s="577">
        <v>0</v>
      </c>
      <c r="CJ22" s="576">
        <v>0</v>
      </c>
      <c r="CK22" s="576">
        <v>0</v>
      </c>
      <c r="CL22" s="576">
        <v>13968.95</v>
      </c>
      <c r="CM22" s="576">
        <v>10600</v>
      </c>
      <c r="CN22" s="577">
        <v>0</v>
      </c>
      <c r="CO22" s="577">
        <v>-247743</v>
      </c>
      <c r="CP22" s="577">
        <v>35446</v>
      </c>
      <c r="CQ22" s="577">
        <v>0</v>
      </c>
      <c r="CR22" s="577">
        <v>0</v>
      </c>
      <c r="CS22" s="577">
        <v>0</v>
      </c>
      <c r="CU22" s="495">
        <f t="shared" si="4"/>
        <v>-247743</v>
      </c>
      <c r="CV22" s="495">
        <f t="shared" si="5"/>
        <v>35446</v>
      </c>
      <c r="CW22" s="495">
        <f t="shared" si="6"/>
        <v>-247743</v>
      </c>
      <c r="CX22" s="495">
        <f t="shared" si="0"/>
        <v>2458009.0200000005</v>
      </c>
      <c r="CY22" s="495">
        <f t="shared" si="7"/>
        <v>2611548.7000000002</v>
      </c>
      <c r="CZ22" s="495">
        <f t="shared" si="1"/>
        <v>2051898.0899999999</v>
      </c>
      <c r="DA22" s="495">
        <f t="shared" si="8"/>
        <v>-153539.6799999997</v>
      </c>
    </row>
    <row r="23" spans="1:105" ht="15">
      <c r="A23" s="576">
        <v>302</v>
      </c>
      <c r="B23" s="576">
        <v>2028</v>
      </c>
      <c r="C23" s="576" t="s">
        <v>64</v>
      </c>
      <c r="D23" s="576" t="s">
        <v>594</v>
      </c>
      <c r="E23" s="576"/>
      <c r="F23" s="576" t="s">
        <v>588</v>
      </c>
      <c r="G23" s="576">
        <v>0</v>
      </c>
      <c r="H23" s="576">
        <v>1</v>
      </c>
      <c r="I23" s="576" t="s">
        <v>853</v>
      </c>
      <c r="J23" s="576" t="s">
        <v>854</v>
      </c>
      <c r="K23" s="576" t="s">
        <v>591</v>
      </c>
      <c r="L23" s="576" t="s">
        <v>592</v>
      </c>
      <c r="M23" s="576" t="s">
        <v>591</v>
      </c>
      <c r="N23" s="576" t="s">
        <v>593</v>
      </c>
      <c r="O23" s="576" t="s">
        <v>188</v>
      </c>
      <c r="P23" s="576" t="s">
        <v>188</v>
      </c>
      <c r="Q23" s="577">
        <v>-247171.92</v>
      </c>
      <c r="R23" s="577">
        <v>0</v>
      </c>
      <c r="S23" s="577">
        <v>14796.25</v>
      </c>
      <c r="T23" s="577">
        <v>1424423.07</v>
      </c>
      <c r="U23" s="577">
        <v>0</v>
      </c>
      <c r="V23" s="577">
        <v>130931.01</v>
      </c>
      <c r="W23" s="577">
        <v>0</v>
      </c>
      <c r="X23" s="577">
        <v>81400</v>
      </c>
      <c r="Y23" s="577">
        <v>3800</v>
      </c>
      <c r="Z23" s="577">
        <v>9103.36</v>
      </c>
      <c r="AA23" s="577">
        <v>14821</v>
      </c>
      <c r="AB23" s="577">
        <v>7806.86</v>
      </c>
      <c r="AC23" s="577">
        <v>2953.08</v>
      </c>
      <c r="AD23" s="577">
        <v>0</v>
      </c>
      <c r="AE23" s="577">
        <v>0</v>
      </c>
      <c r="AF23" s="577">
        <v>7872.73</v>
      </c>
      <c r="AG23" s="577">
        <v>3234.27</v>
      </c>
      <c r="AH23" s="577">
        <v>0</v>
      </c>
      <c r="AI23" s="577">
        <v>0</v>
      </c>
      <c r="AJ23" s="577">
        <v>0</v>
      </c>
      <c r="AK23" s="577">
        <v>5124.38</v>
      </c>
      <c r="AL23" s="577">
        <v>80455</v>
      </c>
      <c r="AM23" s="580">
        <f t="shared" si="2"/>
        <v>85579.38</v>
      </c>
      <c r="AN23" s="577">
        <v>777909.36</v>
      </c>
      <c r="AO23" s="577">
        <v>0</v>
      </c>
      <c r="AP23" s="577">
        <v>236474.91</v>
      </c>
      <c r="AQ23" s="577">
        <v>44175.11</v>
      </c>
      <c r="AR23" s="577">
        <v>105062.82</v>
      </c>
      <c r="AS23" s="577">
        <v>0</v>
      </c>
      <c r="AT23" s="577">
        <v>34626.54</v>
      </c>
      <c r="AU23" s="577">
        <v>8007.72</v>
      </c>
      <c r="AV23" s="577">
        <v>975</v>
      </c>
      <c r="AW23" s="577">
        <v>363.54</v>
      </c>
      <c r="AX23" s="577">
        <v>0</v>
      </c>
      <c r="AY23" s="577">
        <v>6648.51</v>
      </c>
      <c r="AZ23" s="577">
        <v>3084.94</v>
      </c>
      <c r="BA23" s="577">
        <v>23517.69</v>
      </c>
      <c r="BB23" s="577">
        <v>3522.78</v>
      </c>
      <c r="BC23" s="577">
        <v>29526.91</v>
      </c>
      <c r="BD23" s="577">
        <v>23451.37</v>
      </c>
      <c r="BE23" s="577">
        <v>9396.15</v>
      </c>
      <c r="BF23" s="577">
        <v>19716.080000000002</v>
      </c>
      <c r="BG23" s="577">
        <v>3825.72</v>
      </c>
      <c r="BH23" s="576">
        <v>0</v>
      </c>
      <c r="BI23" s="576">
        <v>3504.4</v>
      </c>
      <c r="BJ23" s="576">
        <v>11307.23</v>
      </c>
      <c r="BK23" s="576">
        <v>0</v>
      </c>
      <c r="BL23" s="576">
        <v>862.06</v>
      </c>
      <c r="BM23" s="576">
        <v>7036.5</v>
      </c>
      <c r="BN23" s="577">
        <f t="shared" si="3"/>
        <v>26535.91</v>
      </c>
      <c r="BO23" s="577">
        <v>0</v>
      </c>
      <c r="BP23" s="577">
        <v>3054.93</v>
      </c>
      <c r="BQ23" s="577">
        <v>9132.91</v>
      </c>
      <c r="BR23" s="577">
        <v>929.82</v>
      </c>
      <c r="BS23" s="577">
        <v>78462.27</v>
      </c>
      <c r="BT23" s="577">
        <v>67713.3</v>
      </c>
      <c r="BU23" s="577">
        <v>207941.77</v>
      </c>
      <c r="BV23" s="577">
        <v>32774.5</v>
      </c>
      <c r="BW23" s="577">
        <v>0</v>
      </c>
      <c r="BX23" s="577">
        <v>0</v>
      </c>
      <c r="BY23" s="577">
        <v>0</v>
      </c>
      <c r="BZ23" s="577">
        <v>0</v>
      </c>
      <c r="CA23" s="577">
        <v>0</v>
      </c>
      <c r="CB23" s="577">
        <v>6711</v>
      </c>
      <c r="CC23" s="577">
        <v>5000</v>
      </c>
      <c r="CD23" s="577">
        <v>0</v>
      </c>
      <c r="CE23" s="577">
        <v>6000</v>
      </c>
      <c r="CF23" s="577">
        <v>0</v>
      </c>
      <c r="CG23" s="577">
        <v>7585.25</v>
      </c>
      <c r="CH23" s="577">
        <v>0</v>
      </c>
      <c r="CI23" s="577">
        <v>1244</v>
      </c>
      <c r="CJ23" s="576">
        <v>0</v>
      </c>
      <c r="CK23" s="576">
        <v>0</v>
      </c>
      <c r="CL23" s="576">
        <v>0</v>
      </c>
      <c r="CM23" s="576">
        <v>0</v>
      </c>
      <c r="CN23" s="577">
        <v>0</v>
      </c>
      <c r="CO23" s="577">
        <v>-228252</v>
      </c>
      <c r="CP23" s="577">
        <v>12678</v>
      </c>
      <c r="CQ23" s="577">
        <v>5000</v>
      </c>
      <c r="CR23" s="577">
        <v>0</v>
      </c>
      <c r="CS23" s="577">
        <v>0</v>
      </c>
      <c r="CU23" s="495">
        <f t="shared" si="4"/>
        <v>-228252</v>
      </c>
      <c r="CV23" s="495">
        <f t="shared" si="5"/>
        <v>17678</v>
      </c>
      <c r="CW23" s="495">
        <f t="shared" si="6"/>
        <v>-228252</v>
      </c>
      <c r="CX23" s="495">
        <f t="shared" si="0"/>
        <v>1771924.7600000002</v>
      </c>
      <c r="CY23" s="495">
        <f t="shared" si="7"/>
        <v>1753004.84</v>
      </c>
      <c r="CZ23" s="495">
        <f t="shared" si="1"/>
        <v>1555354.08</v>
      </c>
      <c r="DA23" s="495">
        <f t="shared" si="8"/>
        <v>18919.920000000158</v>
      </c>
    </row>
    <row r="24" spans="1:105" ht="15">
      <c r="A24" s="576">
        <v>302</v>
      </c>
      <c r="B24" s="576">
        <v>2029</v>
      </c>
      <c r="C24" s="576" t="s">
        <v>271</v>
      </c>
      <c r="D24" s="576" t="s">
        <v>594</v>
      </c>
      <c r="E24" s="576"/>
      <c r="F24" s="576" t="s">
        <v>588</v>
      </c>
      <c r="G24" s="576">
        <v>0</v>
      </c>
      <c r="H24" s="576">
        <v>1</v>
      </c>
      <c r="I24" s="576" t="s">
        <v>853</v>
      </c>
      <c r="J24" s="576" t="s">
        <v>854</v>
      </c>
      <c r="K24" s="576" t="s">
        <v>591</v>
      </c>
      <c r="L24" s="576" t="s">
        <v>592</v>
      </c>
      <c r="M24" s="576" t="s">
        <v>591</v>
      </c>
      <c r="N24" s="576" t="s">
        <v>593</v>
      </c>
      <c r="O24" s="576" t="s">
        <v>188</v>
      </c>
      <c r="P24" s="576" t="s">
        <v>188</v>
      </c>
      <c r="Q24" s="577">
        <v>-212619.91</v>
      </c>
      <c r="R24" s="577">
        <v>0</v>
      </c>
      <c r="S24" s="577">
        <v>25062.25</v>
      </c>
      <c r="T24" s="577">
        <v>2836196.43</v>
      </c>
      <c r="U24" s="577">
        <v>0</v>
      </c>
      <c r="V24" s="577">
        <v>211799.54</v>
      </c>
      <c r="W24" s="577">
        <v>0</v>
      </c>
      <c r="X24" s="577">
        <v>258920</v>
      </c>
      <c r="Y24" s="577">
        <v>4769.2299999999996</v>
      </c>
      <c r="Z24" s="577">
        <v>67351.320000000007</v>
      </c>
      <c r="AA24" s="577">
        <v>0</v>
      </c>
      <c r="AB24" s="577">
        <v>42256.800000000003</v>
      </c>
      <c r="AC24" s="577">
        <v>7795.54</v>
      </c>
      <c r="AD24" s="577">
        <v>0</v>
      </c>
      <c r="AE24" s="577">
        <v>0</v>
      </c>
      <c r="AF24" s="577">
        <v>36672.93</v>
      </c>
      <c r="AG24" s="577">
        <v>2126.7600000000002</v>
      </c>
      <c r="AH24" s="577">
        <v>0</v>
      </c>
      <c r="AI24" s="577">
        <v>0</v>
      </c>
      <c r="AJ24" s="577">
        <v>0</v>
      </c>
      <c r="AK24" s="577">
        <v>16088.75</v>
      </c>
      <c r="AL24" s="577">
        <v>78733</v>
      </c>
      <c r="AM24" s="580">
        <f t="shared" si="2"/>
        <v>94821.75</v>
      </c>
      <c r="AN24" s="577">
        <v>1440332.83</v>
      </c>
      <c r="AO24" s="577">
        <v>0</v>
      </c>
      <c r="AP24" s="577">
        <v>880538.49</v>
      </c>
      <c r="AQ24" s="577">
        <v>134766.98000000001</v>
      </c>
      <c r="AR24" s="577">
        <v>76435.7</v>
      </c>
      <c r="AS24" s="577">
        <v>85821.83</v>
      </c>
      <c r="AT24" s="577">
        <v>225766.52</v>
      </c>
      <c r="AU24" s="577">
        <v>12127.14</v>
      </c>
      <c r="AV24" s="577">
        <v>2688</v>
      </c>
      <c r="AW24" s="577">
        <v>0</v>
      </c>
      <c r="AX24" s="577">
        <v>0</v>
      </c>
      <c r="AY24" s="577">
        <v>37143.919999999998</v>
      </c>
      <c r="AZ24" s="577">
        <v>4961.8500000000004</v>
      </c>
      <c r="BA24" s="577">
        <v>4454.62</v>
      </c>
      <c r="BB24" s="577">
        <v>7446.96</v>
      </c>
      <c r="BC24" s="577">
        <v>60728.56</v>
      </c>
      <c r="BD24" s="577">
        <v>30600</v>
      </c>
      <c r="BE24" s="577">
        <v>32737.17</v>
      </c>
      <c r="BF24" s="577">
        <v>89102.91</v>
      </c>
      <c r="BG24" s="577">
        <v>26083.46</v>
      </c>
      <c r="BH24" s="576">
        <v>0</v>
      </c>
      <c r="BI24" s="576">
        <v>0</v>
      </c>
      <c r="BJ24" s="576">
        <v>0</v>
      </c>
      <c r="BK24" s="576">
        <v>0</v>
      </c>
      <c r="BL24" s="576">
        <v>0</v>
      </c>
      <c r="BM24" s="576">
        <v>0</v>
      </c>
      <c r="BN24" s="577">
        <f t="shared" si="3"/>
        <v>26083.46</v>
      </c>
      <c r="BO24" s="577">
        <v>0</v>
      </c>
      <c r="BP24" s="577">
        <v>19497</v>
      </c>
      <c r="BQ24" s="577">
        <v>10525</v>
      </c>
      <c r="BR24" s="577">
        <v>17562.98</v>
      </c>
      <c r="BS24" s="577">
        <v>107347.43</v>
      </c>
      <c r="BT24" s="577">
        <v>66104.600000000006</v>
      </c>
      <c r="BU24" s="577">
        <v>181202.69</v>
      </c>
      <c r="BV24" s="577">
        <v>47364.75</v>
      </c>
      <c r="BW24" s="577">
        <v>0</v>
      </c>
      <c r="BX24" s="577">
        <v>0</v>
      </c>
      <c r="BY24" s="577">
        <v>0</v>
      </c>
      <c r="BZ24" s="577">
        <v>0</v>
      </c>
      <c r="CA24" s="577">
        <v>0</v>
      </c>
      <c r="CB24" s="577">
        <v>9120.75</v>
      </c>
      <c r="CC24" s="577">
        <v>0</v>
      </c>
      <c r="CD24" s="577">
        <v>0</v>
      </c>
      <c r="CE24" s="577">
        <v>6000</v>
      </c>
      <c r="CF24" s="577">
        <v>0</v>
      </c>
      <c r="CG24" s="577">
        <v>0</v>
      </c>
      <c r="CH24" s="577">
        <v>0</v>
      </c>
      <c r="CI24" s="577">
        <v>7320</v>
      </c>
      <c r="CJ24" s="576">
        <v>0</v>
      </c>
      <c r="CK24" s="576">
        <v>0</v>
      </c>
      <c r="CL24" s="576">
        <v>0</v>
      </c>
      <c r="CM24" s="576">
        <v>0</v>
      </c>
      <c r="CN24" s="577">
        <v>0</v>
      </c>
      <c r="CO24" s="577">
        <v>-251251</v>
      </c>
      <c r="CP24" s="577">
        <v>26863</v>
      </c>
      <c r="CQ24" s="577">
        <v>0</v>
      </c>
      <c r="CR24" s="577">
        <v>0</v>
      </c>
      <c r="CS24" s="577">
        <v>0</v>
      </c>
      <c r="CU24" s="495">
        <f t="shared" si="4"/>
        <v>-251251</v>
      </c>
      <c r="CV24" s="495">
        <f t="shared" si="5"/>
        <v>26863</v>
      </c>
      <c r="CW24" s="495">
        <f t="shared" si="6"/>
        <v>-251251</v>
      </c>
      <c r="CX24" s="495">
        <f t="shared" si="0"/>
        <v>3562710.3</v>
      </c>
      <c r="CY24" s="495">
        <f t="shared" si="7"/>
        <v>3601341.3900000011</v>
      </c>
      <c r="CZ24" s="495">
        <f t="shared" si="1"/>
        <v>3047995.97</v>
      </c>
      <c r="DA24" s="495">
        <f t="shared" si="8"/>
        <v>-38631.090000001248</v>
      </c>
    </row>
    <row r="25" spans="1:105" ht="15">
      <c r="A25" s="576">
        <v>302</v>
      </c>
      <c r="B25" s="576">
        <v>2031</v>
      </c>
      <c r="C25" s="576" t="s">
        <v>272</v>
      </c>
      <c r="D25" s="576" t="s">
        <v>594</v>
      </c>
      <c r="E25" s="576"/>
      <c r="F25" s="576" t="s">
        <v>588</v>
      </c>
      <c r="G25" s="576">
        <v>0</v>
      </c>
      <c r="H25" s="576">
        <v>1</v>
      </c>
      <c r="I25" s="576" t="s">
        <v>853</v>
      </c>
      <c r="J25" s="576" t="s">
        <v>854</v>
      </c>
      <c r="K25" s="576" t="s">
        <v>591</v>
      </c>
      <c r="L25" s="576" t="s">
        <v>592</v>
      </c>
      <c r="M25" s="576" t="s">
        <v>591</v>
      </c>
      <c r="N25" s="576" t="s">
        <v>593</v>
      </c>
      <c r="O25" s="576" t="s">
        <v>188</v>
      </c>
      <c r="P25" s="576" t="s">
        <v>188</v>
      </c>
      <c r="Q25" s="577">
        <v>-86400.88</v>
      </c>
      <c r="R25" s="577">
        <v>0</v>
      </c>
      <c r="S25" s="577">
        <v>30039.23</v>
      </c>
      <c r="T25" s="577">
        <v>1361901.71</v>
      </c>
      <c r="U25" s="577">
        <v>0</v>
      </c>
      <c r="V25" s="577">
        <v>110746.79</v>
      </c>
      <c r="W25" s="577">
        <v>0</v>
      </c>
      <c r="X25" s="577">
        <v>120080</v>
      </c>
      <c r="Y25" s="577">
        <v>20436.97</v>
      </c>
      <c r="Z25" s="577">
        <v>33712.47</v>
      </c>
      <c r="AA25" s="577">
        <v>14707.93</v>
      </c>
      <c r="AB25" s="577">
        <v>12780.72</v>
      </c>
      <c r="AC25" s="577">
        <v>1060.94</v>
      </c>
      <c r="AD25" s="577">
        <v>0</v>
      </c>
      <c r="AE25" s="577">
        <v>0</v>
      </c>
      <c r="AF25" s="577">
        <v>22718.06</v>
      </c>
      <c r="AG25" s="577">
        <v>3170.5</v>
      </c>
      <c r="AH25" s="577">
        <v>0</v>
      </c>
      <c r="AI25" s="577">
        <v>0</v>
      </c>
      <c r="AJ25" s="577">
        <v>0</v>
      </c>
      <c r="AK25" s="577">
        <v>2946.25</v>
      </c>
      <c r="AL25" s="577">
        <v>37985</v>
      </c>
      <c r="AM25" s="580">
        <f t="shared" si="2"/>
        <v>40931.25</v>
      </c>
      <c r="AN25" s="577">
        <v>803739.73</v>
      </c>
      <c r="AO25" s="577">
        <v>0</v>
      </c>
      <c r="AP25" s="577">
        <v>509890.68</v>
      </c>
      <c r="AQ25" s="577">
        <v>41895.49</v>
      </c>
      <c r="AR25" s="577">
        <v>87199.73</v>
      </c>
      <c r="AS25" s="577">
        <v>0</v>
      </c>
      <c r="AT25" s="577">
        <v>43655.040000000001</v>
      </c>
      <c r="AU25" s="577">
        <v>2381.98</v>
      </c>
      <c r="AV25" s="577">
        <v>5311.51</v>
      </c>
      <c r="AW25" s="577">
        <v>315.39999999999998</v>
      </c>
      <c r="AX25" s="577">
        <v>0</v>
      </c>
      <c r="AY25" s="577">
        <v>12162.16</v>
      </c>
      <c r="AZ25" s="577">
        <v>4935.42</v>
      </c>
      <c r="BA25" s="577">
        <v>24554.32</v>
      </c>
      <c r="BB25" s="577">
        <v>4100.1099999999997</v>
      </c>
      <c r="BC25" s="577">
        <v>22329.26</v>
      </c>
      <c r="BD25" s="577">
        <v>23550</v>
      </c>
      <c r="BE25" s="577">
        <v>15607.28</v>
      </c>
      <c r="BF25" s="577">
        <v>33014.269999999997</v>
      </c>
      <c r="BG25" s="577">
        <v>6913.14</v>
      </c>
      <c r="BH25" s="576">
        <v>0</v>
      </c>
      <c r="BI25" s="576">
        <v>637.36</v>
      </c>
      <c r="BJ25" s="576">
        <v>4133.18</v>
      </c>
      <c r="BK25" s="576">
        <v>176.39</v>
      </c>
      <c r="BL25" s="576">
        <v>0</v>
      </c>
      <c r="BM25" s="576">
        <v>450</v>
      </c>
      <c r="BN25" s="577">
        <f t="shared" si="3"/>
        <v>12310.07</v>
      </c>
      <c r="BO25" s="577">
        <v>0</v>
      </c>
      <c r="BP25" s="577">
        <v>2360.6799999999998</v>
      </c>
      <c r="BQ25" s="577">
        <v>3019.1</v>
      </c>
      <c r="BR25" s="577">
        <v>2944.36</v>
      </c>
      <c r="BS25" s="577">
        <v>78631.759999999995</v>
      </c>
      <c r="BT25" s="577">
        <v>46986.9</v>
      </c>
      <c r="BU25" s="577">
        <v>109184.46</v>
      </c>
      <c r="BV25" s="577">
        <v>39191.75</v>
      </c>
      <c r="BW25" s="577">
        <v>0</v>
      </c>
      <c r="BX25" s="577">
        <v>0</v>
      </c>
      <c r="BY25" s="577">
        <v>0</v>
      </c>
      <c r="BZ25" s="577">
        <v>0</v>
      </c>
      <c r="CA25" s="577">
        <v>0</v>
      </c>
      <c r="CB25" s="577">
        <v>90121.1</v>
      </c>
      <c r="CC25" s="577">
        <v>0</v>
      </c>
      <c r="CD25" s="577">
        <v>0</v>
      </c>
      <c r="CE25" s="577">
        <v>6000</v>
      </c>
      <c r="CF25" s="577">
        <v>0</v>
      </c>
      <c r="CG25" s="577">
        <v>67519.33</v>
      </c>
      <c r="CH25" s="577">
        <v>0</v>
      </c>
      <c r="CI25" s="577">
        <v>0</v>
      </c>
      <c r="CJ25" s="576">
        <v>0</v>
      </c>
      <c r="CK25" s="576">
        <v>0</v>
      </c>
      <c r="CL25" s="576">
        <v>0</v>
      </c>
      <c r="CM25" s="576">
        <v>0</v>
      </c>
      <c r="CN25" s="577">
        <v>0</v>
      </c>
      <c r="CO25" s="577">
        <v>-273425</v>
      </c>
      <c r="CP25" s="577">
        <v>52641</v>
      </c>
      <c r="CQ25" s="577">
        <v>0</v>
      </c>
      <c r="CR25" s="577">
        <v>0</v>
      </c>
      <c r="CS25" s="577">
        <v>0</v>
      </c>
      <c r="CU25" s="495">
        <f t="shared" si="4"/>
        <v>-273425</v>
      </c>
      <c r="CV25" s="495">
        <f t="shared" si="5"/>
        <v>52641</v>
      </c>
      <c r="CW25" s="495">
        <f t="shared" si="6"/>
        <v>-273425</v>
      </c>
      <c r="CX25" s="495">
        <f t="shared" si="0"/>
        <v>1742247.3399999999</v>
      </c>
      <c r="CY25" s="495">
        <f t="shared" si="7"/>
        <v>1929271.4599999997</v>
      </c>
      <c r="CZ25" s="495">
        <f t="shared" si="1"/>
        <v>1472648.5</v>
      </c>
      <c r="DA25" s="495">
        <f t="shared" si="8"/>
        <v>-187024.11999999988</v>
      </c>
    </row>
    <row r="26" spans="1:105" ht="15">
      <c r="A26" s="576">
        <v>302</v>
      </c>
      <c r="B26" s="576">
        <v>2032</v>
      </c>
      <c r="C26" s="576" t="s">
        <v>273</v>
      </c>
      <c r="D26" s="576" t="s">
        <v>594</v>
      </c>
      <c r="E26" s="576"/>
      <c r="F26" s="576" t="s">
        <v>588</v>
      </c>
      <c r="G26" s="576">
        <v>0</v>
      </c>
      <c r="H26" s="576">
        <v>1</v>
      </c>
      <c r="I26" s="576" t="s">
        <v>853</v>
      </c>
      <c r="J26" s="576" t="s">
        <v>854</v>
      </c>
      <c r="K26" s="576" t="s">
        <v>591</v>
      </c>
      <c r="L26" s="576" t="s">
        <v>592</v>
      </c>
      <c r="M26" s="576" t="s">
        <v>591</v>
      </c>
      <c r="N26" s="576" t="s">
        <v>593</v>
      </c>
      <c r="O26" s="576" t="s">
        <v>188</v>
      </c>
      <c r="P26" s="576" t="s">
        <v>188</v>
      </c>
      <c r="Q26" s="577">
        <v>-26000</v>
      </c>
      <c r="R26" s="577">
        <v>0</v>
      </c>
      <c r="S26" s="577">
        <v>0</v>
      </c>
      <c r="T26" s="577">
        <v>2593905.94</v>
      </c>
      <c r="U26" s="577">
        <v>0</v>
      </c>
      <c r="V26" s="577">
        <v>210141.86</v>
      </c>
      <c r="W26" s="577">
        <v>0</v>
      </c>
      <c r="X26" s="577">
        <v>140537.18</v>
      </c>
      <c r="Y26" s="577">
        <v>0</v>
      </c>
      <c r="Z26" s="577">
        <v>106302.24</v>
      </c>
      <c r="AA26" s="577">
        <v>0</v>
      </c>
      <c r="AB26" s="577">
        <v>113349.01</v>
      </c>
      <c r="AC26" s="577">
        <v>5076.74</v>
      </c>
      <c r="AD26" s="577">
        <v>0</v>
      </c>
      <c r="AE26" s="577">
        <v>0</v>
      </c>
      <c r="AF26" s="577">
        <v>101149.05</v>
      </c>
      <c r="AG26" s="577">
        <v>17740.599999999999</v>
      </c>
      <c r="AH26" s="577">
        <v>0</v>
      </c>
      <c r="AI26" s="577">
        <v>0</v>
      </c>
      <c r="AJ26" s="577">
        <v>0</v>
      </c>
      <c r="AK26" s="577">
        <v>0</v>
      </c>
      <c r="AL26" s="577">
        <v>93952</v>
      </c>
      <c r="AM26" s="580">
        <f t="shared" si="2"/>
        <v>93952</v>
      </c>
      <c r="AN26" s="577">
        <v>1577617.56</v>
      </c>
      <c r="AO26" s="577">
        <v>54551.65</v>
      </c>
      <c r="AP26" s="577">
        <v>691504.56</v>
      </c>
      <c r="AQ26" s="577">
        <v>47507.98</v>
      </c>
      <c r="AR26" s="577">
        <v>54823.839999999997</v>
      </c>
      <c r="AS26" s="577">
        <v>0</v>
      </c>
      <c r="AT26" s="577">
        <v>39956.639999999999</v>
      </c>
      <c r="AU26" s="577">
        <v>12468.76</v>
      </c>
      <c r="AV26" s="577">
        <v>3554.34</v>
      </c>
      <c r="AW26" s="577">
        <v>717.12</v>
      </c>
      <c r="AX26" s="577">
        <v>0</v>
      </c>
      <c r="AY26" s="577">
        <v>15961.67</v>
      </c>
      <c r="AZ26" s="577">
        <v>2655.51</v>
      </c>
      <c r="BA26" s="577">
        <v>67011.360000000001</v>
      </c>
      <c r="BB26" s="577">
        <v>7832.99</v>
      </c>
      <c r="BC26" s="577">
        <v>82197.13</v>
      </c>
      <c r="BD26" s="577">
        <v>31500.01</v>
      </c>
      <c r="BE26" s="577">
        <v>7378.2</v>
      </c>
      <c r="BF26" s="577">
        <v>152835.09</v>
      </c>
      <c r="BG26" s="577">
        <v>18749.169999999998</v>
      </c>
      <c r="BH26" s="576">
        <v>0</v>
      </c>
      <c r="BI26" s="576">
        <v>0</v>
      </c>
      <c r="BJ26" s="576">
        <v>0</v>
      </c>
      <c r="BK26" s="576">
        <v>0</v>
      </c>
      <c r="BL26" s="576">
        <v>0</v>
      </c>
      <c r="BM26" s="576">
        <v>0</v>
      </c>
      <c r="BN26" s="577">
        <f t="shared" si="3"/>
        <v>18749.169999999998</v>
      </c>
      <c r="BO26" s="577">
        <v>0</v>
      </c>
      <c r="BP26" s="577">
        <v>20854.63</v>
      </c>
      <c r="BQ26" s="577">
        <v>17664.48</v>
      </c>
      <c r="BR26" s="577">
        <v>2250</v>
      </c>
      <c r="BS26" s="577">
        <v>172852.64</v>
      </c>
      <c r="BT26" s="577">
        <v>162459.34</v>
      </c>
      <c r="BU26" s="577">
        <v>75712.789999999994</v>
      </c>
      <c r="BV26" s="577">
        <v>56372.07</v>
      </c>
      <c r="BW26" s="577">
        <v>0</v>
      </c>
      <c r="BX26" s="577">
        <v>0</v>
      </c>
      <c r="BY26" s="577">
        <v>0</v>
      </c>
      <c r="BZ26" s="577">
        <v>0</v>
      </c>
      <c r="CA26" s="577">
        <v>0</v>
      </c>
      <c r="CB26" s="577">
        <v>9334.75</v>
      </c>
      <c r="CC26" s="577">
        <v>22640.84</v>
      </c>
      <c r="CD26" s="577">
        <v>0</v>
      </c>
      <c r="CE26" s="577">
        <v>6000</v>
      </c>
      <c r="CF26" s="577">
        <v>0</v>
      </c>
      <c r="CG26" s="577">
        <v>23075.59</v>
      </c>
      <c r="CH26" s="577">
        <v>0</v>
      </c>
      <c r="CI26" s="577">
        <v>8900</v>
      </c>
      <c r="CJ26" s="576">
        <v>0</v>
      </c>
      <c r="CK26" s="576">
        <v>0</v>
      </c>
      <c r="CL26" s="576">
        <v>0</v>
      </c>
      <c r="CM26" s="576">
        <v>0</v>
      </c>
      <c r="CN26" s="577">
        <v>0</v>
      </c>
      <c r="CO26" s="577">
        <v>-20834.91</v>
      </c>
      <c r="CP26" s="577">
        <v>0</v>
      </c>
      <c r="CQ26" s="577">
        <v>0</v>
      </c>
      <c r="CR26" s="577">
        <v>0</v>
      </c>
      <c r="CS26" s="577">
        <v>0</v>
      </c>
      <c r="CU26" s="495">
        <f t="shared" si="4"/>
        <v>-20834.91</v>
      </c>
      <c r="CV26" s="495">
        <f t="shared" si="5"/>
        <v>0</v>
      </c>
      <c r="CW26" s="495">
        <f t="shared" si="6"/>
        <v>-20834.91</v>
      </c>
      <c r="CX26" s="495">
        <f t="shared" si="0"/>
        <v>3382154.62</v>
      </c>
      <c r="CY26" s="495">
        <f t="shared" si="7"/>
        <v>3376989.5299999989</v>
      </c>
      <c r="CZ26" s="495">
        <f t="shared" si="1"/>
        <v>2804047.8</v>
      </c>
      <c r="DA26" s="495">
        <f t="shared" si="8"/>
        <v>5165.090000001248</v>
      </c>
    </row>
    <row r="27" spans="1:105" ht="30">
      <c r="A27" s="576">
        <v>302</v>
      </c>
      <c r="B27" s="576">
        <v>2036</v>
      </c>
      <c r="C27" s="576" t="s">
        <v>422</v>
      </c>
      <c r="D27" s="576" t="s">
        <v>594</v>
      </c>
      <c r="E27" s="576"/>
      <c r="F27" s="576" t="s">
        <v>588</v>
      </c>
      <c r="G27" s="576">
        <v>0</v>
      </c>
      <c r="H27" s="576">
        <v>0</v>
      </c>
      <c r="I27" s="576" t="s">
        <v>853</v>
      </c>
      <c r="J27" s="576" t="s">
        <v>854</v>
      </c>
      <c r="K27" s="576" t="s">
        <v>591</v>
      </c>
      <c r="L27" s="576" t="s">
        <v>592</v>
      </c>
      <c r="M27" s="576" t="s">
        <v>591</v>
      </c>
      <c r="N27" s="576" t="s">
        <v>593</v>
      </c>
      <c r="O27" s="576" t="s">
        <v>188</v>
      </c>
      <c r="P27" s="576" t="s">
        <v>188</v>
      </c>
      <c r="Q27" s="577">
        <v>841905.61</v>
      </c>
      <c r="R27" s="577">
        <v>0</v>
      </c>
      <c r="S27" s="577">
        <v>0</v>
      </c>
      <c r="T27" s="577">
        <v>1833559.85</v>
      </c>
      <c r="U27" s="577">
        <v>0</v>
      </c>
      <c r="V27" s="577">
        <v>460201.86</v>
      </c>
      <c r="W27" s="577">
        <v>0</v>
      </c>
      <c r="X27" s="577">
        <v>99258</v>
      </c>
      <c r="Y27" s="577">
        <v>0</v>
      </c>
      <c r="Z27" s="577">
        <v>50321.89</v>
      </c>
      <c r="AA27" s="577">
        <v>6757</v>
      </c>
      <c r="AB27" s="577">
        <v>81218.58</v>
      </c>
      <c r="AC27" s="577">
        <v>523.5</v>
      </c>
      <c r="AD27" s="577">
        <v>0</v>
      </c>
      <c r="AE27" s="577">
        <v>0</v>
      </c>
      <c r="AF27" s="577">
        <v>44051.73</v>
      </c>
      <c r="AG27" s="577">
        <v>1570.8</v>
      </c>
      <c r="AH27" s="577">
        <v>0</v>
      </c>
      <c r="AI27" s="577">
        <v>0</v>
      </c>
      <c r="AJ27" s="577">
        <v>0</v>
      </c>
      <c r="AK27" s="577">
        <v>0</v>
      </c>
      <c r="AL27" s="577">
        <v>58716.75</v>
      </c>
      <c r="AM27" s="580">
        <f t="shared" si="2"/>
        <v>58716.75</v>
      </c>
      <c r="AN27" s="577">
        <v>1154777.81</v>
      </c>
      <c r="AO27" s="577">
        <v>0</v>
      </c>
      <c r="AP27" s="577">
        <v>641457.97</v>
      </c>
      <c r="AQ27" s="577">
        <v>91974.5</v>
      </c>
      <c r="AR27" s="577">
        <v>71494.31</v>
      </c>
      <c r="AS27" s="577">
        <v>0</v>
      </c>
      <c r="AT27" s="577">
        <v>53587.89</v>
      </c>
      <c r="AU27" s="577">
        <v>14132.89</v>
      </c>
      <c r="AV27" s="577">
        <v>2187.71</v>
      </c>
      <c r="AW27" s="577">
        <v>345.29</v>
      </c>
      <c r="AX27" s="577">
        <v>0</v>
      </c>
      <c r="AY27" s="577">
        <v>33673.24</v>
      </c>
      <c r="AZ27" s="577">
        <v>13689.43</v>
      </c>
      <c r="BA27" s="577">
        <v>7189.07</v>
      </c>
      <c r="BB27" s="577">
        <v>2513.42</v>
      </c>
      <c r="BC27" s="577">
        <v>36517.93</v>
      </c>
      <c r="BD27" s="577">
        <v>28199.99</v>
      </c>
      <c r="BE27" s="577">
        <v>19726.54</v>
      </c>
      <c r="BF27" s="577">
        <v>74266.63</v>
      </c>
      <c r="BG27" s="577">
        <v>47045.68</v>
      </c>
      <c r="BH27" s="576">
        <v>0</v>
      </c>
      <c r="BI27" s="576">
        <v>0</v>
      </c>
      <c r="BJ27" s="576">
        <v>0</v>
      </c>
      <c r="BK27" s="576">
        <v>0</v>
      </c>
      <c r="BL27" s="576">
        <v>0</v>
      </c>
      <c r="BM27" s="576">
        <v>0</v>
      </c>
      <c r="BN27" s="577">
        <f t="shared" si="3"/>
        <v>47045.68</v>
      </c>
      <c r="BO27" s="577">
        <v>0</v>
      </c>
      <c r="BP27" s="577">
        <v>28765.27</v>
      </c>
      <c r="BQ27" s="577">
        <v>11319.74</v>
      </c>
      <c r="BR27" s="577">
        <v>8033.65</v>
      </c>
      <c r="BS27" s="577">
        <v>92688.960000000006</v>
      </c>
      <c r="BT27" s="577">
        <v>201</v>
      </c>
      <c r="BU27" s="577">
        <v>158800.26999999999</v>
      </c>
      <c r="BV27" s="577">
        <v>42974.01</v>
      </c>
      <c r="BW27" s="577">
        <v>0</v>
      </c>
      <c r="BX27" s="577">
        <v>0</v>
      </c>
      <c r="BY27" s="577">
        <v>28635.37</v>
      </c>
      <c r="BZ27" s="577">
        <v>0</v>
      </c>
      <c r="CA27" s="577">
        <v>0</v>
      </c>
      <c r="CB27" s="577">
        <v>6714.63</v>
      </c>
      <c r="CC27" s="577">
        <v>0</v>
      </c>
      <c r="CD27" s="577">
        <v>28635.37</v>
      </c>
      <c r="CE27" s="577">
        <v>6000</v>
      </c>
      <c r="CF27" s="577">
        <v>0</v>
      </c>
      <c r="CG27" s="577">
        <v>20950</v>
      </c>
      <c r="CH27" s="577">
        <v>0</v>
      </c>
      <c r="CI27" s="577">
        <v>14400</v>
      </c>
      <c r="CJ27" s="576">
        <v>0</v>
      </c>
      <c r="CK27" s="576">
        <v>0</v>
      </c>
      <c r="CL27" s="576">
        <v>0</v>
      </c>
      <c r="CM27" s="576">
        <v>0</v>
      </c>
      <c r="CN27" s="577">
        <v>0</v>
      </c>
      <c r="CO27" s="577">
        <v>813887</v>
      </c>
      <c r="CP27" s="577">
        <v>0</v>
      </c>
      <c r="CQ27" s="577">
        <v>0</v>
      </c>
      <c r="CR27" s="577">
        <v>0</v>
      </c>
      <c r="CS27" s="577">
        <v>0</v>
      </c>
      <c r="CU27" s="495">
        <f t="shared" si="4"/>
        <v>813887</v>
      </c>
      <c r="CV27" s="495">
        <f t="shared" si="5"/>
        <v>0</v>
      </c>
      <c r="CW27" s="495">
        <f t="shared" si="6"/>
        <v>813887</v>
      </c>
      <c r="CX27" s="495">
        <f t="shared" si="0"/>
        <v>2636179.96</v>
      </c>
      <c r="CY27" s="495">
        <f t="shared" si="7"/>
        <v>2664198.5700000003</v>
      </c>
      <c r="CZ27" s="495">
        <f t="shared" si="1"/>
        <v>2293761.71</v>
      </c>
      <c r="DA27" s="495">
        <f t="shared" si="8"/>
        <v>-28018.610000000335</v>
      </c>
    </row>
    <row r="28" spans="1:105" ht="15">
      <c r="A28" s="576">
        <v>302</v>
      </c>
      <c r="B28" s="576">
        <v>2037</v>
      </c>
      <c r="C28" s="576" t="s">
        <v>275</v>
      </c>
      <c r="D28" s="576" t="s">
        <v>594</v>
      </c>
      <c r="E28" s="576"/>
      <c r="F28" s="576" t="s">
        <v>588</v>
      </c>
      <c r="G28" s="576">
        <v>0</v>
      </c>
      <c r="H28" s="576">
        <v>1</v>
      </c>
      <c r="I28" s="576" t="s">
        <v>853</v>
      </c>
      <c r="J28" s="576" t="s">
        <v>854</v>
      </c>
      <c r="K28" s="576" t="s">
        <v>591</v>
      </c>
      <c r="L28" s="576" t="s">
        <v>592</v>
      </c>
      <c r="M28" s="576" t="s">
        <v>591</v>
      </c>
      <c r="N28" s="576" t="s">
        <v>593</v>
      </c>
      <c r="O28" s="576" t="s">
        <v>188</v>
      </c>
      <c r="P28" s="576" t="s">
        <v>188</v>
      </c>
      <c r="Q28" s="577">
        <v>105868.75</v>
      </c>
      <c r="R28" s="577">
        <v>0</v>
      </c>
      <c r="S28" s="577">
        <v>19082.13</v>
      </c>
      <c r="T28" s="577">
        <v>1412087.45</v>
      </c>
      <c r="U28" s="577">
        <v>0</v>
      </c>
      <c r="V28" s="577">
        <v>123252.61</v>
      </c>
      <c r="W28" s="577">
        <v>0</v>
      </c>
      <c r="X28" s="577">
        <v>55015</v>
      </c>
      <c r="Y28" s="577">
        <v>314.81</v>
      </c>
      <c r="Z28" s="577">
        <v>48092.31</v>
      </c>
      <c r="AA28" s="577">
        <v>33126.6</v>
      </c>
      <c r="AB28" s="577">
        <v>28210.38</v>
      </c>
      <c r="AC28" s="577">
        <v>324.17</v>
      </c>
      <c r="AD28" s="577">
        <v>0</v>
      </c>
      <c r="AE28" s="577">
        <v>0</v>
      </c>
      <c r="AF28" s="577">
        <v>52888.94</v>
      </c>
      <c r="AG28" s="577">
        <v>6970.47</v>
      </c>
      <c r="AH28" s="577">
        <v>0</v>
      </c>
      <c r="AI28" s="577">
        <v>0</v>
      </c>
      <c r="AJ28" s="577">
        <v>0</v>
      </c>
      <c r="AK28" s="577">
        <v>3521.88</v>
      </c>
      <c r="AL28" s="577">
        <v>53253.5</v>
      </c>
      <c r="AM28" s="580">
        <f t="shared" si="2"/>
        <v>56775.38</v>
      </c>
      <c r="AN28" s="577">
        <v>733854.18</v>
      </c>
      <c r="AO28" s="577">
        <v>0</v>
      </c>
      <c r="AP28" s="577">
        <v>488574.23</v>
      </c>
      <c r="AQ28" s="577">
        <v>26860.21</v>
      </c>
      <c r="AR28" s="577">
        <v>56720.03</v>
      </c>
      <c r="AS28" s="577">
        <v>0</v>
      </c>
      <c r="AT28" s="577">
        <v>58970.41</v>
      </c>
      <c r="AU28" s="577">
        <v>10549.73</v>
      </c>
      <c r="AV28" s="577">
        <v>7791.65</v>
      </c>
      <c r="AW28" s="577">
        <v>348.6</v>
      </c>
      <c r="AX28" s="577">
        <v>0</v>
      </c>
      <c r="AY28" s="577">
        <v>26668.68</v>
      </c>
      <c r="AZ28" s="577">
        <v>1901</v>
      </c>
      <c r="BA28" s="577">
        <v>33879.94</v>
      </c>
      <c r="BB28" s="577">
        <v>12765.21</v>
      </c>
      <c r="BC28" s="577">
        <v>64384.76</v>
      </c>
      <c r="BD28" s="577">
        <v>33177.72</v>
      </c>
      <c r="BE28" s="577">
        <v>9723.4</v>
      </c>
      <c r="BF28" s="577">
        <v>61584.58</v>
      </c>
      <c r="BG28" s="577">
        <v>8396.2999999999993</v>
      </c>
      <c r="BH28" s="576">
        <v>4978</v>
      </c>
      <c r="BI28" s="576">
        <v>0</v>
      </c>
      <c r="BJ28" s="576">
        <v>6110.74</v>
      </c>
      <c r="BK28" s="576">
        <v>6988.53</v>
      </c>
      <c r="BL28" s="576">
        <v>6369.92</v>
      </c>
      <c r="BM28" s="576">
        <v>7503.5</v>
      </c>
      <c r="BN28" s="577">
        <f t="shared" si="3"/>
        <v>40346.99</v>
      </c>
      <c r="BO28" s="577">
        <v>0</v>
      </c>
      <c r="BP28" s="577">
        <v>403.41</v>
      </c>
      <c r="BQ28" s="577">
        <v>13197.78</v>
      </c>
      <c r="BR28" s="577">
        <v>15116.91</v>
      </c>
      <c r="BS28" s="577">
        <v>96115.94</v>
      </c>
      <c r="BT28" s="577">
        <v>102427.06</v>
      </c>
      <c r="BU28" s="577">
        <v>137429.12</v>
      </c>
      <c r="BV28" s="577">
        <v>26891.42</v>
      </c>
      <c r="BW28" s="577">
        <v>0</v>
      </c>
      <c r="BX28" s="577">
        <v>0</v>
      </c>
      <c r="BY28" s="577">
        <v>0</v>
      </c>
      <c r="BZ28" s="577">
        <v>0</v>
      </c>
      <c r="CA28" s="577">
        <v>0</v>
      </c>
      <c r="CB28" s="577">
        <v>6587.87</v>
      </c>
      <c r="CC28" s="577">
        <v>0</v>
      </c>
      <c r="CD28" s="577">
        <v>0</v>
      </c>
      <c r="CE28" s="577">
        <v>6000</v>
      </c>
      <c r="CF28" s="577">
        <v>0</v>
      </c>
      <c r="CG28" s="577">
        <v>0</v>
      </c>
      <c r="CH28" s="577">
        <v>0</v>
      </c>
      <c r="CI28" s="577">
        <v>0</v>
      </c>
      <c r="CJ28" s="576">
        <v>0</v>
      </c>
      <c r="CK28" s="576">
        <v>0</v>
      </c>
      <c r="CL28" s="576">
        <v>12540</v>
      </c>
      <c r="CM28" s="576">
        <v>0</v>
      </c>
      <c r="CN28" s="577">
        <v>15636.91</v>
      </c>
      <c r="CO28" s="577">
        <v>-152393</v>
      </c>
      <c r="CP28" s="577">
        <v>13130</v>
      </c>
      <c r="CQ28" s="577">
        <v>0</v>
      </c>
      <c r="CR28" s="577">
        <v>0</v>
      </c>
      <c r="CS28" s="577">
        <v>0</v>
      </c>
      <c r="CU28" s="495">
        <f t="shared" si="4"/>
        <v>-136756.09</v>
      </c>
      <c r="CV28" s="495">
        <f t="shared" si="5"/>
        <v>13130</v>
      </c>
      <c r="CW28" s="495">
        <f t="shared" si="6"/>
        <v>-136756.09</v>
      </c>
      <c r="CX28" s="495">
        <f t="shared" si="0"/>
        <v>1817058.1199999999</v>
      </c>
      <c r="CY28" s="495">
        <f t="shared" si="7"/>
        <v>2059682.9599999997</v>
      </c>
      <c r="CZ28" s="495">
        <f t="shared" si="1"/>
        <v>1535340.06</v>
      </c>
      <c r="DA28" s="495">
        <f t="shared" si="8"/>
        <v>-242624.83999999985</v>
      </c>
    </row>
    <row r="29" spans="1:105" ht="15">
      <c r="A29" s="576">
        <v>302</v>
      </c>
      <c r="B29" s="576">
        <v>2042</v>
      </c>
      <c r="C29" s="576" t="s">
        <v>279</v>
      </c>
      <c r="D29" s="576" t="s">
        <v>594</v>
      </c>
      <c r="E29" s="576"/>
      <c r="F29" s="576" t="s">
        <v>588</v>
      </c>
      <c r="G29" s="576">
        <v>0</v>
      </c>
      <c r="H29" s="576">
        <v>0</v>
      </c>
      <c r="I29" s="576" t="s">
        <v>853</v>
      </c>
      <c r="J29" s="576" t="s">
        <v>854</v>
      </c>
      <c r="K29" s="576" t="s">
        <v>591</v>
      </c>
      <c r="L29" s="576" t="s">
        <v>592</v>
      </c>
      <c r="M29" s="576" t="s">
        <v>591</v>
      </c>
      <c r="N29" s="576" t="s">
        <v>593</v>
      </c>
      <c r="O29" s="576" t="s">
        <v>188</v>
      </c>
      <c r="P29" s="576" t="s">
        <v>188</v>
      </c>
      <c r="Q29" s="577">
        <v>279690.2</v>
      </c>
      <c r="R29" s="577">
        <v>0</v>
      </c>
      <c r="S29" s="577">
        <v>25687.27</v>
      </c>
      <c r="T29" s="577">
        <v>2150885.2999999998</v>
      </c>
      <c r="U29" s="577">
        <v>0</v>
      </c>
      <c r="V29" s="577">
        <v>130536.95</v>
      </c>
      <c r="W29" s="577">
        <v>0</v>
      </c>
      <c r="X29" s="577">
        <v>34740</v>
      </c>
      <c r="Y29" s="577">
        <v>0</v>
      </c>
      <c r="Z29" s="577">
        <v>119133.25</v>
      </c>
      <c r="AA29" s="577">
        <v>21563.75</v>
      </c>
      <c r="AB29" s="577">
        <v>168109.9</v>
      </c>
      <c r="AC29" s="577">
        <v>1323.68</v>
      </c>
      <c r="AD29" s="577">
        <v>198</v>
      </c>
      <c r="AE29" s="577">
        <v>0</v>
      </c>
      <c r="AF29" s="577">
        <v>62195.11</v>
      </c>
      <c r="AG29" s="577">
        <v>12818.59</v>
      </c>
      <c r="AH29" s="577">
        <v>0</v>
      </c>
      <c r="AI29" s="577">
        <v>0</v>
      </c>
      <c r="AJ29" s="577">
        <v>0</v>
      </c>
      <c r="AK29" s="577">
        <v>2185.63</v>
      </c>
      <c r="AL29" s="577">
        <v>92196</v>
      </c>
      <c r="AM29" s="580">
        <f t="shared" si="2"/>
        <v>94381.63</v>
      </c>
      <c r="AN29" s="577">
        <v>1265849.3799999999</v>
      </c>
      <c r="AO29" s="577">
        <v>0</v>
      </c>
      <c r="AP29" s="577">
        <v>601541.78</v>
      </c>
      <c r="AQ29" s="577">
        <v>40204.5</v>
      </c>
      <c r="AR29" s="577">
        <v>88528.25</v>
      </c>
      <c r="AS29" s="577">
        <v>0</v>
      </c>
      <c r="AT29" s="577">
        <v>193514.32</v>
      </c>
      <c r="AU29" s="577">
        <v>9000.18</v>
      </c>
      <c r="AV29" s="577">
        <v>1582</v>
      </c>
      <c r="AW29" s="577">
        <v>11400.93</v>
      </c>
      <c r="AX29" s="577">
        <v>0</v>
      </c>
      <c r="AY29" s="577">
        <v>10935.12</v>
      </c>
      <c r="AZ29" s="577">
        <v>5058.25</v>
      </c>
      <c r="BA29" s="577">
        <v>47994.559999999998</v>
      </c>
      <c r="BB29" s="577">
        <v>5427.86</v>
      </c>
      <c r="BC29" s="577">
        <v>35861.06</v>
      </c>
      <c r="BD29" s="577">
        <v>36600</v>
      </c>
      <c r="BE29" s="577">
        <v>12570.67</v>
      </c>
      <c r="BF29" s="577">
        <v>98781.25</v>
      </c>
      <c r="BG29" s="577">
        <v>9527.64</v>
      </c>
      <c r="BH29" s="576">
        <v>0</v>
      </c>
      <c r="BI29" s="576">
        <v>0</v>
      </c>
      <c r="BJ29" s="576">
        <v>0</v>
      </c>
      <c r="BK29" s="576">
        <v>0</v>
      </c>
      <c r="BL29" s="576">
        <v>0</v>
      </c>
      <c r="BM29" s="576">
        <v>0</v>
      </c>
      <c r="BN29" s="577">
        <f t="shared" si="3"/>
        <v>9527.64</v>
      </c>
      <c r="BO29" s="577">
        <v>0</v>
      </c>
      <c r="BP29" s="577">
        <v>12493.86</v>
      </c>
      <c r="BQ29" s="577">
        <v>17132.91</v>
      </c>
      <c r="BR29" s="577">
        <v>11508.79</v>
      </c>
      <c r="BS29" s="577">
        <v>140207.75</v>
      </c>
      <c r="BT29" s="577">
        <v>43644.07</v>
      </c>
      <c r="BU29" s="577">
        <v>93004.87</v>
      </c>
      <c r="BV29" s="577">
        <v>12245.36</v>
      </c>
      <c r="BW29" s="577">
        <v>0</v>
      </c>
      <c r="BX29" s="577">
        <v>0</v>
      </c>
      <c r="BY29" s="577">
        <v>0</v>
      </c>
      <c r="BZ29" s="577">
        <v>0</v>
      </c>
      <c r="CA29" s="577">
        <v>0</v>
      </c>
      <c r="CB29" s="577">
        <v>8725</v>
      </c>
      <c r="CC29" s="577">
        <v>0</v>
      </c>
      <c r="CD29" s="577">
        <v>0</v>
      </c>
      <c r="CE29" s="577">
        <v>6000</v>
      </c>
      <c r="CF29" s="577">
        <v>0</v>
      </c>
      <c r="CG29" s="577">
        <v>3290</v>
      </c>
      <c r="CH29" s="577">
        <v>0</v>
      </c>
      <c r="CI29" s="577">
        <v>0</v>
      </c>
      <c r="CJ29" s="576">
        <v>0</v>
      </c>
      <c r="CK29" s="576">
        <v>0</v>
      </c>
      <c r="CL29" s="576">
        <v>0</v>
      </c>
      <c r="CM29" s="576">
        <v>0</v>
      </c>
      <c r="CN29" s="577">
        <v>270961</v>
      </c>
      <c r="CO29" s="577">
        <v>0</v>
      </c>
      <c r="CP29" s="577">
        <v>31122.27</v>
      </c>
      <c r="CQ29" s="577">
        <v>0</v>
      </c>
      <c r="CR29" s="577">
        <v>0</v>
      </c>
      <c r="CS29" s="577">
        <v>0</v>
      </c>
      <c r="CU29" s="495">
        <f t="shared" si="4"/>
        <v>270961</v>
      </c>
      <c r="CV29" s="495">
        <f t="shared" si="5"/>
        <v>31122.27</v>
      </c>
      <c r="CW29" s="495">
        <f t="shared" si="6"/>
        <v>270961</v>
      </c>
      <c r="CX29" s="495">
        <f t="shared" si="0"/>
        <v>2795886.1599999997</v>
      </c>
      <c r="CY29" s="495">
        <f t="shared" si="7"/>
        <v>2804615.3600000003</v>
      </c>
      <c r="CZ29" s="495">
        <f t="shared" si="1"/>
        <v>2281422.25</v>
      </c>
      <c r="DA29" s="495">
        <f t="shared" si="8"/>
        <v>-8729.2000000006519</v>
      </c>
    </row>
    <row r="30" spans="1:105" ht="15">
      <c r="A30" s="576">
        <v>302</v>
      </c>
      <c r="B30" s="576">
        <v>2043</v>
      </c>
      <c r="C30" s="576" t="s">
        <v>81</v>
      </c>
      <c r="D30" s="576" t="s">
        <v>594</v>
      </c>
      <c r="E30" s="576"/>
      <c r="F30" s="576" t="s">
        <v>588</v>
      </c>
      <c r="G30" s="576">
        <v>0</v>
      </c>
      <c r="H30" s="576">
        <v>0</v>
      </c>
      <c r="I30" s="576" t="s">
        <v>853</v>
      </c>
      <c r="J30" s="576" t="s">
        <v>854</v>
      </c>
      <c r="K30" s="576" t="s">
        <v>591</v>
      </c>
      <c r="L30" s="576" t="s">
        <v>592</v>
      </c>
      <c r="M30" s="576" t="s">
        <v>591</v>
      </c>
      <c r="N30" s="576" t="s">
        <v>593</v>
      </c>
      <c r="O30" s="576" t="s">
        <v>188</v>
      </c>
      <c r="P30" s="576" t="s">
        <v>188</v>
      </c>
      <c r="Q30" s="577">
        <v>123126.92</v>
      </c>
      <c r="R30" s="577">
        <v>0</v>
      </c>
      <c r="S30" s="577">
        <v>52267</v>
      </c>
      <c r="T30" s="577">
        <v>2605779.79</v>
      </c>
      <c r="U30" s="577">
        <v>0</v>
      </c>
      <c r="V30" s="577">
        <v>140615.89000000001</v>
      </c>
      <c r="W30" s="577">
        <v>0</v>
      </c>
      <c r="X30" s="577">
        <v>125800</v>
      </c>
      <c r="Y30" s="577">
        <v>0</v>
      </c>
      <c r="Z30" s="577">
        <v>6549</v>
      </c>
      <c r="AA30" s="577">
        <v>83705.39</v>
      </c>
      <c r="AB30" s="577">
        <v>38303.54</v>
      </c>
      <c r="AC30" s="577">
        <v>0</v>
      </c>
      <c r="AD30" s="577">
        <v>0</v>
      </c>
      <c r="AE30" s="577">
        <v>0</v>
      </c>
      <c r="AF30" s="577">
        <v>29545.25</v>
      </c>
      <c r="AG30" s="577">
        <v>34299.879999999997</v>
      </c>
      <c r="AH30" s="577">
        <v>0</v>
      </c>
      <c r="AI30" s="577">
        <v>0</v>
      </c>
      <c r="AJ30" s="577">
        <v>0</v>
      </c>
      <c r="AK30" s="577">
        <v>9297.5</v>
      </c>
      <c r="AL30" s="577">
        <v>20445</v>
      </c>
      <c r="AM30" s="580">
        <f t="shared" si="2"/>
        <v>29742.5</v>
      </c>
      <c r="AN30" s="577">
        <v>1343513.48</v>
      </c>
      <c r="AO30" s="577">
        <v>0</v>
      </c>
      <c r="AP30" s="577">
        <v>472515.97</v>
      </c>
      <c r="AQ30" s="577">
        <v>29156.57</v>
      </c>
      <c r="AR30" s="577">
        <v>104151.47</v>
      </c>
      <c r="AS30" s="577">
        <v>0</v>
      </c>
      <c r="AT30" s="577">
        <v>27305.29</v>
      </c>
      <c r="AU30" s="577">
        <v>11273.66</v>
      </c>
      <c r="AV30" s="577">
        <v>6404.29</v>
      </c>
      <c r="AW30" s="577">
        <v>747</v>
      </c>
      <c r="AX30" s="577">
        <v>0</v>
      </c>
      <c r="AY30" s="577">
        <v>52072.57</v>
      </c>
      <c r="AZ30" s="577">
        <v>10173.43</v>
      </c>
      <c r="BA30" s="577">
        <v>88182.52</v>
      </c>
      <c r="BB30" s="577">
        <v>1562.23</v>
      </c>
      <c r="BC30" s="577">
        <v>52565.14</v>
      </c>
      <c r="BD30" s="577">
        <v>19200</v>
      </c>
      <c r="BE30" s="577">
        <v>12941.13</v>
      </c>
      <c r="BF30" s="577">
        <v>97687.7</v>
      </c>
      <c r="BG30" s="577">
        <v>0</v>
      </c>
      <c r="BH30" s="576">
        <v>0</v>
      </c>
      <c r="BI30" s="576">
        <v>6005.28</v>
      </c>
      <c r="BJ30" s="576">
        <v>0</v>
      </c>
      <c r="BK30" s="576">
        <v>0</v>
      </c>
      <c r="BL30" s="576">
        <v>0</v>
      </c>
      <c r="BM30" s="576">
        <v>0</v>
      </c>
      <c r="BN30" s="577">
        <f t="shared" si="3"/>
        <v>6005.28</v>
      </c>
      <c r="BO30" s="577">
        <v>0</v>
      </c>
      <c r="BP30" s="577">
        <v>36567.75</v>
      </c>
      <c r="BQ30" s="577">
        <v>17132.5</v>
      </c>
      <c r="BR30" s="577">
        <v>1667.54</v>
      </c>
      <c r="BS30" s="577">
        <v>179120.03</v>
      </c>
      <c r="BT30" s="577">
        <v>65618.81</v>
      </c>
      <c r="BU30" s="577">
        <v>168976.99</v>
      </c>
      <c r="BV30" s="577">
        <v>41027.29</v>
      </c>
      <c r="BW30" s="577">
        <v>0</v>
      </c>
      <c r="BX30" s="577">
        <v>0</v>
      </c>
      <c r="BY30" s="577">
        <v>0</v>
      </c>
      <c r="BZ30" s="577">
        <v>0</v>
      </c>
      <c r="CA30" s="577">
        <v>0</v>
      </c>
      <c r="CB30" s="577">
        <v>8961.25</v>
      </c>
      <c r="CC30" s="577">
        <v>0</v>
      </c>
      <c r="CD30" s="577">
        <v>0</v>
      </c>
      <c r="CE30" s="577">
        <v>6000</v>
      </c>
      <c r="CF30" s="577">
        <v>0</v>
      </c>
      <c r="CG30" s="577">
        <v>52428.84</v>
      </c>
      <c r="CH30" s="577">
        <v>2257</v>
      </c>
      <c r="CI30" s="577">
        <v>0</v>
      </c>
      <c r="CJ30" s="576">
        <v>0</v>
      </c>
      <c r="CK30" s="576">
        <v>0</v>
      </c>
      <c r="CL30" s="576">
        <v>6542.41</v>
      </c>
      <c r="CM30" s="576">
        <v>0</v>
      </c>
      <c r="CN30" s="577">
        <v>0</v>
      </c>
      <c r="CO30" s="577">
        <v>371899.52</v>
      </c>
      <c r="CP30" s="577">
        <v>0</v>
      </c>
      <c r="CQ30" s="577">
        <v>0</v>
      </c>
      <c r="CR30" s="577">
        <v>0</v>
      </c>
      <c r="CS30" s="577">
        <v>0</v>
      </c>
      <c r="CU30" s="495">
        <f t="shared" si="4"/>
        <v>371899.52</v>
      </c>
      <c r="CV30" s="495">
        <f t="shared" si="5"/>
        <v>0</v>
      </c>
      <c r="CW30" s="495">
        <f t="shared" si="6"/>
        <v>371899.52</v>
      </c>
      <c r="CX30" s="495">
        <f t="shared" si="0"/>
        <v>3094341.24</v>
      </c>
      <c r="CY30" s="495">
        <f t="shared" si="7"/>
        <v>2845568.64</v>
      </c>
      <c r="CZ30" s="495">
        <f t="shared" si="1"/>
        <v>2746395.68</v>
      </c>
      <c r="DA30" s="495">
        <f t="shared" si="8"/>
        <v>248772.60000000009</v>
      </c>
    </row>
    <row r="31" spans="1:105" ht="15">
      <c r="A31" s="576">
        <v>302</v>
      </c>
      <c r="B31" s="576">
        <v>2044</v>
      </c>
      <c r="C31" s="576" t="s">
        <v>80</v>
      </c>
      <c r="D31" s="576" t="s">
        <v>594</v>
      </c>
      <c r="E31" s="576"/>
      <c r="F31" s="576" t="s">
        <v>588</v>
      </c>
      <c r="G31" s="576">
        <v>0</v>
      </c>
      <c r="H31" s="576">
        <v>1</v>
      </c>
      <c r="I31" s="576" t="s">
        <v>853</v>
      </c>
      <c r="J31" s="576" t="s">
        <v>854</v>
      </c>
      <c r="K31" s="576" t="s">
        <v>591</v>
      </c>
      <c r="L31" s="576" t="s">
        <v>592</v>
      </c>
      <c r="M31" s="576" t="s">
        <v>591</v>
      </c>
      <c r="N31" s="576" t="s">
        <v>593</v>
      </c>
      <c r="O31" s="576" t="s">
        <v>188</v>
      </c>
      <c r="P31" s="576" t="s">
        <v>188</v>
      </c>
      <c r="Q31" s="577">
        <v>116600.92</v>
      </c>
      <c r="R31" s="577">
        <v>0</v>
      </c>
      <c r="S31" s="577">
        <v>49129</v>
      </c>
      <c r="T31" s="577">
        <v>1861491.84</v>
      </c>
      <c r="U31" s="577">
        <v>0</v>
      </c>
      <c r="V31" s="577">
        <v>129768.76</v>
      </c>
      <c r="W31" s="577">
        <v>0</v>
      </c>
      <c r="X31" s="577">
        <v>76333.5</v>
      </c>
      <c r="Y31" s="577">
        <v>2202.2600000000002</v>
      </c>
      <c r="Z31" s="577">
        <v>0</v>
      </c>
      <c r="AA31" s="577">
        <v>40382.080000000002</v>
      </c>
      <c r="AB31" s="577">
        <v>27116.78</v>
      </c>
      <c r="AC31" s="577">
        <v>0</v>
      </c>
      <c r="AD31" s="577">
        <v>0</v>
      </c>
      <c r="AE31" s="577">
        <v>0</v>
      </c>
      <c r="AF31" s="577">
        <v>1098.6400000000001</v>
      </c>
      <c r="AG31" s="577">
        <v>4947.8100000000004</v>
      </c>
      <c r="AH31" s="577">
        <v>0</v>
      </c>
      <c r="AI31" s="577">
        <v>0</v>
      </c>
      <c r="AJ31" s="577">
        <v>0</v>
      </c>
      <c r="AK31" s="577">
        <v>4545</v>
      </c>
      <c r="AL31" s="577">
        <v>135154</v>
      </c>
      <c r="AM31" s="580">
        <f t="shared" si="2"/>
        <v>139699</v>
      </c>
      <c r="AN31" s="577">
        <v>943012.11</v>
      </c>
      <c r="AO31" s="577">
        <v>0</v>
      </c>
      <c r="AP31" s="577">
        <v>481513.89</v>
      </c>
      <c r="AQ31" s="577">
        <v>36473.550000000003</v>
      </c>
      <c r="AR31" s="577">
        <v>117929.53</v>
      </c>
      <c r="AS31" s="577">
        <v>0</v>
      </c>
      <c r="AT31" s="577">
        <v>60455.29</v>
      </c>
      <c r="AU31" s="577">
        <v>7657.09</v>
      </c>
      <c r="AV31" s="577">
        <v>10921.5</v>
      </c>
      <c r="AW31" s="577">
        <v>522.9</v>
      </c>
      <c r="AX31" s="577">
        <v>0</v>
      </c>
      <c r="AY31" s="577">
        <v>32324.45</v>
      </c>
      <c r="AZ31" s="577">
        <v>4620.2</v>
      </c>
      <c r="BA31" s="577">
        <v>91653.63</v>
      </c>
      <c r="BB31" s="577">
        <v>9865.7099999999991</v>
      </c>
      <c r="BC31" s="577">
        <v>84086.78</v>
      </c>
      <c r="BD31" s="577">
        <v>19200</v>
      </c>
      <c r="BE31" s="577">
        <v>12219.26</v>
      </c>
      <c r="BF31" s="577">
        <v>42932.72</v>
      </c>
      <c r="BG31" s="577">
        <v>0</v>
      </c>
      <c r="BH31" s="576">
        <v>0</v>
      </c>
      <c r="BI31" s="576">
        <v>5204.3900000000003</v>
      </c>
      <c r="BJ31" s="576">
        <v>0</v>
      </c>
      <c r="BK31" s="576">
        <v>0</v>
      </c>
      <c r="BL31" s="576">
        <v>0</v>
      </c>
      <c r="BM31" s="576">
        <v>0</v>
      </c>
      <c r="BN31" s="577">
        <f t="shared" si="3"/>
        <v>5204.3900000000003</v>
      </c>
      <c r="BO31" s="577">
        <v>0</v>
      </c>
      <c r="BP31" s="577">
        <v>24343.49</v>
      </c>
      <c r="BQ31" s="577">
        <v>20279.349999999999</v>
      </c>
      <c r="BR31" s="577">
        <v>14</v>
      </c>
      <c r="BS31" s="577">
        <v>164903.76</v>
      </c>
      <c r="BT31" s="577">
        <v>54581.63</v>
      </c>
      <c r="BU31" s="577">
        <v>228147.88</v>
      </c>
      <c r="BV31" s="577">
        <v>25709.38</v>
      </c>
      <c r="BW31" s="577">
        <v>0</v>
      </c>
      <c r="BX31" s="577">
        <v>0</v>
      </c>
      <c r="BY31" s="577">
        <v>0</v>
      </c>
      <c r="BZ31" s="577">
        <v>0</v>
      </c>
      <c r="CA31" s="577">
        <v>0</v>
      </c>
      <c r="CB31" s="577">
        <v>8005</v>
      </c>
      <c r="CC31" s="577">
        <v>0</v>
      </c>
      <c r="CD31" s="577">
        <v>0</v>
      </c>
      <c r="CE31" s="577">
        <v>6000</v>
      </c>
      <c r="CF31" s="577">
        <v>0</v>
      </c>
      <c r="CG31" s="577">
        <v>36412.5</v>
      </c>
      <c r="CH31" s="577">
        <v>0</v>
      </c>
      <c r="CI31" s="577">
        <v>0</v>
      </c>
      <c r="CJ31" s="576">
        <v>0</v>
      </c>
      <c r="CK31" s="576">
        <v>0</v>
      </c>
      <c r="CL31" s="576">
        <v>7279.29</v>
      </c>
      <c r="CM31" s="576">
        <v>0</v>
      </c>
      <c r="CN31" s="577">
        <v>0</v>
      </c>
      <c r="CO31" s="577">
        <v>-78930.899999999994</v>
      </c>
      <c r="CP31" s="577">
        <v>13442.21</v>
      </c>
      <c r="CQ31" s="577">
        <v>0</v>
      </c>
      <c r="CR31" s="577">
        <v>0</v>
      </c>
      <c r="CS31" s="577">
        <v>0</v>
      </c>
      <c r="CU31" s="495">
        <f t="shared" si="4"/>
        <v>-78930.899999999994</v>
      </c>
      <c r="CV31" s="495">
        <f t="shared" si="5"/>
        <v>13442.21</v>
      </c>
      <c r="CW31" s="495">
        <f t="shared" si="6"/>
        <v>-78930.899999999994</v>
      </c>
      <c r="CX31" s="495">
        <f t="shared" si="0"/>
        <v>2283040.67</v>
      </c>
      <c r="CY31" s="495">
        <f t="shared" si="7"/>
        <v>2478572.4899999998</v>
      </c>
      <c r="CZ31" s="495">
        <f t="shared" si="1"/>
        <v>1991260.6</v>
      </c>
      <c r="DA31" s="495">
        <f t="shared" si="8"/>
        <v>-195531.81999999983</v>
      </c>
    </row>
    <row r="32" spans="1:105" ht="15">
      <c r="A32" s="576">
        <v>302</v>
      </c>
      <c r="B32" s="576">
        <v>2045</v>
      </c>
      <c r="C32" s="576" t="s">
        <v>280</v>
      </c>
      <c r="D32" s="576" t="s">
        <v>594</v>
      </c>
      <c r="E32" s="576"/>
      <c r="F32" s="576" t="s">
        <v>588</v>
      </c>
      <c r="G32" s="576">
        <v>0</v>
      </c>
      <c r="H32" s="576">
        <v>1</v>
      </c>
      <c r="I32" s="576" t="s">
        <v>853</v>
      </c>
      <c r="J32" s="576" t="s">
        <v>854</v>
      </c>
      <c r="K32" s="576" t="s">
        <v>591</v>
      </c>
      <c r="L32" s="576" t="s">
        <v>592</v>
      </c>
      <c r="M32" s="576" t="s">
        <v>591</v>
      </c>
      <c r="N32" s="576" t="s">
        <v>593</v>
      </c>
      <c r="O32" s="576" t="s">
        <v>188</v>
      </c>
      <c r="P32" s="576" t="s">
        <v>188</v>
      </c>
      <c r="Q32" s="577">
        <v>-4517.82</v>
      </c>
      <c r="R32" s="577">
        <v>0</v>
      </c>
      <c r="S32" s="577">
        <v>0</v>
      </c>
      <c r="T32" s="577">
        <v>1556149.9</v>
      </c>
      <c r="U32" s="577">
        <v>0</v>
      </c>
      <c r="V32" s="577">
        <v>109850.39</v>
      </c>
      <c r="W32" s="577">
        <v>0</v>
      </c>
      <c r="X32" s="577">
        <v>58280</v>
      </c>
      <c r="Y32" s="577">
        <v>9205.42</v>
      </c>
      <c r="Z32" s="577">
        <v>100680.4</v>
      </c>
      <c r="AA32" s="577">
        <v>10381.85</v>
      </c>
      <c r="AB32" s="577">
        <v>84077.69</v>
      </c>
      <c r="AC32" s="577">
        <v>2466.63</v>
      </c>
      <c r="AD32" s="577">
        <v>0</v>
      </c>
      <c r="AE32" s="577">
        <v>0</v>
      </c>
      <c r="AF32" s="577">
        <v>96323.44</v>
      </c>
      <c r="AG32" s="577">
        <v>21683.65</v>
      </c>
      <c r="AH32" s="577">
        <v>0</v>
      </c>
      <c r="AI32" s="577">
        <v>0</v>
      </c>
      <c r="AJ32" s="577">
        <v>0</v>
      </c>
      <c r="AK32" s="577">
        <v>1198.75</v>
      </c>
      <c r="AL32" s="577">
        <v>52217</v>
      </c>
      <c r="AM32" s="580">
        <f t="shared" si="2"/>
        <v>53415.75</v>
      </c>
      <c r="AN32" s="577">
        <v>808247.41</v>
      </c>
      <c r="AO32" s="577">
        <v>0</v>
      </c>
      <c r="AP32" s="577">
        <v>493825.71</v>
      </c>
      <c r="AQ32" s="577">
        <v>70971.5</v>
      </c>
      <c r="AR32" s="577">
        <v>61772.23</v>
      </c>
      <c r="AS32" s="577">
        <v>0</v>
      </c>
      <c r="AT32" s="577">
        <v>77166.66</v>
      </c>
      <c r="AU32" s="577">
        <v>7654.64</v>
      </c>
      <c r="AV32" s="577">
        <v>1840</v>
      </c>
      <c r="AW32" s="577">
        <v>348.6</v>
      </c>
      <c r="AX32" s="577">
        <v>0</v>
      </c>
      <c r="AY32" s="577">
        <v>20115.400000000001</v>
      </c>
      <c r="AZ32" s="577">
        <v>2740</v>
      </c>
      <c r="BA32" s="577">
        <v>495.04</v>
      </c>
      <c r="BB32" s="577">
        <v>4938.07</v>
      </c>
      <c r="BC32" s="577">
        <v>52444.23</v>
      </c>
      <c r="BD32" s="577">
        <v>36556.81</v>
      </c>
      <c r="BE32" s="577">
        <v>10158.68</v>
      </c>
      <c r="BF32" s="577">
        <v>138469.98000000001</v>
      </c>
      <c r="BG32" s="577">
        <v>10326.23</v>
      </c>
      <c r="BH32" s="576">
        <v>0</v>
      </c>
      <c r="BI32" s="576">
        <v>1173</v>
      </c>
      <c r="BJ32" s="576">
        <v>8234</v>
      </c>
      <c r="BK32" s="576">
        <v>1408.94</v>
      </c>
      <c r="BL32" s="576">
        <v>447.08</v>
      </c>
      <c r="BM32" s="576">
        <v>8294.75</v>
      </c>
      <c r="BN32" s="577">
        <f t="shared" si="3"/>
        <v>29884</v>
      </c>
      <c r="BO32" s="577">
        <v>0</v>
      </c>
      <c r="BP32" s="577">
        <v>629.66999999999996</v>
      </c>
      <c r="BQ32" s="577">
        <v>7416.9</v>
      </c>
      <c r="BR32" s="577">
        <v>26020.99</v>
      </c>
      <c r="BS32" s="577">
        <v>81343.37</v>
      </c>
      <c r="BT32" s="577">
        <v>70659.63</v>
      </c>
      <c r="BU32" s="577">
        <v>69001.509999999995</v>
      </c>
      <c r="BV32" s="577">
        <v>27263.27</v>
      </c>
      <c r="BW32" s="577">
        <v>0</v>
      </c>
      <c r="BX32" s="577">
        <v>0</v>
      </c>
      <c r="BY32" s="577">
        <v>0</v>
      </c>
      <c r="BZ32" s="577">
        <v>0</v>
      </c>
      <c r="CA32" s="577">
        <v>0</v>
      </c>
      <c r="CB32" s="577">
        <v>6808</v>
      </c>
      <c r="CC32" s="577">
        <v>8542.2000000000007</v>
      </c>
      <c r="CD32" s="577">
        <v>0</v>
      </c>
      <c r="CE32" s="577">
        <v>6000</v>
      </c>
      <c r="CF32" s="577">
        <v>0</v>
      </c>
      <c r="CG32" s="577">
        <v>0</v>
      </c>
      <c r="CH32" s="577">
        <v>0</v>
      </c>
      <c r="CI32" s="577">
        <v>0</v>
      </c>
      <c r="CJ32" s="576">
        <v>0</v>
      </c>
      <c r="CK32" s="576">
        <v>0</v>
      </c>
      <c r="CL32" s="576">
        <v>8542.2000000000007</v>
      </c>
      <c r="CM32" s="576">
        <v>0</v>
      </c>
      <c r="CN32" s="577">
        <v>0</v>
      </c>
      <c r="CO32" s="577">
        <v>-1967</v>
      </c>
      <c r="CP32" s="577">
        <v>6808</v>
      </c>
      <c r="CQ32" s="577">
        <v>0</v>
      </c>
      <c r="CR32" s="577">
        <v>0</v>
      </c>
      <c r="CS32" s="577">
        <v>0</v>
      </c>
      <c r="CU32" s="495">
        <f t="shared" si="4"/>
        <v>-1967</v>
      </c>
      <c r="CV32" s="495">
        <f t="shared" si="5"/>
        <v>6808</v>
      </c>
      <c r="CW32" s="495">
        <f t="shared" si="6"/>
        <v>-1967</v>
      </c>
      <c r="CX32" s="495">
        <f t="shared" si="0"/>
        <v>2102515.1199999992</v>
      </c>
      <c r="CY32" s="495">
        <f t="shared" si="7"/>
        <v>2099964.2999999993</v>
      </c>
      <c r="CZ32" s="495">
        <f t="shared" si="1"/>
        <v>1666000.2899999998</v>
      </c>
      <c r="DA32" s="495">
        <f t="shared" si="8"/>
        <v>2550.8199999998324</v>
      </c>
    </row>
    <row r="33" spans="1:105" ht="15">
      <c r="A33" s="576">
        <v>302</v>
      </c>
      <c r="B33" s="576">
        <v>2053</v>
      </c>
      <c r="C33" s="576" t="s">
        <v>519</v>
      </c>
      <c r="D33" s="576" t="s">
        <v>594</v>
      </c>
      <c r="E33" s="576"/>
      <c r="F33" s="576" t="s">
        <v>588</v>
      </c>
      <c r="G33" s="576">
        <v>0</v>
      </c>
      <c r="H33" s="576">
        <v>0</v>
      </c>
      <c r="I33" s="576" t="s">
        <v>853</v>
      </c>
      <c r="J33" s="576" t="s">
        <v>854</v>
      </c>
      <c r="K33" s="576" t="s">
        <v>591</v>
      </c>
      <c r="L33" s="576" t="s">
        <v>592</v>
      </c>
      <c r="M33" s="576" t="s">
        <v>591</v>
      </c>
      <c r="N33" s="576" t="s">
        <v>593</v>
      </c>
      <c r="O33" s="576" t="s">
        <v>188</v>
      </c>
      <c r="P33" s="576" t="s">
        <v>188</v>
      </c>
      <c r="Q33" s="577">
        <v>-31184.44</v>
      </c>
      <c r="R33" s="577">
        <v>0</v>
      </c>
      <c r="S33" s="577">
        <v>0</v>
      </c>
      <c r="T33" s="577">
        <v>1285970.47</v>
      </c>
      <c r="U33" s="577">
        <v>0</v>
      </c>
      <c r="V33" s="577">
        <v>84630.64</v>
      </c>
      <c r="W33" s="577">
        <v>0</v>
      </c>
      <c r="X33" s="577">
        <v>7400</v>
      </c>
      <c r="Y33" s="577">
        <v>57613.08</v>
      </c>
      <c r="Z33" s="577">
        <v>178887.7</v>
      </c>
      <c r="AA33" s="577">
        <v>0</v>
      </c>
      <c r="AB33" s="577">
        <v>4448.54</v>
      </c>
      <c r="AC33" s="577">
        <v>0</v>
      </c>
      <c r="AD33" s="577">
        <v>0</v>
      </c>
      <c r="AE33" s="577">
        <v>0</v>
      </c>
      <c r="AF33" s="577">
        <v>12415.66</v>
      </c>
      <c r="AG33" s="577">
        <v>528071.65</v>
      </c>
      <c r="AH33" s="577">
        <v>0</v>
      </c>
      <c r="AI33" s="577">
        <v>0</v>
      </c>
      <c r="AJ33" s="577">
        <v>0</v>
      </c>
      <c r="AK33" s="577">
        <v>842.5</v>
      </c>
      <c r="AL33" s="577">
        <v>58134</v>
      </c>
      <c r="AM33" s="580">
        <f t="shared" si="2"/>
        <v>58976.5</v>
      </c>
      <c r="AN33" s="577">
        <v>731395.37</v>
      </c>
      <c r="AO33" s="577">
        <v>7464.43</v>
      </c>
      <c r="AP33" s="577">
        <v>817799.28</v>
      </c>
      <c r="AQ33" s="577">
        <v>33558.83</v>
      </c>
      <c r="AR33" s="577">
        <v>119523.3</v>
      </c>
      <c r="AS33" s="577">
        <v>0</v>
      </c>
      <c r="AT33" s="577">
        <v>0</v>
      </c>
      <c r="AU33" s="577">
        <v>11515.25</v>
      </c>
      <c r="AV33" s="577">
        <v>13563.76</v>
      </c>
      <c r="AW33" s="577">
        <v>343.63</v>
      </c>
      <c r="AX33" s="577">
        <v>0</v>
      </c>
      <c r="AY33" s="577">
        <v>11667.72</v>
      </c>
      <c r="AZ33" s="577">
        <v>0</v>
      </c>
      <c r="BA33" s="577">
        <v>42700.75</v>
      </c>
      <c r="BB33" s="577">
        <v>1896.38</v>
      </c>
      <c r="BC33" s="577">
        <v>27218.67</v>
      </c>
      <c r="BD33" s="577">
        <v>5406.05</v>
      </c>
      <c r="BE33" s="577">
        <v>70395.89</v>
      </c>
      <c r="BF33" s="577">
        <v>65281.85</v>
      </c>
      <c r="BG33" s="577">
        <v>1362.02</v>
      </c>
      <c r="BH33" s="576">
        <v>0</v>
      </c>
      <c r="BI33" s="576">
        <v>3446.79</v>
      </c>
      <c r="BJ33" s="576">
        <v>0</v>
      </c>
      <c r="BK33" s="576">
        <v>545</v>
      </c>
      <c r="BL33" s="576">
        <v>0</v>
      </c>
      <c r="BM33" s="576">
        <v>0</v>
      </c>
      <c r="BN33" s="577">
        <f t="shared" si="3"/>
        <v>5353.8099999999995</v>
      </c>
      <c r="BO33" s="577">
        <v>0</v>
      </c>
      <c r="BP33" s="577">
        <v>16771.25</v>
      </c>
      <c r="BQ33" s="577">
        <v>13310.25</v>
      </c>
      <c r="BR33" s="577">
        <v>486.08</v>
      </c>
      <c r="BS33" s="577">
        <v>82322.44</v>
      </c>
      <c r="BT33" s="577">
        <v>21895</v>
      </c>
      <c r="BU33" s="577">
        <v>28584.400000000001</v>
      </c>
      <c r="BV33" s="577">
        <v>47815.41</v>
      </c>
      <c r="BW33" s="577">
        <v>0</v>
      </c>
      <c r="BX33" s="577">
        <v>0</v>
      </c>
      <c r="BY33" s="577">
        <v>0</v>
      </c>
      <c r="BZ33" s="577">
        <v>0</v>
      </c>
      <c r="CA33" s="577">
        <v>0</v>
      </c>
      <c r="CB33" s="577">
        <v>0</v>
      </c>
      <c r="CC33" s="577">
        <v>0</v>
      </c>
      <c r="CD33" s="577">
        <v>0</v>
      </c>
      <c r="CE33" s="577">
        <v>6000</v>
      </c>
      <c r="CF33" s="577">
        <v>0</v>
      </c>
      <c r="CG33" s="577">
        <v>0</v>
      </c>
      <c r="CH33" s="577">
        <v>0</v>
      </c>
      <c r="CI33" s="577">
        <v>0</v>
      </c>
      <c r="CJ33" s="576">
        <v>0</v>
      </c>
      <c r="CK33" s="576">
        <v>0</v>
      </c>
      <c r="CL33" s="576">
        <v>0</v>
      </c>
      <c r="CM33" s="576">
        <v>0</v>
      </c>
      <c r="CN33" s="577">
        <v>0</v>
      </c>
      <c r="CO33" s="577">
        <v>10960</v>
      </c>
      <c r="CP33" s="577">
        <v>0</v>
      </c>
      <c r="CQ33" s="577">
        <v>0</v>
      </c>
      <c r="CR33" s="577">
        <v>0</v>
      </c>
      <c r="CS33" s="577">
        <v>0</v>
      </c>
      <c r="CU33" s="495">
        <f t="shared" si="4"/>
        <v>10960</v>
      </c>
      <c r="CV33" s="495">
        <f t="shared" si="5"/>
        <v>0</v>
      </c>
      <c r="CW33" s="495">
        <f t="shared" si="6"/>
        <v>10960</v>
      </c>
      <c r="CX33" s="495">
        <f t="shared" si="0"/>
        <v>2218414.2399999998</v>
      </c>
      <c r="CY33" s="495">
        <f t="shared" si="7"/>
        <v>2176269.7999999998</v>
      </c>
      <c r="CZ33" s="495">
        <f t="shared" si="1"/>
        <v>1370601.1099999999</v>
      </c>
      <c r="DA33" s="495">
        <f t="shared" si="8"/>
        <v>42144.439999999944</v>
      </c>
    </row>
    <row r="34" spans="1:105" ht="15">
      <c r="A34" s="576">
        <v>302</v>
      </c>
      <c r="B34" s="576">
        <v>2054</v>
      </c>
      <c r="C34" s="576" t="s">
        <v>367</v>
      </c>
      <c r="D34" s="576" t="s">
        <v>594</v>
      </c>
      <c r="E34" s="576"/>
      <c r="F34" s="576" t="s">
        <v>588</v>
      </c>
      <c r="G34" s="576">
        <v>0</v>
      </c>
      <c r="H34" s="576">
        <v>0</v>
      </c>
      <c r="I34" s="576" t="s">
        <v>853</v>
      </c>
      <c r="J34" s="576" t="s">
        <v>854</v>
      </c>
      <c r="K34" s="576" t="s">
        <v>591</v>
      </c>
      <c r="L34" s="576" t="s">
        <v>592</v>
      </c>
      <c r="M34" s="576" t="s">
        <v>591</v>
      </c>
      <c r="N34" s="576" t="s">
        <v>593</v>
      </c>
      <c r="O34" s="576" t="s">
        <v>188</v>
      </c>
      <c r="P34" s="576" t="s">
        <v>188</v>
      </c>
      <c r="Q34" s="577">
        <v>65267.17</v>
      </c>
      <c r="R34" s="577">
        <v>0</v>
      </c>
      <c r="S34" s="577">
        <v>6954.25</v>
      </c>
      <c r="T34" s="577">
        <v>1156607.51</v>
      </c>
      <c r="U34" s="577">
        <v>0</v>
      </c>
      <c r="V34" s="577">
        <v>71766.679999999993</v>
      </c>
      <c r="W34" s="577">
        <v>0</v>
      </c>
      <c r="X34" s="577">
        <v>15890</v>
      </c>
      <c r="Y34" s="577">
        <v>5514.81</v>
      </c>
      <c r="Z34" s="577">
        <v>59006.03</v>
      </c>
      <c r="AA34" s="577">
        <v>35759.919999999998</v>
      </c>
      <c r="AB34" s="577">
        <v>43356.52</v>
      </c>
      <c r="AC34" s="577">
        <v>1381.44</v>
      </c>
      <c r="AD34" s="577">
        <v>0</v>
      </c>
      <c r="AE34" s="577">
        <v>0</v>
      </c>
      <c r="AF34" s="577">
        <v>27861.01</v>
      </c>
      <c r="AG34" s="577">
        <v>34597.279999999999</v>
      </c>
      <c r="AH34" s="577">
        <v>0</v>
      </c>
      <c r="AI34" s="577">
        <v>0</v>
      </c>
      <c r="AJ34" s="577">
        <v>0</v>
      </c>
      <c r="AK34" s="577">
        <v>1253.1300000000001</v>
      </c>
      <c r="AL34" s="577">
        <v>53741</v>
      </c>
      <c r="AM34" s="580">
        <f t="shared" si="2"/>
        <v>54994.13</v>
      </c>
      <c r="AN34" s="577">
        <v>664723.17000000004</v>
      </c>
      <c r="AO34" s="577">
        <v>0</v>
      </c>
      <c r="AP34" s="577">
        <v>168759.2</v>
      </c>
      <c r="AQ34" s="577">
        <v>30834.93</v>
      </c>
      <c r="AR34" s="577">
        <v>54061.53</v>
      </c>
      <c r="AS34" s="577">
        <v>0</v>
      </c>
      <c r="AT34" s="577">
        <v>66291.77</v>
      </c>
      <c r="AU34" s="577">
        <v>4412.55</v>
      </c>
      <c r="AV34" s="577">
        <v>1648.15</v>
      </c>
      <c r="AW34" s="577">
        <v>338.64</v>
      </c>
      <c r="AX34" s="577">
        <v>5368.35</v>
      </c>
      <c r="AY34" s="577">
        <v>19730.330000000002</v>
      </c>
      <c r="AZ34" s="577">
        <v>2196.64</v>
      </c>
      <c r="BA34" s="577">
        <v>20132.939999999999</v>
      </c>
      <c r="BB34" s="577">
        <v>2619.5</v>
      </c>
      <c r="BC34" s="577">
        <v>16488.77</v>
      </c>
      <c r="BD34" s="577">
        <v>22904.1</v>
      </c>
      <c r="BE34" s="577">
        <v>9857.52</v>
      </c>
      <c r="BF34" s="577">
        <v>58345.919999999998</v>
      </c>
      <c r="BG34" s="577">
        <v>7348.97</v>
      </c>
      <c r="BH34" s="576">
        <v>0</v>
      </c>
      <c r="BI34" s="576">
        <v>5426.52</v>
      </c>
      <c r="BJ34" s="576">
        <v>7580.32</v>
      </c>
      <c r="BK34" s="576">
        <v>2262.0500000000002</v>
      </c>
      <c r="BL34" s="576">
        <v>1265.06</v>
      </c>
      <c r="BM34" s="576">
        <v>6240</v>
      </c>
      <c r="BN34" s="577">
        <f t="shared" si="3"/>
        <v>30122.920000000002</v>
      </c>
      <c r="BO34" s="577">
        <v>0</v>
      </c>
      <c r="BP34" s="577">
        <v>1386.97</v>
      </c>
      <c r="BQ34" s="577">
        <v>8341.56</v>
      </c>
      <c r="BR34" s="577">
        <v>6247.46</v>
      </c>
      <c r="BS34" s="577">
        <v>82308.19</v>
      </c>
      <c r="BT34" s="577">
        <v>49831.78</v>
      </c>
      <c r="BU34" s="577">
        <v>160290.26</v>
      </c>
      <c r="BV34" s="577">
        <v>25232.35</v>
      </c>
      <c r="BW34" s="577">
        <v>0</v>
      </c>
      <c r="BX34" s="577">
        <v>0</v>
      </c>
      <c r="BY34" s="577">
        <v>0</v>
      </c>
      <c r="BZ34" s="577">
        <v>0</v>
      </c>
      <c r="CA34" s="577">
        <v>0</v>
      </c>
      <c r="CB34" s="577">
        <v>6283.33</v>
      </c>
      <c r="CC34" s="577">
        <v>0</v>
      </c>
      <c r="CD34" s="577">
        <v>0</v>
      </c>
      <c r="CE34" s="577">
        <v>6000</v>
      </c>
      <c r="CF34" s="577">
        <v>0</v>
      </c>
      <c r="CG34" s="577">
        <v>0</v>
      </c>
      <c r="CH34" s="577">
        <v>0</v>
      </c>
      <c r="CI34" s="577">
        <v>0</v>
      </c>
      <c r="CJ34" s="576">
        <v>0</v>
      </c>
      <c r="CK34" s="576">
        <v>0</v>
      </c>
      <c r="CL34" s="576">
        <v>6436.58</v>
      </c>
      <c r="CM34" s="576">
        <v>0</v>
      </c>
      <c r="CN34" s="577">
        <v>0</v>
      </c>
      <c r="CO34" s="577">
        <v>59527</v>
      </c>
      <c r="CP34" s="577">
        <v>6801</v>
      </c>
      <c r="CQ34" s="577">
        <v>0</v>
      </c>
      <c r="CR34" s="577">
        <v>0</v>
      </c>
      <c r="CS34" s="577">
        <v>0</v>
      </c>
      <c r="CU34" s="495">
        <f t="shared" si="4"/>
        <v>59527</v>
      </c>
      <c r="CV34" s="495">
        <f t="shared" si="5"/>
        <v>6801</v>
      </c>
      <c r="CW34" s="495">
        <f t="shared" si="6"/>
        <v>59527</v>
      </c>
      <c r="CX34" s="495">
        <f t="shared" si="0"/>
        <v>1506735.3299999998</v>
      </c>
      <c r="CY34" s="495">
        <f t="shared" si="7"/>
        <v>1512475.5000000005</v>
      </c>
      <c r="CZ34" s="495">
        <f t="shared" si="1"/>
        <v>1228374.19</v>
      </c>
      <c r="DA34" s="495">
        <f t="shared" si="8"/>
        <v>-5740.170000000624</v>
      </c>
    </row>
    <row r="35" spans="1:105" ht="15">
      <c r="A35" s="576">
        <v>302</v>
      </c>
      <c r="B35" s="576">
        <v>2055</v>
      </c>
      <c r="C35" s="576" t="s">
        <v>295</v>
      </c>
      <c r="D35" s="576" t="s">
        <v>594</v>
      </c>
      <c r="E35" s="576"/>
      <c r="F35" s="576" t="s">
        <v>588</v>
      </c>
      <c r="G35" s="576">
        <v>0</v>
      </c>
      <c r="H35" s="576">
        <v>1</v>
      </c>
      <c r="I35" s="576" t="s">
        <v>853</v>
      </c>
      <c r="J35" s="576" t="s">
        <v>854</v>
      </c>
      <c r="K35" s="576" t="s">
        <v>591</v>
      </c>
      <c r="L35" s="576" t="s">
        <v>592</v>
      </c>
      <c r="M35" s="576" t="s">
        <v>591</v>
      </c>
      <c r="N35" s="576" t="s">
        <v>593</v>
      </c>
      <c r="O35" s="576" t="s">
        <v>188</v>
      </c>
      <c r="P35" s="576" t="s">
        <v>188</v>
      </c>
      <c r="Q35" s="577">
        <v>-332763.03000000003</v>
      </c>
      <c r="R35" s="577">
        <v>0</v>
      </c>
      <c r="S35" s="577">
        <v>23620.03</v>
      </c>
      <c r="T35" s="577">
        <v>1318198.51</v>
      </c>
      <c r="U35" s="577">
        <v>0</v>
      </c>
      <c r="V35" s="577">
        <v>94184.02</v>
      </c>
      <c r="W35" s="577">
        <v>0</v>
      </c>
      <c r="X35" s="577">
        <v>60680</v>
      </c>
      <c r="Y35" s="577">
        <v>200</v>
      </c>
      <c r="Z35" s="577">
        <v>52500.21</v>
      </c>
      <c r="AA35" s="577">
        <v>2604</v>
      </c>
      <c r="AB35" s="577">
        <v>14687.4</v>
      </c>
      <c r="AC35" s="577">
        <v>983.29</v>
      </c>
      <c r="AD35" s="577">
        <v>0</v>
      </c>
      <c r="AE35" s="577">
        <v>0</v>
      </c>
      <c r="AF35" s="577">
        <v>15619.23</v>
      </c>
      <c r="AG35" s="577">
        <v>5416.11</v>
      </c>
      <c r="AH35" s="577">
        <v>0</v>
      </c>
      <c r="AI35" s="577">
        <v>0</v>
      </c>
      <c r="AJ35" s="577">
        <v>0</v>
      </c>
      <c r="AK35" s="577">
        <v>1274.5</v>
      </c>
      <c r="AL35" s="577">
        <v>46950</v>
      </c>
      <c r="AM35" s="580">
        <f t="shared" si="2"/>
        <v>48224.5</v>
      </c>
      <c r="AN35" s="577">
        <v>856011.31</v>
      </c>
      <c r="AO35" s="577">
        <v>0</v>
      </c>
      <c r="AP35" s="577">
        <v>424788.09</v>
      </c>
      <c r="AQ35" s="577">
        <v>28561.1</v>
      </c>
      <c r="AR35" s="577">
        <v>60422.15</v>
      </c>
      <c r="AS35" s="577">
        <v>0</v>
      </c>
      <c r="AT35" s="577">
        <v>47788.15</v>
      </c>
      <c r="AU35" s="577">
        <v>14964.95</v>
      </c>
      <c r="AV35" s="577">
        <v>4045.61</v>
      </c>
      <c r="AW35" s="577">
        <v>325.36</v>
      </c>
      <c r="AX35" s="577">
        <v>0</v>
      </c>
      <c r="AY35" s="577">
        <v>23039.73</v>
      </c>
      <c r="AZ35" s="577">
        <v>5613.48</v>
      </c>
      <c r="BA35" s="577">
        <v>33332.879999999997</v>
      </c>
      <c r="BB35" s="577">
        <v>5834.8</v>
      </c>
      <c r="BC35" s="577">
        <v>45872.160000000003</v>
      </c>
      <c r="BD35" s="577">
        <v>32448.73</v>
      </c>
      <c r="BE35" s="577">
        <v>11204.13</v>
      </c>
      <c r="BF35" s="577">
        <v>65691.679999999993</v>
      </c>
      <c r="BG35" s="577">
        <v>7689.01</v>
      </c>
      <c r="BH35" s="576">
        <v>4978</v>
      </c>
      <c r="BI35" s="576">
        <v>2060.77</v>
      </c>
      <c r="BJ35" s="576">
        <v>8206.0400000000009</v>
      </c>
      <c r="BK35" s="576">
        <v>4756.1000000000004</v>
      </c>
      <c r="BL35" s="576">
        <v>5592.42</v>
      </c>
      <c r="BM35" s="576">
        <v>6703.5</v>
      </c>
      <c r="BN35" s="577">
        <f t="shared" si="3"/>
        <v>39985.839999999997</v>
      </c>
      <c r="BO35" s="577">
        <v>0</v>
      </c>
      <c r="BP35" s="577">
        <v>1941.25</v>
      </c>
      <c r="BQ35" s="577">
        <v>13120.44</v>
      </c>
      <c r="BR35" s="577">
        <v>17526.080000000002</v>
      </c>
      <c r="BS35" s="577">
        <v>77766.63</v>
      </c>
      <c r="BT35" s="577">
        <v>80632.070000000007</v>
      </c>
      <c r="BU35" s="577">
        <v>269613.8</v>
      </c>
      <c r="BV35" s="577">
        <v>20246.23</v>
      </c>
      <c r="BW35" s="577">
        <v>0</v>
      </c>
      <c r="BX35" s="577">
        <v>0</v>
      </c>
      <c r="BY35" s="577">
        <v>0</v>
      </c>
      <c r="BZ35" s="577">
        <v>0</v>
      </c>
      <c r="CA35" s="577">
        <v>0</v>
      </c>
      <c r="CB35" s="577">
        <v>6670.97</v>
      </c>
      <c r="CC35" s="577">
        <v>0</v>
      </c>
      <c r="CD35" s="577">
        <v>0</v>
      </c>
      <c r="CE35" s="577">
        <v>6000</v>
      </c>
      <c r="CF35" s="577">
        <v>0</v>
      </c>
      <c r="CG35" s="577">
        <v>0</v>
      </c>
      <c r="CH35" s="577">
        <v>0</v>
      </c>
      <c r="CI35" s="577">
        <v>0</v>
      </c>
      <c r="CJ35" s="576">
        <v>0</v>
      </c>
      <c r="CK35" s="576">
        <v>0</v>
      </c>
      <c r="CL35" s="576">
        <v>0</v>
      </c>
      <c r="CM35" s="576">
        <v>0</v>
      </c>
      <c r="CN35" s="577">
        <v>101127.59</v>
      </c>
      <c r="CO35" s="577">
        <v>-1001370</v>
      </c>
      <c r="CP35" s="577">
        <v>30291</v>
      </c>
      <c r="CQ35" s="577">
        <v>0</v>
      </c>
      <c r="CR35" s="577">
        <v>0</v>
      </c>
      <c r="CS35" s="577">
        <v>0</v>
      </c>
      <c r="CU35" s="495">
        <f t="shared" si="4"/>
        <v>-900242.41</v>
      </c>
      <c r="CV35" s="495">
        <f t="shared" si="5"/>
        <v>30291</v>
      </c>
      <c r="CW35" s="495">
        <f t="shared" si="6"/>
        <v>-900242.41</v>
      </c>
      <c r="CX35" s="495">
        <f t="shared" si="0"/>
        <v>1613297.27</v>
      </c>
      <c r="CY35" s="495">
        <f t="shared" si="7"/>
        <v>2180776.6500000004</v>
      </c>
      <c r="CZ35" s="495">
        <f t="shared" si="1"/>
        <v>1412382.53</v>
      </c>
      <c r="DA35" s="495">
        <f t="shared" si="8"/>
        <v>-567479.38000000035</v>
      </c>
    </row>
    <row r="36" spans="1:105" ht="15">
      <c r="A36" s="576">
        <v>302</v>
      </c>
      <c r="B36" s="576">
        <v>2057</v>
      </c>
      <c r="C36" s="576" t="s">
        <v>433</v>
      </c>
      <c r="D36" s="576" t="s">
        <v>594</v>
      </c>
      <c r="E36" s="576"/>
      <c r="F36" s="576" t="s">
        <v>588</v>
      </c>
      <c r="G36" s="576">
        <v>0</v>
      </c>
      <c r="H36" s="576">
        <v>0</v>
      </c>
      <c r="I36" s="576" t="s">
        <v>853</v>
      </c>
      <c r="J36" s="576" t="s">
        <v>854</v>
      </c>
      <c r="K36" s="576" t="s">
        <v>591</v>
      </c>
      <c r="L36" s="576" t="s">
        <v>592</v>
      </c>
      <c r="M36" s="576" t="s">
        <v>591</v>
      </c>
      <c r="N36" s="576" t="s">
        <v>593</v>
      </c>
      <c r="O36" s="576" t="s">
        <v>188</v>
      </c>
      <c r="P36" s="576" t="s">
        <v>188</v>
      </c>
      <c r="Q36" s="577">
        <v>453008.1</v>
      </c>
      <c r="R36" s="577">
        <v>17385.93</v>
      </c>
      <c r="S36" s="577">
        <v>23199.39</v>
      </c>
      <c r="T36" s="577">
        <v>3017699.55</v>
      </c>
      <c r="U36" s="577">
        <v>0</v>
      </c>
      <c r="V36" s="577">
        <v>200962.45</v>
      </c>
      <c r="W36" s="577">
        <v>0</v>
      </c>
      <c r="X36" s="577">
        <v>273800</v>
      </c>
      <c r="Y36" s="577">
        <v>22133.95</v>
      </c>
      <c r="Z36" s="577">
        <v>145692.91</v>
      </c>
      <c r="AA36" s="577">
        <v>10269.25</v>
      </c>
      <c r="AB36" s="577">
        <v>68675.58</v>
      </c>
      <c r="AC36" s="577">
        <v>37.28</v>
      </c>
      <c r="AD36" s="577">
        <v>0</v>
      </c>
      <c r="AE36" s="577">
        <v>0</v>
      </c>
      <c r="AF36" s="577">
        <v>31189.24</v>
      </c>
      <c r="AG36" s="577">
        <v>21715.279999999999</v>
      </c>
      <c r="AH36" s="577">
        <v>0</v>
      </c>
      <c r="AI36" s="577">
        <v>206157.6</v>
      </c>
      <c r="AJ36" s="577">
        <v>4248.99</v>
      </c>
      <c r="AK36" s="577">
        <v>13919.75</v>
      </c>
      <c r="AL36" s="577">
        <v>52205</v>
      </c>
      <c r="AM36" s="580">
        <f t="shared" si="2"/>
        <v>66124.75</v>
      </c>
      <c r="AN36" s="577">
        <v>1623813.1</v>
      </c>
      <c r="AO36" s="577">
        <v>0</v>
      </c>
      <c r="AP36" s="577">
        <v>802225.48</v>
      </c>
      <c r="AQ36" s="577">
        <v>92118.25</v>
      </c>
      <c r="AR36" s="577">
        <v>106731.33</v>
      </c>
      <c r="AS36" s="577">
        <v>0</v>
      </c>
      <c r="AT36" s="577">
        <v>102542.6</v>
      </c>
      <c r="AU36" s="577">
        <v>15271.87</v>
      </c>
      <c r="AV36" s="577">
        <v>4770.3999999999996</v>
      </c>
      <c r="AW36" s="577">
        <v>755.3</v>
      </c>
      <c r="AX36" s="577">
        <v>0</v>
      </c>
      <c r="AY36" s="577">
        <v>16746.45</v>
      </c>
      <c r="AZ36" s="577">
        <v>12835</v>
      </c>
      <c r="BA36" s="577">
        <v>22796.18</v>
      </c>
      <c r="BB36" s="577">
        <v>14729.09</v>
      </c>
      <c r="BC36" s="577">
        <v>64924.82</v>
      </c>
      <c r="BD36" s="577">
        <v>63600</v>
      </c>
      <c r="BE36" s="577">
        <v>17482.98</v>
      </c>
      <c r="BF36" s="577">
        <v>81400.800000000003</v>
      </c>
      <c r="BG36" s="577">
        <v>5251.61</v>
      </c>
      <c r="BH36" s="576">
        <v>0</v>
      </c>
      <c r="BI36" s="576">
        <v>4524.8500000000004</v>
      </c>
      <c r="BJ36" s="576">
        <v>9472.34</v>
      </c>
      <c r="BK36" s="576">
        <v>829.99</v>
      </c>
      <c r="BL36" s="576">
        <v>22.46</v>
      </c>
      <c r="BM36" s="576">
        <v>16258.38</v>
      </c>
      <c r="BN36" s="577">
        <f t="shared" si="3"/>
        <v>36359.629999999997</v>
      </c>
      <c r="BO36" s="577">
        <v>0</v>
      </c>
      <c r="BP36" s="577">
        <v>9546.09</v>
      </c>
      <c r="BQ36" s="577">
        <v>18604.95</v>
      </c>
      <c r="BR36" s="577">
        <v>40172.36</v>
      </c>
      <c r="BS36" s="577">
        <v>156611.26999999999</v>
      </c>
      <c r="BT36" s="577">
        <v>109252.33</v>
      </c>
      <c r="BU36" s="577">
        <v>329659.26</v>
      </c>
      <c r="BV36" s="577">
        <v>39637.800000000003</v>
      </c>
      <c r="BW36" s="577">
        <v>0</v>
      </c>
      <c r="BX36" s="577">
        <v>0</v>
      </c>
      <c r="BY36" s="577">
        <v>0</v>
      </c>
      <c r="BZ36" s="577">
        <v>142213.65</v>
      </c>
      <c r="CA36" s="577">
        <v>49780.87</v>
      </c>
      <c r="CB36" s="577">
        <v>9937.61</v>
      </c>
      <c r="CC36" s="577">
        <v>0</v>
      </c>
      <c r="CD36" s="577">
        <v>0</v>
      </c>
      <c r="CE36" s="577">
        <v>6000</v>
      </c>
      <c r="CF36" s="577">
        <v>0</v>
      </c>
      <c r="CG36" s="577">
        <v>0</v>
      </c>
      <c r="CH36" s="577">
        <v>0</v>
      </c>
      <c r="CI36" s="577">
        <v>0</v>
      </c>
      <c r="CJ36" s="576">
        <v>0</v>
      </c>
      <c r="CK36" s="576">
        <v>0</v>
      </c>
      <c r="CL36" s="576">
        <v>0</v>
      </c>
      <c r="CM36" s="576">
        <v>0</v>
      </c>
      <c r="CN36" s="577">
        <v>21860</v>
      </c>
      <c r="CO36" s="577">
        <v>506861</v>
      </c>
      <c r="CP36" s="577">
        <v>33137</v>
      </c>
      <c r="CQ36" s="577">
        <v>0</v>
      </c>
      <c r="CR36" s="577">
        <v>35798</v>
      </c>
      <c r="CS36" s="577">
        <v>0</v>
      </c>
      <c r="CU36" s="495">
        <f t="shared" si="4"/>
        <v>564519</v>
      </c>
      <c r="CV36" s="495">
        <f t="shared" si="5"/>
        <v>33137</v>
      </c>
      <c r="CW36" s="495">
        <f t="shared" si="6"/>
        <v>528721</v>
      </c>
      <c r="CX36" s="495">
        <f t="shared" ref="CX36:CX67" si="9">SUM(T36:AL36)-AI36-AJ36</f>
        <v>3858300.24</v>
      </c>
      <c r="CY36" s="495">
        <f t="shared" si="7"/>
        <v>3782587.34</v>
      </c>
      <c r="CZ36" s="495">
        <f t="shared" ref="CZ36:CZ67" si="10">SUM(T36:V36)</f>
        <v>3218662</v>
      </c>
      <c r="DA36" s="495">
        <f t="shared" si="8"/>
        <v>75712.900000000373</v>
      </c>
    </row>
    <row r="37" spans="1:105" ht="15">
      <c r="A37" s="576">
        <v>302</v>
      </c>
      <c r="B37" s="576">
        <v>2060</v>
      </c>
      <c r="C37" s="576" t="s">
        <v>297</v>
      </c>
      <c r="D37" s="576" t="s">
        <v>594</v>
      </c>
      <c r="E37" s="576"/>
      <c r="F37" s="576" t="s">
        <v>588</v>
      </c>
      <c r="G37" s="576">
        <v>0</v>
      </c>
      <c r="H37" s="576">
        <v>0</v>
      </c>
      <c r="I37" s="576" t="s">
        <v>853</v>
      </c>
      <c r="J37" s="576" t="s">
        <v>854</v>
      </c>
      <c r="K37" s="576" t="s">
        <v>591</v>
      </c>
      <c r="L37" s="576" t="s">
        <v>592</v>
      </c>
      <c r="M37" s="576" t="s">
        <v>591</v>
      </c>
      <c r="N37" s="576" t="s">
        <v>593</v>
      </c>
      <c r="O37" s="576" t="s">
        <v>188</v>
      </c>
      <c r="P37" s="576" t="s">
        <v>188</v>
      </c>
      <c r="Q37" s="577">
        <v>312024.27</v>
      </c>
      <c r="R37" s="577">
        <v>0</v>
      </c>
      <c r="S37" s="577">
        <v>16067.15</v>
      </c>
      <c r="T37" s="577">
        <v>2986344.36</v>
      </c>
      <c r="U37" s="577">
        <v>0</v>
      </c>
      <c r="V37" s="577">
        <v>271662.53999999998</v>
      </c>
      <c r="W37" s="577">
        <v>0</v>
      </c>
      <c r="X37" s="577">
        <v>186541</v>
      </c>
      <c r="Y37" s="577">
        <v>10072.34</v>
      </c>
      <c r="Z37" s="577">
        <v>145268.1</v>
      </c>
      <c r="AA37" s="577">
        <v>121057.88</v>
      </c>
      <c r="AB37" s="577">
        <v>59899.25</v>
      </c>
      <c r="AC37" s="577">
        <v>1380.13</v>
      </c>
      <c r="AD37" s="577">
        <v>0</v>
      </c>
      <c r="AE37" s="577">
        <v>0</v>
      </c>
      <c r="AF37" s="577">
        <v>46522.93</v>
      </c>
      <c r="AG37" s="577">
        <v>13984.22</v>
      </c>
      <c r="AH37" s="577">
        <v>0</v>
      </c>
      <c r="AI37" s="577">
        <v>0</v>
      </c>
      <c r="AJ37" s="577">
        <v>0</v>
      </c>
      <c r="AK37" s="577">
        <v>11886.25</v>
      </c>
      <c r="AL37" s="577">
        <v>81278</v>
      </c>
      <c r="AM37" s="580">
        <f t="shared" si="2"/>
        <v>93164.25</v>
      </c>
      <c r="AN37" s="577">
        <v>1463539.29</v>
      </c>
      <c r="AO37" s="577">
        <v>0</v>
      </c>
      <c r="AP37" s="577">
        <v>1071954.83</v>
      </c>
      <c r="AQ37" s="577">
        <v>61449.82</v>
      </c>
      <c r="AR37" s="577">
        <v>105941.39</v>
      </c>
      <c r="AS37" s="577">
        <v>0</v>
      </c>
      <c r="AT37" s="577">
        <v>116743.44</v>
      </c>
      <c r="AU37" s="577">
        <v>13186.18</v>
      </c>
      <c r="AV37" s="577">
        <v>5411.22</v>
      </c>
      <c r="AW37" s="577">
        <v>693.88</v>
      </c>
      <c r="AX37" s="577">
        <v>0</v>
      </c>
      <c r="AY37" s="577">
        <v>75241.73</v>
      </c>
      <c r="AZ37" s="577">
        <v>8024</v>
      </c>
      <c r="BA37" s="577">
        <v>44328.59</v>
      </c>
      <c r="BB37" s="577">
        <v>7752.71</v>
      </c>
      <c r="BC37" s="577">
        <v>143291.49</v>
      </c>
      <c r="BD37" s="577">
        <v>111720</v>
      </c>
      <c r="BE37" s="577">
        <v>15811.38</v>
      </c>
      <c r="BF37" s="577">
        <v>88426.92</v>
      </c>
      <c r="BG37" s="577">
        <v>6251.6</v>
      </c>
      <c r="BH37" s="576">
        <v>325</v>
      </c>
      <c r="BI37" s="576">
        <v>5816.31</v>
      </c>
      <c r="BJ37" s="576">
        <v>12247.19</v>
      </c>
      <c r="BK37" s="576">
        <v>769.06</v>
      </c>
      <c r="BL37" s="576">
        <v>1027.17</v>
      </c>
      <c r="BM37" s="576">
        <v>12480</v>
      </c>
      <c r="BN37" s="577">
        <f t="shared" si="3"/>
        <v>38916.33</v>
      </c>
      <c r="BO37" s="577">
        <v>0</v>
      </c>
      <c r="BP37" s="577">
        <v>4511</v>
      </c>
      <c r="BQ37" s="577">
        <v>18472.02</v>
      </c>
      <c r="BR37" s="577">
        <v>11278.72</v>
      </c>
      <c r="BS37" s="577">
        <v>171683.13</v>
      </c>
      <c r="BT37" s="577">
        <v>33322.89</v>
      </c>
      <c r="BU37" s="577">
        <v>126981.39</v>
      </c>
      <c r="BV37" s="577">
        <v>46564.92</v>
      </c>
      <c r="BW37" s="577">
        <v>0</v>
      </c>
      <c r="BX37" s="577">
        <v>0</v>
      </c>
      <c r="BY37" s="577">
        <v>10013</v>
      </c>
      <c r="BZ37" s="577">
        <v>0</v>
      </c>
      <c r="CA37" s="577">
        <v>0</v>
      </c>
      <c r="CB37" s="577">
        <v>9098.83</v>
      </c>
      <c r="CC37" s="577">
        <v>0</v>
      </c>
      <c r="CD37" s="577">
        <v>10013</v>
      </c>
      <c r="CE37" s="577">
        <v>6000</v>
      </c>
      <c r="CF37" s="577">
        <v>0</v>
      </c>
      <c r="CG37" s="577">
        <v>0</v>
      </c>
      <c r="CH37" s="577">
        <v>23088.98</v>
      </c>
      <c r="CI37" s="577">
        <v>0</v>
      </c>
      <c r="CJ37" s="576">
        <v>0</v>
      </c>
      <c r="CK37" s="576">
        <v>0</v>
      </c>
      <c r="CL37" s="576">
        <v>0</v>
      </c>
      <c r="CM37" s="576">
        <v>12090</v>
      </c>
      <c r="CN37" s="577">
        <v>10826</v>
      </c>
      <c r="CO37" s="577">
        <v>441835</v>
      </c>
      <c r="CP37" s="577">
        <v>0</v>
      </c>
      <c r="CQ37" s="577">
        <v>0</v>
      </c>
      <c r="CR37" s="577">
        <v>0</v>
      </c>
      <c r="CS37" s="577">
        <v>0</v>
      </c>
      <c r="CU37" s="495">
        <f t="shared" si="4"/>
        <v>452661</v>
      </c>
      <c r="CV37" s="495">
        <f t="shared" si="5"/>
        <v>0</v>
      </c>
      <c r="CW37" s="495">
        <f t="shared" si="6"/>
        <v>452661</v>
      </c>
      <c r="CX37" s="495">
        <f t="shared" si="9"/>
        <v>3935897</v>
      </c>
      <c r="CY37" s="495">
        <f t="shared" si="7"/>
        <v>3795260.2700000005</v>
      </c>
      <c r="CZ37" s="495">
        <f t="shared" si="10"/>
        <v>3258006.9</v>
      </c>
      <c r="DA37" s="495">
        <f t="shared" si="8"/>
        <v>140636.72999999952</v>
      </c>
    </row>
    <row r="38" spans="1:105" ht="15">
      <c r="A38" s="576">
        <v>302</v>
      </c>
      <c r="B38" s="576">
        <v>2067</v>
      </c>
      <c r="C38" s="576" t="s">
        <v>263</v>
      </c>
      <c r="D38" s="576" t="s">
        <v>594</v>
      </c>
      <c r="E38" s="576"/>
      <c r="F38" s="576" t="s">
        <v>588</v>
      </c>
      <c r="G38" s="576">
        <v>0</v>
      </c>
      <c r="H38" s="576">
        <v>1</v>
      </c>
      <c r="I38" s="576" t="s">
        <v>853</v>
      </c>
      <c r="J38" s="576" t="s">
        <v>854</v>
      </c>
      <c r="K38" s="576" t="s">
        <v>591</v>
      </c>
      <c r="L38" s="576" t="s">
        <v>592</v>
      </c>
      <c r="M38" s="576" t="s">
        <v>591</v>
      </c>
      <c r="N38" s="576" t="s">
        <v>593</v>
      </c>
      <c r="O38" s="576" t="s">
        <v>188</v>
      </c>
      <c r="P38" s="576" t="s">
        <v>188</v>
      </c>
      <c r="Q38" s="577">
        <v>-40014.629999999997</v>
      </c>
      <c r="R38" s="577">
        <v>0</v>
      </c>
      <c r="S38" s="577">
        <v>12848.2</v>
      </c>
      <c r="T38" s="577">
        <v>1412248.21</v>
      </c>
      <c r="U38" s="577">
        <v>0</v>
      </c>
      <c r="V38" s="577">
        <v>401689.92</v>
      </c>
      <c r="W38" s="577">
        <v>0</v>
      </c>
      <c r="X38" s="577">
        <v>53280</v>
      </c>
      <c r="Y38" s="577">
        <v>3229.61</v>
      </c>
      <c r="Z38" s="577">
        <v>64830.78</v>
      </c>
      <c r="AA38" s="577">
        <v>26956.75</v>
      </c>
      <c r="AB38" s="577">
        <v>28856.61</v>
      </c>
      <c r="AC38" s="577">
        <v>896.32</v>
      </c>
      <c r="AD38" s="577">
        <v>0</v>
      </c>
      <c r="AE38" s="577">
        <v>0</v>
      </c>
      <c r="AF38" s="577">
        <v>14568.33</v>
      </c>
      <c r="AG38" s="577">
        <v>7506.78</v>
      </c>
      <c r="AH38" s="577">
        <v>0</v>
      </c>
      <c r="AI38" s="577">
        <v>0</v>
      </c>
      <c r="AJ38" s="577">
        <v>0</v>
      </c>
      <c r="AK38" s="577">
        <v>5897.56</v>
      </c>
      <c r="AL38" s="577">
        <v>60828</v>
      </c>
      <c r="AM38" s="580">
        <f t="shared" si="2"/>
        <v>66725.56</v>
      </c>
      <c r="AN38" s="577">
        <v>986003.81</v>
      </c>
      <c r="AO38" s="577">
        <v>540.46</v>
      </c>
      <c r="AP38" s="577">
        <v>431070.01</v>
      </c>
      <c r="AQ38" s="577">
        <v>33495.949999999997</v>
      </c>
      <c r="AR38" s="577">
        <v>88263.62</v>
      </c>
      <c r="AS38" s="577">
        <v>0</v>
      </c>
      <c r="AT38" s="577">
        <v>10140.61</v>
      </c>
      <c r="AU38" s="577">
        <v>8118.39</v>
      </c>
      <c r="AV38" s="577">
        <v>4698.78</v>
      </c>
      <c r="AW38" s="577">
        <v>361.88</v>
      </c>
      <c r="AX38" s="577">
        <v>0</v>
      </c>
      <c r="AY38" s="577">
        <v>23194.38</v>
      </c>
      <c r="AZ38" s="577">
        <v>7556</v>
      </c>
      <c r="BA38" s="577">
        <v>39994.68</v>
      </c>
      <c r="BB38" s="577">
        <v>3199.43</v>
      </c>
      <c r="BC38" s="577">
        <v>36400.25</v>
      </c>
      <c r="BD38" s="577">
        <v>35743.040000000001</v>
      </c>
      <c r="BE38" s="577">
        <v>13001.84</v>
      </c>
      <c r="BF38" s="577">
        <v>51276.01</v>
      </c>
      <c r="BG38" s="577">
        <v>5025</v>
      </c>
      <c r="BH38" s="576">
        <v>195</v>
      </c>
      <c r="BI38" s="576">
        <v>12320.36</v>
      </c>
      <c r="BJ38" s="576">
        <v>8041.39</v>
      </c>
      <c r="BK38" s="576">
        <v>9596</v>
      </c>
      <c r="BL38" s="576">
        <v>4276.33</v>
      </c>
      <c r="BM38" s="576">
        <v>4523</v>
      </c>
      <c r="BN38" s="577">
        <f t="shared" si="3"/>
        <v>43977.08</v>
      </c>
      <c r="BO38" s="577">
        <v>0</v>
      </c>
      <c r="BP38" s="577">
        <v>6370.51</v>
      </c>
      <c r="BQ38" s="577">
        <v>8914.02</v>
      </c>
      <c r="BR38" s="577">
        <v>9068.56</v>
      </c>
      <c r="BS38" s="577">
        <v>88724.28</v>
      </c>
      <c r="BT38" s="577">
        <v>22429.98</v>
      </c>
      <c r="BU38" s="577">
        <v>117368.67</v>
      </c>
      <c r="BV38" s="577">
        <v>24216</v>
      </c>
      <c r="BW38" s="577">
        <v>0</v>
      </c>
      <c r="BX38" s="577">
        <v>0</v>
      </c>
      <c r="BY38" s="577">
        <v>0</v>
      </c>
      <c r="BZ38" s="577">
        <v>0</v>
      </c>
      <c r="CA38" s="577">
        <v>0</v>
      </c>
      <c r="CB38" s="577">
        <v>6497.5</v>
      </c>
      <c r="CC38" s="577">
        <v>0</v>
      </c>
      <c r="CD38" s="577">
        <v>0</v>
      </c>
      <c r="CE38" s="577">
        <v>6000</v>
      </c>
      <c r="CF38" s="577">
        <v>0</v>
      </c>
      <c r="CG38" s="577">
        <v>9770.5</v>
      </c>
      <c r="CH38" s="577">
        <v>0</v>
      </c>
      <c r="CI38" s="577">
        <v>0</v>
      </c>
      <c r="CJ38" s="576">
        <v>0</v>
      </c>
      <c r="CK38" s="576">
        <v>0</v>
      </c>
      <c r="CL38" s="576">
        <v>7427.2</v>
      </c>
      <c r="CM38" s="576">
        <v>1940</v>
      </c>
      <c r="CN38" s="577">
        <v>0</v>
      </c>
      <c r="CO38" s="577">
        <v>-53354</v>
      </c>
      <c r="CP38" s="577">
        <v>208</v>
      </c>
      <c r="CQ38" s="577">
        <v>0</v>
      </c>
      <c r="CR38" s="577">
        <v>0</v>
      </c>
      <c r="CS38" s="577">
        <v>0</v>
      </c>
      <c r="CU38" s="495">
        <f t="shared" si="4"/>
        <v>-53354</v>
      </c>
      <c r="CV38" s="495">
        <f t="shared" si="5"/>
        <v>208</v>
      </c>
      <c r="CW38" s="495">
        <f t="shared" si="6"/>
        <v>-53354</v>
      </c>
      <c r="CX38" s="495">
        <f t="shared" si="9"/>
        <v>2080788.8700000003</v>
      </c>
      <c r="CY38" s="495">
        <f t="shared" si="7"/>
        <v>2094128.2400000002</v>
      </c>
      <c r="CZ38" s="495">
        <f t="shared" si="10"/>
        <v>1813938.13</v>
      </c>
      <c r="DA38" s="495">
        <f t="shared" si="8"/>
        <v>-13339.369999999879</v>
      </c>
    </row>
    <row r="39" spans="1:105" ht="15">
      <c r="A39" s="576">
        <v>302</v>
      </c>
      <c r="B39" s="576">
        <v>2070</v>
      </c>
      <c r="C39" s="576" t="s">
        <v>290</v>
      </c>
      <c r="D39" s="576" t="s">
        <v>594</v>
      </c>
      <c r="E39" s="576"/>
      <c r="F39" s="576" t="s">
        <v>588</v>
      </c>
      <c r="G39" s="576">
        <v>0</v>
      </c>
      <c r="H39" s="576">
        <v>0</v>
      </c>
      <c r="I39" s="576" t="s">
        <v>853</v>
      </c>
      <c r="J39" s="576" t="s">
        <v>854</v>
      </c>
      <c r="K39" s="576" t="s">
        <v>591</v>
      </c>
      <c r="L39" s="576" t="s">
        <v>592</v>
      </c>
      <c r="M39" s="576" t="s">
        <v>591</v>
      </c>
      <c r="N39" s="576" t="s">
        <v>593</v>
      </c>
      <c r="O39" s="576" t="s">
        <v>188</v>
      </c>
      <c r="P39" s="576" t="s">
        <v>188</v>
      </c>
      <c r="Q39" s="577">
        <v>298623.09000000003</v>
      </c>
      <c r="R39" s="577">
        <v>0</v>
      </c>
      <c r="S39" s="577">
        <v>0.52</v>
      </c>
      <c r="T39" s="577">
        <v>1566110.08</v>
      </c>
      <c r="U39" s="577">
        <v>0</v>
      </c>
      <c r="V39" s="577">
        <v>126479.7</v>
      </c>
      <c r="W39" s="577">
        <v>0</v>
      </c>
      <c r="X39" s="577">
        <v>94720</v>
      </c>
      <c r="Y39" s="577">
        <v>8513</v>
      </c>
      <c r="Z39" s="577">
        <v>40494.47</v>
      </c>
      <c r="AA39" s="577">
        <v>0</v>
      </c>
      <c r="AB39" s="577">
        <v>13583.45</v>
      </c>
      <c r="AC39" s="577">
        <v>21423.45</v>
      </c>
      <c r="AD39" s="577">
        <v>2078.2600000000002</v>
      </c>
      <c r="AE39" s="577">
        <v>0</v>
      </c>
      <c r="AF39" s="577">
        <v>31986</v>
      </c>
      <c r="AG39" s="577">
        <v>18946.36</v>
      </c>
      <c r="AH39" s="577">
        <v>0</v>
      </c>
      <c r="AI39" s="577">
        <v>0</v>
      </c>
      <c r="AJ39" s="577">
        <v>0</v>
      </c>
      <c r="AK39" s="577">
        <v>7015.63</v>
      </c>
      <c r="AL39" s="577">
        <v>49171</v>
      </c>
      <c r="AM39" s="580">
        <f t="shared" si="2"/>
        <v>56186.63</v>
      </c>
      <c r="AN39" s="577">
        <v>950787.68</v>
      </c>
      <c r="AO39" s="577">
        <v>0</v>
      </c>
      <c r="AP39" s="577">
        <v>319154.75</v>
      </c>
      <c r="AQ39" s="577">
        <v>66404.100000000006</v>
      </c>
      <c r="AR39" s="577">
        <v>97408.05</v>
      </c>
      <c r="AS39" s="577">
        <v>0</v>
      </c>
      <c r="AT39" s="577">
        <v>36330.9</v>
      </c>
      <c r="AU39" s="577">
        <v>9394.5499999999993</v>
      </c>
      <c r="AV39" s="577">
        <v>3846.72</v>
      </c>
      <c r="AW39" s="577">
        <v>350.26</v>
      </c>
      <c r="AX39" s="577">
        <v>0</v>
      </c>
      <c r="AY39" s="577">
        <v>29434.639999999999</v>
      </c>
      <c r="AZ39" s="577">
        <v>5521.98</v>
      </c>
      <c r="BA39" s="577">
        <v>7943.25</v>
      </c>
      <c r="BB39" s="577">
        <v>4483.7</v>
      </c>
      <c r="BC39" s="577">
        <v>22698.99</v>
      </c>
      <c r="BD39" s="577">
        <v>30239.4</v>
      </c>
      <c r="BE39" s="577">
        <v>9877.08</v>
      </c>
      <c r="BF39" s="577">
        <v>71759.820000000007</v>
      </c>
      <c r="BG39" s="577">
        <v>5407.33</v>
      </c>
      <c r="BH39" s="576">
        <v>0</v>
      </c>
      <c r="BI39" s="576">
        <v>10211.969999999999</v>
      </c>
      <c r="BJ39" s="576">
        <v>3980.06</v>
      </c>
      <c r="BK39" s="576">
        <v>0</v>
      </c>
      <c r="BL39" s="576">
        <v>2459.04</v>
      </c>
      <c r="BM39" s="576">
        <v>6477.81</v>
      </c>
      <c r="BN39" s="577">
        <f t="shared" si="3"/>
        <v>28536.210000000003</v>
      </c>
      <c r="BO39" s="577">
        <v>0</v>
      </c>
      <c r="BP39" s="577">
        <v>9188.2900000000009</v>
      </c>
      <c r="BQ39" s="577">
        <v>7960.79</v>
      </c>
      <c r="BR39" s="577">
        <v>8348.0300000000007</v>
      </c>
      <c r="BS39" s="577">
        <v>87799.12</v>
      </c>
      <c r="BT39" s="577">
        <v>9167.48</v>
      </c>
      <c r="BU39" s="577">
        <v>32745.01</v>
      </c>
      <c r="BV39" s="577">
        <v>27625.69</v>
      </c>
      <c r="BW39" s="577">
        <v>0</v>
      </c>
      <c r="BX39" s="577">
        <v>0</v>
      </c>
      <c r="BY39" s="577">
        <v>87431</v>
      </c>
      <c r="BZ39" s="577">
        <v>0</v>
      </c>
      <c r="CA39" s="577">
        <v>0</v>
      </c>
      <c r="CB39" s="577">
        <v>6661.75</v>
      </c>
      <c r="CC39" s="577">
        <v>0</v>
      </c>
      <c r="CD39" s="577">
        <v>87431</v>
      </c>
      <c r="CE39" s="577">
        <v>6000</v>
      </c>
      <c r="CF39" s="577">
        <v>0</v>
      </c>
      <c r="CG39" s="577">
        <v>35905.11</v>
      </c>
      <c r="CH39" s="577">
        <v>40673.730000000003</v>
      </c>
      <c r="CI39" s="577">
        <v>17514.43</v>
      </c>
      <c r="CJ39" s="576">
        <v>0</v>
      </c>
      <c r="CK39" s="576">
        <v>0</v>
      </c>
      <c r="CL39" s="576">
        <v>0</v>
      </c>
      <c r="CM39" s="576">
        <v>0</v>
      </c>
      <c r="CN39" s="577">
        <v>50125</v>
      </c>
      <c r="CO39" s="577">
        <v>264582</v>
      </c>
      <c r="CP39" s="577">
        <v>0</v>
      </c>
      <c r="CQ39" s="577">
        <v>0</v>
      </c>
      <c r="CR39" s="577">
        <v>0</v>
      </c>
      <c r="CS39" s="577">
        <v>0</v>
      </c>
      <c r="CU39" s="495">
        <f t="shared" si="4"/>
        <v>314707</v>
      </c>
      <c r="CV39" s="495">
        <f t="shared" si="5"/>
        <v>0</v>
      </c>
      <c r="CW39" s="495">
        <f t="shared" si="6"/>
        <v>314707</v>
      </c>
      <c r="CX39" s="495">
        <f t="shared" si="9"/>
        <v>1980521.4</v>
      </c>
      <c r="CY39" s="495">
        <f t="shared" si="7"/>
        <v>1964437.4900000005</v>
      </c>
      <c r="CZ39" s="495">
        <f t="shared" si="10"/>
        <v>1692589.78</v>
      </c>
      <c r="DA39" s="495">
        <f t="shared" si="8"/>
        <v>16083.909999999451</v>
      </c>
    </row>
    <row r="40" spans="1:105" ht="15">
      <c r="A40" s="576">
        <v>302</v>
      </c>
      <c r="B40" s="576">
        <v>2072</v>
      </c>
      <c r="C40" s="576" t="s">
        <v>88</v>
      </c>
      <c r="D40" s="576" t="s">
        <v>586</v>
      </c>
      <c r="E40" s="576" t="s">
        <v>602</v>
      </c>
      <c r="F40" s="576" t="s">
        <v>588</v>
      </c>
      <c r="G40" s="576">
        <v>0</v>
      </c>
      <c r="H40" s="576">
        <v>0</v>
      </c>
      <c r="I40" s="576" t="s">
        <v>853</v>
      </c>
      <c r="J40" s="576" t="s">
        <v>854</v>
      </c>
      <c r="K40" s="576" t="s">
        <v>591</v>
      </c>
      <c r="L40" s="576" t="s">
        <v>592</v>
      </c>
      <c r="M40" s="576" t="s">
        <v>591</v>
      </c>
      <c r="N40" s="576" t="s">
        <v>593</v>
      </c>
      <c r="O40" s="576" t="s">
        <v>188</v>
      </c>
      <c r="P40" s="576" t="s">
        <v>188</v>
      </c>
      <c r="Q40" s="577">
        <v>80112.149999999994</v>
      </c>
      <c r="R40" s="577">
        <v>0</v>
      </c>
      <c r="S40" s="577">
        <v>31043.919999999998</v>
      </c>
      <c r="T40" s="577">
        <v>3179212</v>
      </c>
      <c r="U40" s="577">
        <v>0</v>
      </c>
      <c r="V40" s="577">
        <v>839258.57</v>
      </c>
      <c r="W40" s="577">
        <v>0</v>
      </c>
      <c r="X40" s="577">
        <v>222320.84</v>
      </c>
      <c r="Y40" s="577">
        <v>3229.61</v>
      </c>
      <c r="Z40" s="577">
        <v>188168.9</v>
      </c>
      <c r="AA40" s="577">
        <v>38812.31</v>
      </c>
      <c r="AB40" s="577">
        <v>100111.3</v>
      </c>
      <c r="AC40" s="577">
        <v>6752.32</v>
      </c>
      <c r="AD40" s="577">
        <v>21125</v>
      </c>
      <c r="AE40" s="577">
        <v>3556.8</v>
      </c>
      <c r="AF40" s="577">
        <v>28932.48</v>
      </c>
      <c r="AG40" s="577">
        <v>18844.259999999998</v>
      </c>
      <c r="AH40" s="577">
        <v>0</v>
      </c>
      <c r="AI40" s="577">
        <v>0</v>
      </c>
      <c r="AJ40" s="577">
        <v>0</v>
      </c>
      <c r="AK40" s="577">
        <v>12007.76</v>
      </c>
      <c r="AL40" s="577">
        <v>93540</v>
      </c>
      <c r="AM40" s="580">
        <f t="shared" si="2"/>
        <v>105547.76</v>
      </c>
      <c r="AN40" s="577">
        <v>1819663.53</v>
      </c>
      <c r="AO40" s="577">
        <v>0</v>
      </c>
      <c r="AP40" s="577">
        <v>1168706.01</v>
      </c>
      <c r="AQ40" s="577">
        <v>54566.77</v>
      </c>
      <c r="AR40" s="577">
        <v>178167.61</v>
      </c>
      <c r="AS40" s="577">
        <v>0</v>
      </c>
      <c r="AT40" s="577">
        <v>75760.12</v>
      </c>
      <c r="AU40" s="577">
        <v>74280.070000000007</v>
      </c>
      <c r="AV40" s="577">
        <v>8827.18</v>
      </c>
      <c r="AW40" s="577">
        <v>15510.37</v>
      </c>
      <c r="AX40" s="577">
        <v>14803.2</v>
      </c>
      <c r="AY40" s="577">
        <v>30076.62</v>
      </c>
      <c r="AZ40" s="577">
        <v>10757.6</v>
      </c>
      <c r="BA40" s="577">
        <v>85608.76</v>
      </c>
      <c r="BB40" s="577">
        <v>10092.129999999999</v>
      </c>
      <c r="BC40" s="577">
        <v>62450.38</v>
      </c>
      <c r="BD40" s="577">
        <v>56190.89</v>
      </c>
      <c r="BE40" s="577">
        <v>22636.97</v>
      </c>
      <c r="BF40" s="577">
        <v>78490.66</v>
      </c>
      <c r="BG40" s="577">
        <v>14068.54</v>
      </c>
      <c r="BH40" s="576">
        <v>0</v>
      </c>
      <c r="BI40" s="576">
        <v>7050.61</v>
      </c>
      <c r="BJ40" s="576">
        <v>10699.74</v>
      </c>
      <c r="BK40" s="576">
        <v>736.68</v>
      </c>
      <c r="BL40" s="576">
        <v>5012.63</v>
      </c>
      <c r="BM40" s="576">
        <v>6786.48</v>
      </c>
      <c r="BN40" s="577">
        <f t="shared" si="3"/>
        <v>44354.679999999993</v>
      </c>
      <c r="BO40" s="577">
        <v>0</v>
      </c>
      <c r="BP40" s="577">
        <v>7444.47</v>
      </c>
      <c r="BQ40" s="577">
        <v>17419.14</v>
      </c>
      <c r="BR40" s="577">
        <v>7769.31</v>
      </c>
      <c r="BS40" s="577">
        <v>167109.67000000001</v>
      </c>
      <c r="BT40" s="577">
        <v>91161.24</v>
      </c>
      <c r="BU40" s="577">
        <v>562788.96</v>
      </c>
      <c r="BV40" s="577">
        <v>23742.959999999999</v>
      </c>
      <c r="BW40" s="577">
        <v>0</v>
      </c>
      <c r="BX40" s="577">
        <v>0</v>
      </c>
      <c r="BY40" s="577">
        <v>4473</v>
      </c>
      <c r="BZ40" s="577">
        <v>0</v>
      </c>
      <c r="CA40" s="577">
        <v>0</v>
      </c>
      <c r="CB40" s="577">
        <v>13294</v>
      </c>
      <c r="CC40" s="577">
        <v>0</v>
      </c>
      <c r="CD40" s="577">
        <v>4473</v>
      </c>
      <c r="CE40" s="577">
        <v>6000</v>
      </c>
      <c r="CF40" s="577">
        <v>0</v>
      </c>
      <c r="CG40" s="577">
        <v>33715.919999999998</v>
      </c>
      <c r="CH40" s="577">
        <v>6090</v>
      </c>
      <c r="CI40" s="577">
        <v>0</v>
      </c>
      <c r="CJ40" s="576">
        <v>0</v>
      </c>
      <c r="CK40" s="576">
        <v>0</v>
      </c>
      <c r="CL40" s="576">
        <v>2635</v>
      </c>
      <c r="CM40" s="576">
        <v>6370</v>
      </c>
      <c r="CN40" s="577">
        <v>18665</v>
      </c>
      <c r="CO40" s="577">
        <v>124467</v>
      </c>
      <c r="CP40" s="577">
        <v>0</v>
      </c>
      <c r="CQ40" s="577">
        <v>0</v>
      </c>
      <c r="CR40" s="577">
        <v>0</v>
      </c>
      <c r="CS40" s="577">
        <v>0</v>
      </c>
      <c r="CU40" s="495">
        <f t="shared" si="4"/>
        <v>143132</v>
      </c>
      <c r="CV40" s="495">
        <f t="shared" si="5"/>
        <v>0</v>
      </c>
      <c r="CW40" s="495">
        <f t="shared" si="6"/>
        <v>143132</v>
      </c>
      <c r="CX40" s="495">
        <f t="shared" si="9"/>
        <v>4755872.1500000004</v>
      </c>
      <c r="CY40" s="495">
        <f t="shared" si="7"/>
        <v>4692852.3000000017</v>
      </c>
      <c r="CZ40" s="495">
        <f t="shared" si="10"/>
        <v>4018470.57</v>
      </c>
      <c r="DA40" s="495">
        <f t="shared" si="8"/>
        <v>63019.849999998696</v>
      </c>
    </row>
    <row r="41" spans="1:105" ht="15">
      <c r="A41" s="576">
        <v>302</v>
      </c>
      <c r="B41" s="576">
        <v>2073</v>
      </c>
      <c r="C41" s="576" t="s">
        <v>269</v>
      </c>
      <c r="D41" s="576" t="s">
        <v>594</v>
      </c>
      <c r="E41" s="576"/>
      <c r="F41" s="576" t="s">
        <v>588</v>
      </c>
      <c r="G41" s="576">
        <v>0</v>
      </c>
      <c r="H41" s="576">
        <v>1</v>
      </c>
      <c r="I41" s="576" t="s">
        <v>853</v>
      </c>
      <c r="J41" s="576" t="s">
        <v>854</v>
      </c>
      <c r="K41" s="576" t="s">
        <v>591</v>
      </c>
      <c r="L41" s="576" t="s">
        <v>592</v>
      </c>
      <c r="M41" s="576" t="s">
        <v>591</v>
      </c>
      <c r="N41" s="576" t="s">
        <v>593</v>
      </c>
      <c r="O41" s="576" t="s">
        <v>188</v>
      </c>
      <c r="P41" s="576" t="s">
        <v>188</v>
      </c>
      <c r="Q41" s="577">
        <v>-56832.03</v>
      </c>
      <c r="R41" s="577">
        <v>-1965</v>
      </c>
      <c r="S41" s="577">
        <v>12056.07</v>
      </c>
      <c r="T41" s="577">
        <v>3683983.72</v>
      </c>
      <c r="U41" s="577">
        <v>0</v>
      </c>
      <c r="V41" s="577">
        <v>353299.34</v>
      </c>
      <c r="W41" s="577">
        <v>0</v>
      </c>
      <c r="X41" s="577">
        <v>310242</v>
      </c>
      <c r="Y41" s="577">
        <v>11862.87</v>
      </c>
      <c r="Z41" s="577">
        <v>137787.26</v>
      </c>
      <c r="AA41" s="577">
        <v>25535</v>
      </c>
      <c r="AB41" s="577">
        <v>130937.33</v>
      </c>
      <c r="AC41" s="577">
        <v>1164.18</v>
      </c>
      <c r="AD41" s="577">
        <v>0</v>
      </c>
      <c r="AE41" s="577">
        <v>0</v>
      </c>
      <c r="AF41" s="577">
        <v>27998.27</v>
      </c>
      <c r="AG41" s="577">
        <v>4573.3599999999997</v>
      </c>
      <c r="AH41" s="577">
        <v>0</v>
      </c>
      <c r="AI41" s="577">
        <v>0</v>
      </c>
      <c r="AJ41" s="577">
        <v>0</v>
      </c>
      <c r="AK41" s="577">
        <v>19792.5</v>
      </c>
      <c r="AL41" s="577">
        <v>105438</v>
      </c>
      <c r="AM41" s="580">
        <f t="shared" si="2"/>
        <v>125230.5</v>
      </c>
      <c r="AN41" s="577">
        <v>1841276.16</v>
      </c>
      <c r="AO41" s="577">
        <v>0</v>
      </c>
      <c r="AP41" s="577">
        <v>1181321.1000000001</v>
      </c>
      <c r="AQ41" s="577">
        <v>203584.82</v>
      </c>
      <c r="AR41" s="577">
        <v>169049.2</v>
      </c>
      <c r="AS41" s="577">
        <v>1331.89</v>
      </c>
      <c r="AT41" s="577">
        <v>238114.21</v>
      </c>
      <c r="AU41" s="577">
        <v>54093.440000000002</v>
      </c>
      <c r="AV41" s="577">
        <v>6910.49</v>
      </c>
      <c r="AW41" s="577">
        <v>1047.46</v>
      </c>
      <c r="AX41" s="577">
        <v>0</v>
      </c>
      <c r="AY41" s="577">
        <v>37068.75</v>
      </c>
      <c r="AZ41" s="577">
        <v>16037.51</v>
      </c>
      <c r="BA41" s="577">
        <v>12642.29</v>
      </c>
      <c r="BB41" s="577">
        <v>8136.51</v>
      </c>
      <c r="BC41" s="577">
        <v>69980.81</v>
      </c>
      <c r="BD41" s="577">
        <v>62598.400000000001</v>
      </c>
      <c r="BE41" s="577">
        <v>34409.99</v>
      </c>
      <c r="BF41" s="577">
        <v>75122.98</v>
      </c>
      <c r="BG41" s="577">
        <v>16017.46</v>
      </c>
      <c r="BH41" s="576">
        <v>0</v>
      </c>
      <c r="BI41" s="576">
        <v>9237.4599999999991</v>
      </c>
      <c r="BJ41" s="576">
        <v>10567.3</v>
      </c>
      <c r="BK41" s="576">
        <v>0</v>
      </c>
      <c r="BL41" s="576">
        <v>6303.35</v>
      </c>
      <c r="BM41" s="576">
        <v>11828</v>
      </c>
      <c r="BN41" s="577">
        <f t="shared" si="3"/>
        <v>53953.57</v>
      </c>
      <c r="BO41" s="577">
        <v>0</v>
      </c>
      <c r="BP41" s="577">
        <v>18529</v>
      </c>
      <c r="BQ41" s="577">
        <v>28561.66</v>
      </c>
      <c r="BR41" s="577">
        <v>18765.650000000001</v>
      </c>
      <c r="BS41" s="577">
        <v>282340.37</v>
      </c>
      <c r="BT41" s="577">
        <v>68269.399999999994</v>
      </c>
      <c r="BU41" s="577">
        <v>195478.14</v>
      </c>
      <c r="BV41" s="577">
        <v>34220</v>
      </c>
      <c r="BW41" s="577">
        <v>0</v>
      </c>
      <c r="BX41" s="577">
        <v>0</v>
      </c>
      <c r="BY41" s="577">
        <v>0</v>
      </c>
      <c r="BZ41" s="577">
        <v>0</v>
      </c>
      <c r="CA41" s="577">
        <v>-1965</v>
      </c>
      <c r="CB41" s="577">
        <v>10941.25</v>
      </c>
      <c r="CC41" s="577">
        <v>10000</v>
      </c>
      <c r="CD41" s="577">
        <v>0</v>
      </c>
      <c r="CE41" s="577">
        <v>6000</v>
      </c>
      <c r="CF41" s="577">
        <v>0</v>
      </c>
      <c r="CG41" s="577">
        <v>32997.32</v>
      </c>
      <c r="CH41" s="577">
        <v>0</v>
      </c>
      <c r="CI41" s="577">
        <v>0</v>
      </c>
      <c r="CJ41" s="576">
        <v>0</v>
      </c>
      <c r="CK41" s="576">
        <v>0</v>
      </c>
      <c r="CL41" s="576">
        <v>0</v>
      </c>
      <c r="CM41" s="576">
        <v>0</v>
      </c>
      <c r="CN41" s="577">
        <v>30000</v>
      </c>
      <c r="CO41" s="577">
        <v>12938</v>
      </c>
      <c r="CP41" s="577">
        <v>0</v>
      </c>
      <c r="CQ41" s="577">
        <v>0</v>
      </c>
      <c r="CR41" s="577">
        <v>0</v>
      </c>
      <c r="CS41" s="577">
        <v>0</v>
      </c>
      <c r="CU41" s="495">
        <f t="shared" si="4"/>
        <v>42938</v>
      </c>
      <c r="CV41" s="495">
        <f t="shared" si="5"/>
        <v>0</v>
      </c>
      <c r="CW41" s="495">
        <f t="shared" si="6"/>
        <v>42938</v>
      </c>
      <c r="CX41" s="495">
        <f t="shared" si="9"/>
        <v>4812613.83</v>
      </c>
      <c r="CY41" s="495">
        <f t="shared" si="7"/>
        <v>4712843.7999999989</v>
      </c>
      <c r="CZ41" s="495">
        <f t="shared" si="10"/>
        <v>4037283.06</v>
      </c>
      <c r="DA41" s="495">
        <f t="shared" si="8"/>
        <v>99770.030000001192</v>
      </c>
    </row>
    <row r="42" spans="1:105" ht="15">
      <c r="A42" s="576">
        <v>302</v>
      </c>
      <c r="B42" s="576">
        <v>2076</v>
      </c>
      <c r="C42" s="576" t="s">
        <v>370</v>
      </c>
      <c r="D42" s="576" t="s">
        <v>594</v>
      </c>
      <c r="E42" s="576"/>
      <c r="F42" s="576" t="s">
        <v>588</v>
      </c>
      <c r="G42" s="576">
        <v>0</v>
      </c>
      <c r="H42" s="576">
        <v>0</v>
      </c>
      <c r="I42" s="576" t="s">
        <v>853</v>
      </c>
      <c r="J42" s="576" t="s">
        <v>854</v>
      </c>
      <c r="K42" s="576" t="s">
        <v>591</v>
      </c>
      <c r="L42" s="576" t="s">
        <v>592</v>
      </c>
      <c r="M42" s="576" t="s">
        <v>591</v>
      </c>
      <c r="N42" s="576" t="s">
        <v>593</v>
      </c>
      <c r="O42" s="576" t="s">
        <v>188</v>
      </c>
      <c r="P42" s="576" t="s">
        <v>188</v>
      </c>
      <c r="Q42" s="577">
        <v>180558.93</v>
      </c>
      <c r="R42" s="577">
        <v>0</v>
      </c>
      <c r="S42" s="577">
        <v>20407.05</v>
      </c>
      <c r="T42" s="577">
        <v>1777480.14</v>
      </c>
      <c r="U42" s="577">
        <v>0</v>
      </c>
      <c r="V42" s="577">
        <v>186796.9</v>
      </c>
      <c r="W42" s="577">
        <v>0</v>
      </c>
      <c r="X42" s="577">
        <v>125800</v>
      </c>
      <c r="Y42" s="577">
        <v>15213.11</v>
      </c>
      <c r="Z42" s="577">
        <v>133365.42000000001</v>
      </c>
      <c r="AA42" s="577">
        <v>80573.06</v>
      </c>
      <c r="AB42" s="577">
        <v>23632.23</v>
      </c>
      <c r="AC42" s="577">
        <v>323.07</v>
      </c>
      <c r="AD42" s="577">
        <v>0</v>
      </c>
      <c r="AE42" s="577">
        <v>0</v>
      </c>
      <c r="AF42" s="577">
        <v>6302.55</v>
      </c>
      <c r="AG42" s="577">
        <v>13238.88</v>
      </c>
      <c r="AH42" s="577">
        <v>0</v>
      </c>
      <c r="AI42" s="577">
        <v>0</v>
      </c>
      <c r="AJ42" s="577">
        <v>0</v>
      </c>
      <c r="AK42" s="577">
        <v>9236.25</v>
      </c>
      <c r="AL42" s="577">
        <v>50415</v>
      </c>
      <c r="AM42" s="580">
        <f t="shared" si="2"/>
        <v>59651.25</v>
      </c>
      <c r="AN42" s="577">
        <v>1030854.02</v>
      </c>
      <c r="AO42" s="577">
        <v>2788.1</v>
      </c>
      <c r="AP42" s="577">
        <v>395050.8</v>
      </c>
      <c r="AQ42" s="577">
        <v>30801.48</v>
      </c>
      <c r="AR42" s="577">
        <v>157286.41</v>
      </c>
      <c r="AS42" s="577">
        <v>0</v>
      </c>
      <c r="AT42" s="577">
        <v>56591.87</v>
      </c>
      <c r="AU42" s="577">
        <v>29997.79</v>
      </c>
      <c r="AV42" s="577">
        <v>1684.89</v>
      </c>
      <c r="AW42" s="577">
        <v>434.92</v>
      </c>
      <c r="AX42" s="577">
        <v>0</v>
      </c>
      <c r="AY42" s="577">
        <v>41306.78</v>
      </c>
      <c r="AZ42" s="577">
        <v>1661.61</v>
      </c>
      <c r="BA42" s="577">
        <v>69353.52</v>
      </c>
      <c r="BB42" s="577">
        <v>20743.009999999998</v>
      </c>
      <c r="BC42" s="577">
        <v>76197.03</v>
      </c>
      <c r="BD42" s="577">
        <v>37500</v>
      </c>
      <c r="BE42" s="577">
        <v>12560.18</v>
      </c>
      <c r="BF42" s="577">
        <v>48058.36</v>
      </c>
      <c r="BG42" s="577">
        <v>7894</v>
      </c>
      <c r="BH42" s="576">
        <v>0</v>
      </c>
      <c r="BI42" s="576">
        <v>8084.67</v>
      </c>
      <c r="BJ42" s="576">
        <v>5874.97</v>
      </c>
      <c r="BK42" s="576">
        <v>374.99</v>
      </c>
      <c r="BL42" s="576">
        <v>149.1</v>
      </c>
      <c r="BM42" s="576">
        <v>12682.58</v>
      </c>
      <c r="BN42" s="577">
        <f t="shared" si="3"/>
        <v>35060.31</v>
      </c>
      <c r="BO42" s="577">
        <v>0</v>
      </c>
      <c r="BP42" s="577">
        <v>3889.67</v>
      </c>
      <c r="BQ42" s="577">
        <v>11816.76</v>
      </c>
      <c r="BR42" s="577">
        <v>11122.76</v>
      </c>
      <c r="BS42" s="577">
        <v>101018.49</v>
      </c>
      <c r="BT42" s="577">
        <v>25237.18</v>
      </c>
      <c r="BU42" s="577">
        <v>235294.2</v>
      </c>
      <c r="BV42" s="577">
        <v>33654.400000000001</v>
      </c>
      <c r="BW42" s="577">
        <v>0</v>
      </c>
      <c r="BX42" s="577">
        <v>0</v>
      </c>
      <c r="BY42" s="577">
        <v>14366</v>
      </c>
      <c r="BZ42" s="577">
        <v>0</v>
      </c>
      <c r="CA42" s="577">
        <v>0</v>
      </c>
      <c r="CB42" s="577">
        <v>7786.75</v>
      </c>
      <c r="CC42" s="577">
        <v>13400</v>
      </c>
      <c r="CD42" s="577">
        <v>14366</v>
      </c>
      <c r="CE42" s="577">
        <v>6000</v>
      </c>
      <c r="CF42" s="577">
        <v>0</v>
      </c>
      <c r="CG42" s="577">
        <v>42558.400000000001</v>
      </c>
      <c r="CH42" s="577">
        <v>13400</v>
      </c>
      <c r="CI42" s="577">
        <v>0</v>
      </c>
      <c r="CJ42" s="576">
        <v>0</v>
      </c>
      <c r="CK42" s="576">
        <v>0</v>
      </c>
      <c r="CL42" s="576">
        <v>0</v>
      </c>
      <c r="CM42" s="576">
        <v>0</v>
      </c>
      <c r="CN42" s="577">
        <v>6528</v>
      </c>
      <c r="CO42" s="577">
        <v>112077</v>
      </c>
      <c r="CP42" s="577">
        <v>1.4</v>
      </c>
      <c r="CQ42" s="577">
        <v>0</v>
      </c>
      <c r="CR42" s="577">
        <v>0</v>
      </c>
      <c r="CS42" s="577">
        <v>0</v>
      </c>
      <c r="CU42" s="495">
        <f t="shared" si="4"/>
        <v>118605</v>
      </c>
      <c r="CV42" s="495">
        <f t="shared" si="5"/>
        <v>1.4</v>
      </c>
      <c r="CW42" s="495">
        <f t="shared" si="6"/>
        <v>118605</v>
      </c>
      <c r="CX42" s="495">
        <f t="shared" si="9"/>
        <v>2422376.6099999994</v>
      </c>
      <c r="CY42" s="495">
        <f t="shared" si="7"/>
        <v>2484330.54</v>
      </c>
      <c r="CZ42" s="495">
        <f t="shared" si="10"/>
        <v>1964277.0399999998</v>
      </c>
      <c r="DA42" s="495">
        <f t="shared" si="8"/>
        <v>-61953.930000000633</v>
      </c>
    </row>
    <row r="43" spans="1:105" ht="15">
      <c r="A43" s="576">
        <v>302</v>
      </c>
      <c r="B43" s="576">
        <v>2077</v>
      </c>
      <c r="C43" s="576" t="s">
        <v>293</v>
      </c>
      <c r="D43" s="576" t="s">
        <v>594</v>
      </c>
      <c r="E43" s="576"/>
      <c r="F43" s="576" t="s">
        <v>588</v>
      </c>
      <c r="G43" s="576">
        <v>0</v>
      </c>
      <c r="H43" s="576">
        <v>2</v>
      </c>
      <c r="I43" s="576" t="s">
        <v>853</v>
      </c>
      <c r="J43" s="576" t="s">
        <v>854</v>
      </c>
      <c r="K43" s="576" t="s">
        <v>591</v>
      </c>
      <c r="L43" s="576" t="s">
        <v>592</v>
      </c>
      <c r="M43" s="576" t="s">
        <v>591</v>
      </c>
      <c r="N43" s="576" t="s">
        <v>593</v>
      </c>
      <c r="O43" s="576" t="s">
        <v>188</v>
      </c>
      <c r="P43" s="576" t="s">
        <v>188</v>
      </c>
      <c r="Q43" s="577">
        <v>-888937.16</v>
      </c>
      <c r="R43" s="577">
        <v>-796.15</v>
      </c>
      <c r="S43" s="577">
        <v>4432.05</v>
      </c>
      <c r="T43" s="577">
        <v>6163216.8200000003</v>
      </c>
      <c r="U43" s="577">
        <v>0</v>
      </c>
      <c r="V43" s="577">
        <v>827162.28</v>
      </c>
      <c r="W43" s="577">
        <v>0</v>
      </c>
      <c r="X43" s="577">
        <v>598495</v>
      </c>
      <c r="Y43" s="577">
        <v>11633.65</v>
      </c>
      <c r="Z43" s="577">
        <v>1489.47</v>
      </c>
      <c r="AA43" s="577">
        <v>8876.5</v>
      </c>
      <c r="AB43" s="577">
        <v>207592.37</v>
      </c>
      <c r="AC43" s="577">
        <v>14261.49</v>
      </c>
      <c r="AD43" s="577">
        <v>0</v>
      </c>
      <c r="AE43" s="577">
        <v>1565.36</v>
      </c>
      <c r="AF43" s="577">
        <v>74299.850000000006</v>
      </c>
      <c r="AG43" s="577">
        <v>49428.53</v>
      </c>
      <c r="AH43" s="577">
        <v>0</v>
      </c>
      <c r="AI43" s="577">
        <v>0</v>
      </c>
      <c r="AJ43" s="577">
        <v>0</v>
      </c>
      <c r="AK43" s="577">
        <v>42068.56</v>
      </c>
      <c r="AL43" s="577">
        <v>244459.23</v>
      </c>
      <c r="AM43" s="580">
        <f t="shared" si="2"/>
        <v>286527.79000000004</v>
      </c>
      <c r="AN43" s="577">
        <v>3486471.52</v>
      </c>
      <c r="AO43" s="577">
        <v>0</v>
      </c>
      <c r="AP43" s="577">
        <v>2055426.73</v>
      </c>
      <c r="AQ43" s="577">
        <v>392957.3</v>
      </c>
      <c r="AR43" s="577">
        <v>279293.36</v>
      </c>
      <c r="AS43" s="577">
        <v>141015.44</v>
      </c>
      <c r="AT43" s="577">
        <v>373383.28</v>
      </c>
      <c r="AU43" s="577">
        <v>34492.21</v>
      </c>
      <c r="AV43" s="577">
        <v>8122.47</v>
      </c>
      <c r="AW43" s="577">
        <v>0</v>
      </c>
      <c r="AX43" s="577">
        <v>0</v>
      </c>
      <c r="AY43" s="577">
        <v>84095.19</v>
      </c>
      <c r="AZ43" s="577">
        <v>46506.96</v>
      </c>
      <c r="BA43" s="577">
        <v>14742.26</v>
      </c>
      <c r="BB43" s="577">
        <v>35222.449999999997</v>
      </c>
      <c r="BC43" s="577">
        <v>175369.9</v>
      </c>
      <c r="BD43" s="577">
        <v>13747.3</v>
      </c>
      <c r="BE43" s="577">
        <v>59692.45</v>
      </c>
      <c r="BF43" s="577">
        <v>266009.57</v>
      </c>
      <c r="BG43" s="577">
        <v>47092.25</v>
      </c>
      <c r="BH43" s="576">
        <v>0</v>
      </c>
      <c r="BI43" s="576">
        <v>0</v>
      </c>
      <c r="BJ43" s="576">
        <v>0</v>
      </c>
      <c r="BK43" s="576">
        <v>0</v>
      </c>
      <c r="BL43" s="576">
        <v>0</v>
      </c>
      <c r="BM43" s="576">
        <v>0</v>
      </c>
      <c r="BN43" s="577">
        <f t="shared" si="3"/>
        <v>47092.25</v>
      </c>
      <c r="BO43" s="577">
        <v>0</v>
      </c>
      <c r="BP43" s="577">
        <v>84148.41</v>
      </c>
      <c r="BQ43" s="577">
        <v>23629.29</v>
      </c>
      <c r="BR43" s="577">
        <v>77019.460000000006</v>
      </c>
      <c r="BS43" s="577">
        <v>254408.09</v>
      </c>
      <c r="BT43" s="577">
        <v>158588.26</v>
      </c>
      <c r="BU43" s="577">
        <v>307289.78000000003</v>
      </c>
      <c r="BV43" s="577">
        <v>86623.27</v>
      </c>
      <c r="BW43" s="577">
        <v>0</v>
      </c>
      <c r="BX43" s="577">
        <v>0</v>
      </c>
      <c r="BY43" s="577">
        <v>6234.75</v>
      </c>
      <c r="BZ43" s="577">
        <v>0</v>
      </c>
      <c r="CA43" s="577">
        <v>-796.15</v>
      </c>
      <c r="CB43" s="577">
        <v>14325.2</v>
      </c>
      <c r="CC43" s="577">
        <v>0</v>
      </c>
      <c r="CD43" s="577">
        <v>6234.75</v>
      </c>
      <c r="CE43" s="577">
        <v>6000</v>
      </c>
      <c r="CF43" s="577">
        <v>0</v>
      </c>
      <c r="CG43" s="577">
        <v>0</v>
      </c>
      <c r="CH43" s="577">
        <v>0</v>
      </c>
      <c r="CI43" s="577">
        <v>20560</v>
      </c>
      <c r="CJ43" s="576">
        <v>0</v>
      </c>
      <c r="CK43" s="576">
        <v>0</v>
      </c>
      <c r="CL43" s="576">
        <v>0</v>
      </c>
      <c r="CM43" s="576">
        <v>0</v>
      </c>
      <c r="CN43" s="577">
        <v>0</v>
      </c>
      <c r="CO43" s="577">
        <v>-1155970</v>
      </c>
      <c r="CP43" s="577">
        <v>4432</v>
      </c>
      <c r="CQ43" s="577">
        <v>0</v>
      </c>
      <c r="CR43" s="577">
        <v>0</v>
      </c>
      <c r="CS43" s="577">
        <v>0</v>
      </c>
      <c r="CU43" s="495">
        <f t="shared" si="4"/>
        <v>-1155970</v>
      </c>
      <c r="CV43" s="495">
        <f t="shared" si="5"/>
        <v>4432</v>
      </c>
      <c r="CW43" s="495">
        <f t="shared" si="6"/>
        <v>-1155970</v>
      </c>
      <c r="CX43" s="495">
        <f t="shared" si="9"/>
        <v>8244549.1100000013</v>
      </c>
      <c r="CY43" s="495">
        <f t="shared" si="7"/>
        <v>8511581.9500000011</v>
      </c>
      <c r="CZ43" s="495">
        <f t="shared" si="10"/>
        <v>6990379.1000000006</v>
      </c>
      <c r="DA43" s="495">
        <f t="shared" si="8"/>
        <v>-267032.83999999985</v>
      </c>
    </row>
    <row r="44" spans="1:105" ht="15">
      <c r="A44" s="576">
        <v>302</v>
      </c>
      <c r="B44" s="576">
        <v>2078</v>
      </c>
      <c r="C44" s="576" t="s">
        <v>282</v>
      </c>
      <c r="D44" s="576" t="s">
        <v>594</v>
      </c>
      <c r="E44" s="576"/>
      <c r="F44" s="576" t="s">
        <v>588</v>
      </c>
      <c r="G44" s="576">
        <v>0</v>
      </c>
      <c r="H44" s="576">
        <v>1</v>
      </c>
      <c r="I44" s="576" t="s">
        <v>853</v>
      </c>
      <c r="J44" s="576" t="s">
        <v>854</v>
      </c>
      <c r="K44" s="576" t="s">
        <v>591</v>
      </c>
      <c r="L44" s="576" t="s">
        <v>592</v>
      </c>
      <c r="M44" s="576" t="s">
        <v>591</v>
      </c>
      <c r="N44" s="576" t="s">
        <v>593</v>
      </c>
      <c r="O44" s="576" t="s">
        <v>188</v>
      </c>
      <c r="P44" s="576" t="s">
        <v>188</v>
      </c>
      <c r="Q44" s="577">
        <v>-256243.17</v>
      </c>
      <c r="R44" s="577">
        <v>0</v>
      </c>
      <c r="S44" s="577">
        <v>1378</v>
      </c>
      <c r="T44" s="577">
        <v>1807042.92</v>
      </c>
      <c r="U44" s="577">
        <v>0</v>
      </c>
      <c r="V44" s="577">
        <v>65673.95</v>
      </c>
      <c r="W44" s="577">
        <v>0</v>
      </c>
      <c r="X44" s="577">
        <v>24280</v>
      </c>
      <c r="Y44" s="577">
        <v>62552.78</v>
      </c>
      <c r="Z44" s="577">
        <v>138665.9</v>
      </c>
      <c r="AA44" s="577">
        <v>17201.849999999999</v>
      </c>
      <c r="AB44" s="577">
        <v>0</v>
      </c>
      <c r="AC44" s="577">
        <v>35111.56</v>
      </c>
      <c r="AD44" s="577">
        <v>0</v>
      </c>
      <c r="AE44" s="577">
        <v>1400</v>
      </c>
      <c r="AF44" s="577">
        <v>20939.53</v>
      </c>
      <c r="AG44" s="577">
        <v>233015.1</v>
      </c>
      <c r="AH44" s="577">
        <v>0</v>
      </c>
      <c r="AI44" s="577">
        <v>0</v>
      </c>
      <c r="AJ44" s="577">
        <v>0</v>
      </c>
      <c r="AK44" s="577">
        <v>5230.83</v>
      </c>
      <c r="AL44" s="577">
        <v>41026</v>
      </c>
      <c r="AM44" s="580">
        <f t="shared" si="2"/>
        <v>46256.83</v>
      </c>
      <c r="AN44" s="577">
        <v>1163642.6299999999</v>
      </c>
      <c r="AO44" s="577">
        <v>0</v>
      </c>
      <c r="AP44" s="577">
        <v>293666.90000000002</v>
      </c>
      <c r="AQ44" s="577">
        <v>35331.75</v>
      </c>
      <c r="AR44" s="577">
        <v>181693.57</v>
      </c>
      <c r="AS44" s="577">
        <v>0</v>
      </c>
      <c r="AT44" s="577">
        <v>37261.379999999997</v>
      </c>
      <c r="AU44" s="577">
        <v>5282.39</v>
      </c>
      <c r="AV44" s="577">
        <v>6578.72</v>
      </c>
      <c r="AW44" s="577">
        <v>4399.6099999999997</v>
      </c>
      <c r="AX44" s="577">
        <v>0</v>
      </c>
      <c r="AY44" s="577">
        <v>34230.47</v>
      </c>
      <c r="AZ44" s="577">
        <v>0</v>
      </c>
      <c r="BA44" s="577">
        <v>46705.56</v>
      </c>
      <c r="BB44" s="577">
        <v>2860.28</v>
      </c>
      <c r="BC44" s="577">
        <v>44516.87</v>
      </c>
      <c r="BD44" s="577">
        <v>23102.400000000001</v>
      </c>
      <c r="BE44" s="577">
        <v>72093.94</v>
      </c>
      <c r="BF44" s="577">
        <v>119712.43</v>
      </c>
      <c r="BG44" s="577">
        <v>8914.67</v>
      </c>
      <c r="BH44" s="576">
        <v>0</v>
      </c>
      <c r="BI44" s="576">
        <v>0</v>
      </c>
      <c r="BJ44" s="576">
        <v>0</v>
      </c>
      <c r="BK44" s="576">
        <v>0</v>
      </c>
      <c r="BL44" s="576">
        <v>0</v>
      </c>
      <c r="BM44" s="576">
        <v>0</v>
      </c>
      <c r="BN44" s="577">
        <f t="shared" si="3"/>
        <v>8914.67</v>
      </c>
      <c r="BO44" s="577">
        <v>0</v>
      </c>
      <c r="BP44" s="577">
        <v>16021.73</v>
      </c>
      <c r="BQ44" s="577">
        <v>5656.84</v>
      </c>
      <c r="BR44" s="577">
        <v>17991.45</v>
      </c>
      <c r="BS44" s="577">
        <v>127234.41</v>
      </c>
      <c r="BT44" s="577">
        <v>55569.88</v>
      </c>
      <c r="BU44" s="577">
        <v>73707.86</v>
      </c>
      <c r="BV44" s="577">
        <v>11032.51</v>
      </c>
      <c r="BW44" s="577">
        <v>0</v>
      </c>
      <c r="BX44" s="577">
        <v>0</v>
      </c>
      <c r="BY44" s="577">
        <v>0</v>
      </c>
      <c r="BZ44" s="577">
        <v>0</v>
      </c>
      <c r="CA44" s="577">
        <v>0</v>
      </c>
      <c r="CB44" s="577">
        <v>0</v>
      </c>
      <c r="CC44" s="577">
        <v>0</v>
      </c>
      <c r="CD44" s="577">
        <v>0</v>
      </c>
      <c r="CE44" s="577">
        <v>6000</v>
      </c>
      <c r="CF44" s="577">
        <v>0</v>
      </c>
      <c r="CG44" s="577">
        <v>0</v>
      </c>
      <c r="CH44" s="577">
        <v>0</v>
      </c>
      <c r="CI44" s="577">
        <v>0</v>
      </c>
      <c r="CJ44" s="576">
        <v>0</v>
      </c>
      <c r="CK44" s="576">
        <v>0</v>
      </c>
      <c r="CL44" s="576">
        <v>0</v>
      </c>
      <c r="CM44" s="576">
        <v>0</v>
      </c>
      <c r="CN44" s="577">
        <v>0</v>
      </c>
      <c r="CO44" s="577">
        <v>-191311</v>
      </c>
      <c r="CP44" s="577">
        <v>0</v>
      </c>
      <c r="CQ44" s="577">
        <v>1378</v>
      </c>
      <c r="CR44" s="577">
        <v>0</v>
      </c>
      <c r="CS44" s="577">
        <v>0</v>
      </c>
      <c r="CU44" s="495">
        <f t="shared" si="4"/>
        <v>-191311</v>
      </c>
      <c r="CV44" s="495">
        <f t="shared" si="5"/>
        <v>1378</v>
      </c>
      <c r="CW44" s="495">
        <f t="shared" si="6"/>
        <v>-191311</v>
      </c>
      <c r="CX44" s="495">
        <f t="shared" si="9"/>
        <v>2452140.42</v>
      </c>
      <c r="CY44" s="495">
        <f t="shared" si="7"/>
        <v>2387208.2499999995</v>
      </c>
      <c r="CZ44" s="495">
        <f t="shared" si="10"/>
        <v>1872716.8699999999</v>
      </c>
      <c r="DA44" s="495">
        <f t="shared" si="8"/>
        <v>64932.170000000391</v>
      </c>
    </row>
    <row r="45" spans="1:105" ht="15">
      <c r="A45" s="576">
        <v>302</v>
      </c>
      <c r="B45" s="576">
        <v>2079</v>
      </c>
      <c r="C45" s="576" t="s">
        <v>259</v>
      </c>
      <c r="D45" s="576" t="s">
        <v>594</v>
      </c>
      <c r="E45" s="576"/>
      <c r="F45" s="576" t="s">
        <v>588</v>
      </c>
      <c r="G45" s="576">
        <v>0</v>
      </c>
      <c r="H45" s="576">
        <v>0</v>
      </c>
      <c r="I45" s="576" t="s">
        <v>853</v>
      </c>
      <c r="J45" s="576" t="s">
        <v>854</v>
      </c>
      <c r="K45" s="576" t="s">
        <v>591</v>
      </c>
      <c r="L45" s="576" t="s">
        <v>592</v>
      </c>
      <c r="M45" s="576" t="s">
        <v>591</v>
      </c>
      <c r="N45" s="576" t="s">
        <v>593</v>
      </c>
      <c r="O45" s="576" t="s">
        <v>188</v>
      </c>
      <c r="P45" s="576" t="s">
        <v>188</v>
      </c>
      <c r="Q45" s="577">
        <v>11719.19</v>
      </c>
      <c r="R45" s="577">
        <v>0</v>
      </c>
      <c r="S45" s="577">
        <v>0</v>
      </c>
      <c r="T45" s="577">
        <v>2324713.67</v>
      </c>
      <c r="U45" s="577">
        <v>0</v>
      </c>
      <c r="V45" s="577">
        <v>41305.51</v>
      </c>
      <c r="W45" s="577">
        <v>0</v>
      </c>
      <c r="X45" s="577">
        <v>14800</v>
      </c>
      <c r="Y45" s="577">
        <v>3300</v>
      </c>
      <c r="Z45" s="577">
        <v>176967.3</v>
      </c>
      <c r="AA45" s="577">
        <v>0</v>
      </c>
      <c r="AB45" s="577">
        <v>0</v>
      </c>
      <c r="AC45" s="577">
        <v>0</v>
      </c>
      <c r="AD45" s="577">
        <v>0</v>
      </c>
      <c r="AE45" s="577">
        <v>0</v>
      </c>
      <c r="AF45" s="577">
        <v>5403.51</v>
      </c>
      <c r="AG45" s="577">
        <v>0</v>
      </c>
      <c r="AH45" s="577">
        <v>0</v>
      </c>
      <c r="AI45" s="577">
        <v>0</v>
      </c>
      <c r="AJ45" s="577">
        <v>0</v>
      </c>
      <c r="AK45" s="577">
        <v>1373.13</v>
      </c>
      <c r="AL45" s="577">
        <v>106688.53</v>
      </c>
      <c r="AM45" s="580">
        <f t="shared" si="2"/>
        <v>108061.66</v>
      </c>
      <c r="AN45" s="577">
        <v>1447343.74</v>
      </c>
      <c r="AO45" s="577">
        <v>0</v>
      </c>
      <c r="AP45" s="577">
        <v>190955.45</v>
      </c>
      <c r="AQ45" s="577">
        <v>60329.35</v>
      </c>
      <c r="AR45" s="577">
        <v>128022.35</v>
      </c>
      <c r="AS45" s="577">
        <v>0</v>
      </c>
      <c r="AT45" s="577">
        <v>22194.18</v>
      </c>
      <c r="AU45" s="577">
        <v>39330.480000000003</v>
      </c>
      <c r="AV45" s="577">
        <v>1128.5999999999999</v>
      </c>
      <c r="AW45" s="577">
        <v>687.24</v>
      </c>
      <c r="AX45" s="577">
        <v>0</v>
      </c>
      <c r="AY45" s="577">
        <v>40874.400000000001</v>
      </c>
      <c r="AZ45" s="577">
        <v>0</v>
      </c>
      <c r="BA45" s="577">
        <v>70421.63</v>
      </c>
      <c r="BB45" s="577">
        <v>5712.27</v>
      </c>
      <c r="BC45" s="577">
        <v>53079.21</v>
      </c>
      <c r="BD45" s="577">
        <v>34473.599999999999</v>
      </c>
      <c r="BE45" s="577">
        <v>22584.41</v>
      </c>
      <c r="BF45" s="577">
        <v>200725.16</v>
      </c>
      <c r="BG45" s="577">
        <v>22609.68</v>
      </c>
      <c r="BH45" s="576">
        <v>0</v>
      </c>
      <c r="BI45" s="576">
        <v>0</v>
      </c>
      <c r="BJ45" s="576">
        <v>0</v>
      </c>
      <c r="BK45" s="576">
        <v>0</v>
      </c>
      <c r="BL45" s="576">
        <v>0</v>
      </c>
      <c r="BM45" s="576">
        <v>0</v>
      </c>
      <c r="BN45" s="577">
        <f t="shared" si="3"/>
        <v>22609.68</v>
      </c>
      <c r="BO45" s="577">
        <v>0</v>
      </c>
      <c r="BP45" s="577">
        <v>23094.25</v>
      </c>
      <c r="BQ45" s="577">
        <v>18178.46</v>
      </c>
      <c r="BR45" s="577">
        <v>100870.34</v>
      </c>
      <c r="BS45" s="577">
        <v>37416.26</v>
      </c>
      <c r="BT45" s="577">
        <v>0</v>
      </c>
      <c r="BU45" s="577">
        <v>37104.97</v>
      </c>
      <c r="BV45" s="577">
        <v>0</v>
      </c>
      <c r="BW45" s="577">
        <v>45457.83</v>
      </c>
      <c r="BX45" s="577">
        <v>0</v>
      </c>
      <c r="BY45" s="577">
        <v>0</v>
      </c>
      <c r="BZ45" s="577">
        <v>0</v>
      </c>
      <c r="CA45" s="577">
        <v>0</v>
      </c>
      <c r="CB45" s="577">
        <v>0</v>
      </c>
      <c r="CC45" s="577">
        <v>0</v>
      </c>
      <c r="CD45" s="577">
        <v>0</v>
      </c>
      <c r="CE45" s="577">
        <v>6000</v>
      </c>
      <c r="CF45" s="577">
        <v>0</v>
      </c>
      <c r="CG45" s="577">
        <v>0</v>
      </c>
      <c r="CH45" s="577">
        <v>0</v>
      </c>
      <c r="CI45" s="577">
        <v>0</v>
      </c>
      <c r="CJ45" s="576">
        <v>0</v>
      </c>
      <c r="CK45" s="576">
        <v>0</v>
      </c>
      <c r="CL45" s="576">
        <v>0</v>
      </c>
      <c r="CM45" s="576">
        <v>0</v>
      </c>
      <c r="CN45" s="577">
        <v>0</v>
      </c>
      <c r="CO45" s="577">
        <v>83676.98</v>
      </c>
      <c r="CP45" s="577">
        <v>0</v>
      </c>
      <c r="CQ45" s="577">
        <v>0</v>
      </c>
      <c r="CR45" s="577">
        <v>0</v>
      </c>
      <c r="CS45" s="577">
        <v>0</v>
      </c>
      <c r="CU45" s="495">
        <f t="shared" si="4"/>
        <v>83676.98</v>
      </c>
      <c r="CV45" s="495">
        <f t="shared" si="5"/>
        <v>0</v>
      </c>
      <c r="CW45" s="495">
        <f t="shared" si="6"/>
        <v>83676.98</v>
      </c>
      <c r="CX45" s="495">
        <f t="shared" si="9"/>
        <v>2674551.649999999</v>
      </c>
      <c r="CY45" s="495">
        <f t="shared" si="7"/>
        <v>2602593.8600000003</v>
      </c>
      <c r="CZ45" s="495">
        <f t="shared" si="10"/>
        <v>2366019.1799999997</v>
      </c>
      <c r="DA45" s="495">
        <f t="shared" si="8"/>
        <v>71957.78999999864</v>
      </c>
    </row>
    <row r="46" spans="1:105" ht="15">
      <c r="A46" s="576">
        <v>302</v>
      </c>
      <c r="B46" s="576">
        <v>3300</v>
      </c>
      <c r="C46" s="576" t="s">
        <v>424</v>
      </c>
      <c r="D46" s="576" t="s">
        <v>594</v>
      </c>
      <c r="E46" s="576"/>
      <c r="F46" s="576" t="s">
        <v>588</v>
      </c>
      <c r="G46" s="576">
        <v>0</v>
      </c>
      <c r="H46" s="576">
        <v>0</v>
      </c>
      <c r="I46" s="576" t="s">
        <v>853</v>
      </c>
      <c r="J46" s="576" t="s">
        <v>854</v>
      </c>
      <c r="K46" s="576" t="s">
        <v>591</v>
      </c>
      <c r="L46" s="576" t="s">
        <v>592</v>
      </c>
      <c r="M46" s="576" t="s">
        <v>591</v>
      </c>
      <c r="N46" s="576" t="s">
        <v>593</v>
      </c>
      <c r="O46" s="576" t="s">
        <v>188</v>
      </c>
      <c r="P46" s="576" t="s">
        <v>188</v>
      </c>
      <c r="Q46" s="577">
        <v>120907.87</v>
      </c>
      <c r="R46" s="577">
        <v>0</v>
      </c>
      <c r="S46" s="577">
        <v>0</v>
      </c>
      <c r="T46" s="577">
        <v>1156846.51</v>
      </c>
      <c r="U46" s="577">
        <v>0</v>
      </c>
      <c r="V46" s="577">
        <v>114252.07</v>
      </c>
      <c r="W46" s="577">
        <v>0</v>
      </c>
      <c r="X46" s="577">
        <v>131720</v>
      </c>
      <c r="Y46" s="577">
        <v>4544.42</v>
      </c>
      <c r="Z46" s="577">
        <v>27997.83</v>
      </c>
      <c r="AA46" s="577">
        <v>0</v>
      </c>
      <c r="AB46" s="577">
        <v>15416.38</v>
      </c>
      <c r="AC46" s="577">
        <v>410.54</v>
      </c>
      <c r="AD46" s="577">
        <v>0</v>
      </c>
      <c r="AE46" s="577">
        <v>1507.2</v>
      </c>
      <c r="AF46" s="577">
        <v>11889.75</v>
      </c>
      <c r="AG46" s="577">
        <v>4731.92</v>
      </c>
      <c r="AH46" s="577">
        <v>0</v>
      </c>
      <c r="AI46" s="577">
        <v>0</v>
      </c>
      <c r="AJ46" s="577">
        <v>0</v>
      </c>
      <c r="AK46" s="577">
        <v>5256.25</v>
      </c>
      <c r="AL46" s="577">
        <v>36644</v>
      </c>
      <c r="AM46" s="580">
        <f t="shared" si="2"/>
        <v>41900.25</v>
      </c>
      <c r="AN46" s="577">
        <v>640957.51</v>
      </c>
      <c r="AO46" s="577">
        <v>0</v>
      </c>
      <c r="AP46" s="577">
        <v>170586.71</v>
      </c>
      <c r="AQ46" s="577">
        <v>42174.57</v>
      </c>
      <c r="AR46" s="577">
        <v>37108.99</v>
      </c>
      <c r="AS46" s="577">
        <v>0</v>
      </c>
      <c r="AT46" s="577">
        <v>10796.24</v>
      </c>
      <c r="AU46" s="577">
        <v>2457.94</v>
      </c>
      <c r="AV46" s="577">
        <v>1875.25</v>
      </c>
      <c r="AW46" s="577">
        <v>267.26</v>
      </c>
      <c r="AX46" s="577">
        <v>0</v>
      </c>
      <c r="AY46" s="577">
        <v>8662.33</v>
      </c>
      <c r="AZ46" s="577">
        <v>1498.61</v>
      </c>
      <c r="BA46" s="577">
        <v>27437.3</v>
      </c>
      <c r="BB46" s="577">
        <v>6145.93</v>
      </c>
      <c r="BC46" s="577">
        <v>22607.53</v>
      </c>
      <c r="BD46" s="577">
        <v>3681.6</v>
      </c>
      <c r="BE46" s="577">
        <v>6289.18</v>
      </c>
      <c r="BF46" s="577">
        <v>46668.97</v>
      </c>
      <c r="BG46" s="577">
        <v>5716.21</v>
      </c>
      <c r="BH46" s="576">
        <v>0</v>
      </c>
      <c r="BI46" s="576">
        <v>1857.26</v>
      </c>
      <c r="BJ46" s="576">
        <v>3638.25</v>
      </c>
      <c r="BK46" s="576">
        <v>27.09</v>
      </c>
      <c r="BL46" s="576">
        <v>1339.67</v>
      </c>
      <c r="BM46" s="576">
        <v>5856.96</v>
      </c>
      <c r="BN46" s="577">
        <f t="shared" si="3"/>
        <v>18435.440000000002</v>
      </c>
      <c r="BO46" s="577">
        <v>0</v>
      </c>
      <c r="BP46" s="577">
        <v>2719.94</v>
      </c>
      <c r="BQ46" s="577">
        <v>6583.29</v>
      </c>
      <c r="BR46" s="577">
        <v>2048.61</v>
      </c>
      <c r="BS46" s="577">
        <v>71092.820000000007</v>
      </c>
      <c r="BT46" s="577">
        <v>9354.19</v>
      </c>
      <c r="BU46" s="577">
        <v>306395</v>
      </c>
      <c r="BV46" s="577">
        <v>24818.53</v>
      </c>
      <c r="BW46" s="577">
        <v>0</v>
      </c>
      <c r="BX46" s="577">
        <v>0</v>
      </c>
      <c r="BY46" s="577">
        <v>0</v>
      </c>
      <c r="BZ46" s="577">
        <v>0</v>
      </c>
      <c r="CA46" s="577">
        <v>0</v>
      </c>
      <c r="CB46" s="577">
        <v>0</v>
      </c>
      <c r="CC46" s="577">
        <v>0</v>
      </c>
      <c r="CD46" s="577">
        <v>0</v>
      </c>
      <c r="CE46" s="577">
        <v>6000</v>
      </c>
      <c r="CF46" s="577">
        <v>0</v>
      </c>
      <c r="CG46" s="577">
        <v>0</v>
      </c>
      <c r="CH46" s="577">
        <v>0</v>
      </c>
      <c r="CI46" s="577">
        <v>0</v>
      </c>
      <c r="CJ46" s="576">
        <v>0</v>
      </c>
      <c r="CK46" s="576">
        <v>0</v>
      </c>
      <c r="CL46" s="576">
        <v>0</v>
      </c>
      <c r="CM46" s="576">
        <v>0</v>
      </c>
      <c r="CN46" s="577">
        <v>18642</v>
      </c>
      <c r="CO46" s="577">
        <v>142819</v>
      </c>
      <c r="CP46" s="577">
        <v>0</v>
      </c>
      <c r="CQ46" s="577">
        <v>0</v>
      </c>
      <c r="CR46" s="577">
        <v>0</v>
      </c>
      <c r="CS46" s="577">
        <v>0</v>
      </c>
      <c r="CU46" s="495">
        <f t="shared" si="4"/>
        <v>161461</v>
      </c>
      <c r="CV46" s="495">
        <f t="shared" si="5"/>
        <v>0</v>
      </c>
      <c r="CW46" s="495">
        <f t="shared" si="6"/>
        <v>161461</v>
      </c>
      <c r="CX46" s="495">
        <f t="shared" si="9"/>
        <v>1511216.8699999999</v>
      </c>
      <c r="CY46" s="495">
        <f t="shared" si="7"/>
        <v>1470663.74</v>
      </c>
      <c r="CZ46" s="495">
        <f t="shared" si="10"/>
        <v>1271098.58</v>
      </c>
      <c r="DA46" s="495">
        <f t="shared" si="8"/>
        <v>40553.129999999888</v>
      </c>
    </row>
    <row r="47" spans="1:105" ht="15">
      <c r="A47" s="576">
        <v>302</v>
      </c>
      <c r="B47" s="576">
        <v>3302</v>
      </c>
      <c r="C47" s="576" t="s">
        <v>264</v>
      </c>
      <c r="D47" s="576" t="s">
        <v>594</v>
      </c>
      <c r="E47" s="576"/>
      <c r="F47" s="576" t="s">
        <v>588</v>
      </c>
      <c r="G47" s="576">
        <v>0</v>
      </c>
      <c r="H47" s="576">
        <v>0</v>
      </c>
      <c r="I47" s="576" t="s">
        <v>853</v>
      </c>
      <c r="J47" s="576" t="s">
        <v>854</v>
      </c>
      <c r="K47" s="576" t="s">
        <v>591</v>
      </c>
      <c r="L47" s="576" t="s">
        <v>592</v>
      </c>
      <c r="M47" s="576" t="s">
        <v>591</v>
      </c>
      <c r="N47" s="576" t="s">
        <v>593</v>
      </c>
      <c r="O47" s="576" t="s">
        <v>188</v>
      </c>
      <c r="P47" s="576" t="s">
        <v>188</v>
      </c>
      <c r="Q47" s="577">
        <v>347635.9</v>
      </c>
      <c r="R47" s="577">
        <v>0</v>
      </c>
      <c r="S47" s="577">
        <v>0</v>
      </c>
      <c r="T47" s="577">
        <v>1228480.99</v>
      </c>
      <c r="U47" s="577">
        <v>0</v>
      </c>
      <c r="V47" s="577">
        <v>92551.98</v>
      </c>
      <c r="W47" s="577">
        <v>0</v>
      </c>
      <c r="X47" s="577">
        <v>38790</v>
      </c>
      <c r="Y47" s="577">
        <v>0</v>
      </c>
      <c r="Z47" s="577">
        <v>57533.89</v>
      </c>
      <c r="AA47" s="577">
        <v>7003.39</v>
      </c>
      <c r="AB47" s="577">
        <v>55306.8</v>
      </c>
      <c r="AC47" s="577">
        <v>4942.3100000000004</v>
      </c>
      <c r="AD47" s="577">
        <v>400</v>
      </c>
      <c r="AE47" s="577">
        <v>3584</v>
      </c>
      <c r="AF47" s="577">
        <v>59414.5</v>
      </c>
      <c r="AG47" s="577">
        <v>18503.16</v>
      </c>
      <c r="AH47" s="577">
        <v>0</v>
      </c>
      <c r="AI47" s="577">
        <v>0</v>
      </c>
      <c r="AJ47" s="577">
        <v>0</v>
      </c>
      <c r="AK47" s="577">
        <v>2487.5</v>
      </c>
      <c r="AL47" s="577">
        <v>47987</v>
      </c>
      <c r="AM47" s="580">
        <f t="shared" si="2"/>
        <v>50474.5</v>
      </c>
      <c r="AN47" s="577">
        <v>836864.29</v>
      </c>
      <c r="AO47" s="577">
        <v>0</v>
      </c>
      <c r="AP47" s="577">
        <v>332805.65999999997</v>
      </c>
      <c r="AQ47" s="577">
        <v>44417.47</v>
      </c>
      <c r="AR47" s="577">
        <v>61543.55</v>
      </c>
      <c r="AS47" s="577">
        <v>0</v>
      </c>
      <c r="AT47" s="577">
        <v>39364.85</v>
      </c>
      <c r="AU47" s="577">
        <v>2174.92</v>
      </c>
      <c r="AV47" s="577">
        <v>3974.98</v>
      </c>
      <c r="AW47" s="577">
        <v>8423.59</v>
      </c>
      <c r="AX47" s="577">
        <v>0</v>
      </c>
      <c r="AY47" s="577">
        <v>15450.74</v>
      </c>
      <c r="AZ47" s="577">
        <v>2229.52</v>
      </c>
      <c r="BA47" s="577">
        <v>22002.639999999999</v>
      </c>
      <c r="BB47" s="577">
        <v>1655.46</v>
      </c>
      <c r="BC47" s="577">
        <v>26300.9</v>
      </c>
      <c r="BD47" s="577">
        <v>5652.34</v>
      </c>
      <c r="BE47" s="577">
        <v>2720.01</v>
      </c>
      <c r="BF47" s="577">
        <v>68385.820000000007</v>
      </c>
      <c r="BG47" s="577">
        <v>5184.8999999999996</v>
      </c>
      <c r="BH47" s="576">
        <v>0</v>
      </c>
      <c r="BI47" s="576">
        <v>12682.81</v>
      </c>
      <c r="BJ47" s="576">
        <v>7503.26</v>
      </c>
      <c r="BK47" s="576">
        <v>8313.9</v>
      </c>
      <c r="BL47" s="576">
        <v>1226.95</v>
      </c>
      <c r="BM47" s="576">
        <v>2766</v>
      </c>
      <c r="BN47" s="577">
        <f t="shared" si="3"/>
        <v>37677.82</v>
      </c>
      <c r="BO47" s="577">
        <v>0</v>
      </c>
      <c r="BP47" s="577">
        <v>377.69</v>
      </c>
      <c r="BQ47" s="577">
        <v>10670.9</v>
      </c>
      <c r="BR47" s="577">
        <v>11313.61</v>
      </c>
      <c r="BS47" s="577">
        <v>93248.22</v>
      </c>
      <c r="BT47" s="577">
        <v>0</v>
      </c>
      <c r="BU47" s="577">
        <v>17033.68</v>
      </c>
      <c r="BV47" s="577">
        <v>22880.76</v>
      </c>
      <c r="BW47" s="577">
        <v>0</v>
      </c>
      <c r="BX47" s="577">
        <v>0</v>
      </c>
      <c r="BY47" s="577">
        <v>0</v>
      </c>
      <c r="BZ47" s="577">
        <v>0</v>
      </c>
      <c r="CA47" s="577">
        <v>0</v>
      </c>
      <c r="CB47" s="577">
        <v>0</v>
      </c>
      <c r="CC47" s="577">
        <v>0</v>
      </c>
      <c r="CD47" s="577">
        <v>0</v>
      </c>
      <c r="CE47" s="577">
        <v>6000</v>
      </c>
      <c r="CF47" s="577">
        <v>0</v>
      </c>
      <c r="CG47" s="577">
        <v>0</v>
      </c>
      <c r="CH47" s="577">
        <v>0</v>
      </c>
      <c r="CI47" s="577">
        <v>0</v>
      </c>
      <c r="CJ47" s="576">
        <v>0</v>
      </c>
      <c r="CK47" s="576">
        <v>0</v>
      </c>
      <c r="CL47" s="576">
        <v>0</v>
      </c>
      <c r="CM47" s="576">
        <v>0</v>
      </c>
      <c r="CN47" s="577">
        <v>10753</v>
      </c>
      <c r="CO47" s="577">
        <v>286699</v>
      </c>
      <c r="CP47" s="577">
        <v>0</v>
      </c>
      <c r="CQ47" s="577">
        <v>0</v>
      </c>
      <c r="CR47" s="577">
        <v>0</v>
      </c>
      <c r="CS47" s="577">
        <v>0</v>
      </c>
      <c r="CU47" s="495">
        <f t="shared" si="4"/>
        <v>297452</v>
      </c>
      <c r="CV47" s="495">
        <f t="shared" si="5"/>
        <v>0</v>
      </c>
      <c r="CW47" s="495">
        <f t="shared" si="6"/>
        <v>297452</v>
      </c>
      <c r="CX47" s="495">
        <f t="shared" si="9"/>
        <v>1616985.5199999998</v>
      </c>
      <c r="CY47" s="495">
        <f t="shared" si="7"/>
        <v>1667169.4199999997</v>
      </c>
      <c r="CZ47" s="495">
        <f t="shared" si="10"/>
        <v>1321032.97</v>
      </c>
      <c r="DA47" s="495">
        <f t="shared" si="8"/>
        <v>-50183.899999999907</v>
      </c>
    </row>
    <row r="48" spans="1:105" ht="15">
      <c r="A48" s="576">
        <v>302</v>
      </c>
      <c r="B48" s="576">
        <v>3304</v>
      </c>
      <c r="C48" s="576" t="s">
        <v>274</v>
      </c>
      <c r="D48" s="576" t="s">
        <v>594</v>
      </c>
      <c r="E48" s="576"/>
      <c r="F48" s="576" t="s">
        <v>588</v>
      </c>
      <c r="G48" s="576">
        <v>0</v>
      </c>
      <c r="H48" s="576">
        <v>0</v>
      </c>
      <c r="I48" s="576" t="s">
        <v>853</v>
      </c>
      <c r="J48" s="576" t="s">
        <v>854</v>
      </c>
      <c r="K48" s="576" t="s">
        <v>591</v>
      </c>
      <c r="L48" s="576" t="s">
        <v>592</v>
      </c>
      <c r="M48" s="576" t="s">
        <v>591</v>
      </c>
      <c r="N48" s="576" t="s">
        <v>593</v>
      </c>
      <c r="O48" s="576" t="s">
        <v>188</v>
      </c>
      <c r="P48" s="576" t="s">
        <v>188</v>
      </c>
      <c r="Q48" s="577">
        <v>41237.660000000003</v>
      </c>
      <c r="R48" s="577">
        <v>0</v>
      </c>
      <c r="S48" s="577">
        <v>0</v>
      </c>
      <c r="T48" s="577">
        <v>1306198.1399999999</v>
      </c>
      <c r="U48" s="577">
        <v>0</v>
      </c>
      <c r="V48" s="577">
        <v>134138.07</v>
      </c>
      <c r="W48" s="577">
        <v>0</v>
      </c>
      <c r="X48" s="577">
        <v>70650</v>
      </c>
      <c r="Y48" s="577">
        <v>30911.42</v>
      </c>
      <c r="Z48" s="577">
        <v>43716.78</v>
      </c>
      <c r="AA48" s="577">
        <v>2909</v>
      </c>
      <c r="AB48" s="577">
        <v>61231.7</v>
      </c>
      <c r="AC48" s="577">
        <v>936.25</v>
      </c>
      <c r="AD48" s="577">
        <v>0</v>
      </c>
      <c r="AE48" s="577">
        <v>0</v>
      </c>
      <c r="AF48" s="577">
        <v>22340.73</v>
      </c>
      <c r="AG48" s="577">
        <v>10548.24</v>
      </c>
      <c r="AH48" s="577">
        <v>0</v>
      </c>
      <c r="AI48" s="577">
        <v>0</v>
      </c>
      <c r="AJ48" s="577">
        <v>0</v>
      </c>
      <c r="AK48" s="577">
        <v>1523.75</v>
      </c>
      <c r="AL48" s="577">
        <v>46248</v>
      </c>
      <c r="AM48" s="580">
        <f t="shared" si="2"/>
        <v>47771.75</v>
      </c>
      <c r="AN48" s="577">
        <v>717890.91</v>
      </c>
      <c r="AO48" s="577">
        <v>15522.29</v>
      </c>
      <c r="AP48" s="577">
        <v>332818.87</v>
      </c>
      <c r="AQ48" s="577">
        <v>39532.53</v>
      </c>
      <c r="AR48" s="577">
        <v>65592.899999999994</v>
      </c>
      <c r="AS48" s="577">
        <v>0</v>
      </c>
      <c r="AT48" s="577">
        <v>39268.33</v>
      </c>
      <c r="AU48" s="577">
        <v>6525.49</v>
      </c>
      <c r="AV48" s="577">
        <v>8029.29</v>
      </c>
      <c r="AW48" s="577">
        <v>335.32</v>
      </c>
      <c r="AX48" s="577">
        <v>0</v>
      </c>
      <c r="AY48" s="577">
        <v>19283.3</v>
      </c>
      <c r="AZ48" s="577">
        <v>875</v>
      </c>
      <c r="BA48" s="577">
        <v>24367.87</v>
      </c>
      <c r="BB48" s="577">
        <v>2611.91</v>
      </c>
      <c r="BC48" s="577">
        <v>29918.42</v>
      </c>
      <c r="BD48" s="577">
        <v>4336.8</v>
      </c>
      <c r="BE48" s="577">
        <v>14036.52</v>
      </c>
      <c r="BF48" s="577">
        <v>50637.02</v>
      </c>
      <c r="BG48" s="577">
        <v>4368.75</v>
      </c>
      <c r="BH48" s="576">
        <v>0</v>
      </c>
      <c r="BI48" s="576">
        <v>759.5</v>
      </c>
      <c r="BJ48" s="576">
        <v>6723.54</v>
      </c>
      <c r="BK48" s="576">
        <v>245.85</v>
      </c>
      <c r="BL48" s="576">
        <v>387.98</v>
      </c>
      <c r="BM48" s="576">
        <v>7326</v>
      </c>
      <c r="BN48" s="577">
        <f t="shared" si="3"/>
        <v>19811.620000000003</v>
      </c>
      <c r="BO48" s="577">
        <v>0</v>
      </c>
      <c r="BP48" s="577">
        <v>14632.65</v>
      </c>
      <c r="BQ48" s="577">
        <v>8497.2800000000007</v>
      </c>
      <c r="BR48" s="577">
        <v>5898.17</v>
      </c>
      <c r="BS48" s="577">
        <v>79341.67</v>
      </c>
      <c r="BT48" s="577">
        <v>66844.490000000005</v>
      </c>
      <c r="BU48" s="577">
        <v>62139.45</v>
      </c>
      <c r="BV48" s="577">
        <v>71186.64</v>
      </c>
      <c r="BW48" s="577">
        <v>0</v>
      </c>
      <c r="BX48" s="577">
        <v>0</v>
      </c>
      <c r="BY48" s="577">
        <v>7559</v>
      </c>
      <c r="BZ48" s="577">
        <v>0</v>
      </c>
      <c r="CA48" s="577">
        <v>0</v>
      </c>
      <c r="CB48" s="577">
        <v>0</v>
      </c>
      <c r="CC48" s="577">
        <v>0</v>
      </c>
      <c r="CD48" s="577">
        <v>7559.1</v>
      </c>
      <c r="CE48" s="577">
        <v>6000</v>
      </c>
      <c r="CF48" s="577">
        <v>0</v>
      </c>
      <c r="CG48" s="577">
        <v>0</v>
      </c>
      <c r="CH48" s="577">
        <v>0</v>
      </c>
      <c r="CI48" s="577">
        <v>0</v>
      </c>
      <c r="CJ48" s="576">
        <v>0</v>
      </c>
      <c r="CK48" s="576">
        <v>0</v>
      </c>
      <c r="CL48" s="576">
        <v>7559.1</v>
      </c>
      <c r="CM48" s="576">
        <v>0</v>
      </c>
      <c r="CN48" s="577">
        <v>0</v>
      </c>
      <c r="CO48" s="577">
        <v>65096</v>
      </c>
      <c r="CP48" s="577">
        <v>0</v>
      </c>
      <c r="CQ48" s="577">
        <v>0</v>
      </c>
      <c r="CR48" s="577">
        <v>0</v>
      </c>
      <c r="CS48" s="577">
        <v>0</v>
      </c>
      <c r="CU48" s="495">
        <f t="shared" si="4"/>
        <v>65096</v>
      </c>
      <c r="CV48" s="495">
        <f t="shared" si="5"/>
        <v>0</v>
      </c>
      <c r="CW48" s="495">
        <f t="shared" si="6"/>
        <v>65096</v>
      </c>
      <c r="CX48" s="495">
        <f t="shared" si="9"/>
        <v>1731352.0799999998</v>
      </c>
      <c r="CY48" s="495">
        <f t="shared" si="7"/>
        <v>1707493.74</v>
      </c>
      <c r="CZ48" s="495">
        <f t="shared" si="10"/>
        <v>1440336.21</v>
      </c>
      <c r="DA48" s="495">
        <f t="shared" si="8"/>
        <v>23858.339999999851</v>
      </c>
    </row>
    <row r="49" spans="1:105" ht="15">
      <c r="A49" s="576">
        <v>302</v>
      </c>
      <c r="B49" s="576">
        <v>3305</v>
      </c>
      <c r="C49" s="576" t="s">
        <v>278</v>
      </c>
      <c r="D49" s="576" t="s">
        <v>594</v>
      </c>
      <c r="E49" s="576"/>
      <c r="F49" s="576" t="s">
        <v>588</v>
      </c>
      <c r="G49" s="576">
        <v>0</v>
      </c>
      <c r="H49" s="576">
        <v>0</v>
      </c>
      <c r="I49" s="576" t="s">
        <v>853</v>
      </c>
      <c r="J49" s="576" t="s">
        <v>854</v>
      </c>
      <c r="K49" s="576" t="s">
        <v>591</v>
      </c>
      <c r="L49" s="576" t="s">
        <v>592</v>
      </c>
      <c r="M49" s="576" t="s">
        <v>591</v>
      </c>
      <c r="N49" s="576" t="s">
        <v>593</v>
      </c>
      <c r="O49" s="576" t="s">
        <v>188</v>
      </c>
      <c r="P49" s="576" t="s">
        <v>188</v>
      </c>
      <c r="Q49" s="577">
        <v>57475.88</v>
      </c>
      <c r="R49" s="577">
        <v>0</v>
      </c>
      <c r="S49" s="577">
        <v>0</v>
      </c>
      <c r="T49" s="577">
        <v>882813.8</v>
      </c>
      <c r="U49" s="577">
        <v>0</v>
      </c>
      <c r="V49" s="577">
        <v>35285.29</v>
      </c>
      <c r="W49" s="577">
        <v>0</v>
      </c>
      <c r="X49" s="577">
        <v>38090</v>
      </c>
      <c r="Y49" s="577">
        <v>0</v>
      </c>
      <c r="Z49" s="577">
        <v>90797.89</v>
      </c>
      <c r="AA49" s="577">
        <v>1950</v>
      </c>
      <c r="AB49" s="577">
        <v>15268.25</v>
      </c>
      <c r="AC49" s="577">
        <v>983.41</v>
      </c>
      <c r="AD49" s="577">
        <v>0</v>
      </c>
      <c r="AE49" s="577">
        <v>0</v>
      </c>
      <c r="AF49" s="577">
        <v>25048.560000000001</v>
      </c>
      <c r="AG49" s="577">
        <v>45117.43</v>
      </c>
      <c r="AH49" s="577">
        <v>0</v>
      </c>
      <c r="AI49" s="577">
        <v>0</v>
      </c>
      <c r="AJ49" s="577">
        <v>0</v>
      </c>
      <c r="AK49" s="577">
        <v>1880</v>
      </c>
      <c r="AL49" s="577">
        <v>36776</v>
      </c>
      <c r="AM49" s="580">
        <f t="shared" si="2"/>
        <v>38656</v>
      </c>
      <c r="AN49" s="577">
        <v>573324.29</v>
      </c>
      <c r="AO49" s="577">
        <v>0</v>
      </c>
      <c r="AP49" s="577">
        <v>153995.07999999999</v>
      </c>
      <c r="AQ49" s="577">
        <v>46554.83</v>
      </c>
      <c r="AR49" s="577">
        <v>43764.15</v>
      </c>
      <c r="AS49" s="577">
        <v>0</v>
      </c>
      <c r="AT49" s="577">
        <v>31907.45</v>
      </c>
      <c r="AU49" s="577">
        <v>4281.67</v>
      </c>
      <c r="AV49" s="577">
        <v>1506.32</v>
      </c>
      <c r="AW49" s="577">
        <v>247.34</v>
      </c>
      <c r="AX49" s="577">
        <v>0</v>
      </c>
      <c r="AY49" s="577">
        <v>48568.66</v>
      </c>
      <c r="AZ49" s="577">
        <v>0</v>
      </c>
      <c r="BA49" s="577">
        <v>628.65</v>
      </c>
      <c r="BB49" s="577">
        <v>1422.07</v>
      </c>
      <c r="BC49" s="577">
        <v>20573.490000000002</v>
      </c>
      <c r="BD49" s="577">
        <v>1904.64</v>
      </c>
      <c r="BE49" s="577">
        <v>6374.72</v>
      </c>
      <c r="BF49" s="577">
        <v>42842.28</v>
      </c>
      <c r="BG49" s="577">
        <v>3907.28</v>
      </c>
      <c r="BH49" s="576">
        <v>0</v>
      </c>
      <c r="BI49" s="576">
        <v>2169.7800000000002</v>
      </c>
      <c r="BJ49" s="576">
        <v>6304.46</v>
      </c>
      <c r="BK49" s="576">
        <v>0</v>
      </c>
      <c r="BL49" s="576">
        <v>0</v>
      </c>
      <c r="BM49" s="576">
        <v>5393</v>
      </c>
      <c r="BN49" s="577">
        <f t="shared" si="3"/>
        <v>17774.52</v>
      </c>
      <c r="BO49" s="577">
        <v>0</v>
      </c>
      <c r="BP49" s="577">
        <v>3217.8</v>
      </c>
      <c r="BQ49" s="577">
        <v>3436.33</v>
      </c>
      <c r="BR49" s="577">
        <v>4175.4399999999996</v>
      </c>
      <c r="BS49" s="577">
        <v>49441.83</v>
      </c>
      <c r="BT49" s="577">
        <v>0</v>
      </c>
      <c r="BU49" s="577">
        <v>30862.57</v>
      </c>
      <c r="BV49" s="577">
        <v>23971.38</v>
      </c>
      <c r="BW49" s="577">
        <v>0</v>
      </c>
      <c r="BX49" s="577">
        <v>0</v>
      </c>
      <c r="BY49" s="577">
        <v>0</v>
      </c>
      <c r="BZ49" s="577">
        <v>0</v>
      </c>
      <c r="CA49" s="577">
        <v>0</v>
      </c>
      <c r="CB49" s="577">
        <v>0</v>
      </c>
      <c r="CC49" s="577">
        <v>0</v>
      </c>
      <c r="CD49" s="577">
        <v>0</v>
      </c>
      <c r="CE49" s="577">
        <v>6000</v>
      </c>
      <c r="CF49" s="577">
        <v>0</v>
      </c>
      <c r="CG49" s="577">
        <v>0</v>
      </c>
      <c r="CH49" s="577">
        <v>0</v>
      </c>
      <c r="CI49" s="577">
        <v>0</v>
      </c>
      <c r="CJ49" s="576">
        <v>0</v>
      </c>
      <c r="CK49" s="576">
        <v>0</v>
      </c>
      <c r="CL49" s="576">
        <v>0</v>
      </c>
      <c r="CM49" s="576">
        <v>0</v>
      </c>
      <c r="CN49" s="577">
        <v>0</v>
      </c>
      <c r="CO49" s="577">
        <v>120711</v>
      </c>
      <c r="CP49" s="577">
        <v>0</v>
      </c>
      <c r="CQ49" s="577">
        <v>0</v>
      </c>
      <c r="CR49" s="577">
        <v>0</v>
      </c>
      <c r="CS49" s="577">
        <v>0</v>
      </c>
      <c r="CU49" s="495">
        <f t="shared" si="4"/>
        <v>120711</v>
      </c>
      <c r="CV49" s="495">
        <f t="shared" si="5"/>
        <v>0</v>
      </c>
      <c r="CW49" s="495">
        <f t="shared" si="6"/>
        <v>120711</v>
      </c>
      <c r="CX49" s="495">
        <f t="shared" si="9"/>
        <v>1174010.6299999999</v>
      </c>
      <c r="CY49" s="495">
        <f t="shared" si="7"/>
        <v>1110775.5099999998</v>
      </c>
      <c r="CZ49" s="495">
        <f t="shared" si="10"/>
        <v>918099.09000000008</v>
      </c>
      <c r="DA49" s="495">
        <f t="shared" si="8"/>
        <v>63235.120000000112</v>
      </c>
    </row>
    <row r="50" spans="1:105" ht="30">
      <c r="A50" s="576">
        <v>302</v>
      </c>
      <c r="B50" s="576">
        <v>3307</v>
      </c>
      <c r="C50" s="576" t="s">
        <v>727</v>
      </c>
      <c r="D50" s="576" t="s">
        <v>594</v>
      </c>
      <c r="E50" s="576"/>
      <c r="F50" s="576" t="s">
        <v>588</v>
      </c>
      <c r="G50" s="576">
        <v>0</v>
      </c>
      <c r="H50" s="576">
        <v>0</v>
      </c>
      <c r="I50" s="576" t="s">
        <v>853</v>
      </c>
      <c r="J50" s="576" t="s">
        <v>854</v>
      </c>
      <c r="K50" s="576" t="s">
        <v>591</v>
      </c>
      <c r="L50" s="576" t="s">
        <v>592</v>
      </c>
      <c r="M50" s="576" t="s">
        <v>591</v>
      </c>
      <c r="N50" s="576" t="s">
        <v>593</v>
      </c>
      <c r="O50" s="576" t="s">
        <v>188</v>
      </c>
      <c r="P50" s="576" t="s">
        <v>188</v>
      </c>
      <c r="Q50" s="577">
        <v>165385.20000000001</v>
      </c>
      <c r="R50" s="577">
        <v>0</v>
      </c>
      <c r="S50" s="577">
        <v>0</v>
      </c>
      <c r="T50" s="577">
        <v>1339695.77</v>
      </c>
      <c r="U50" s="577">
        <v>0</v>
      </c>
      <c r="V50" s="577">
        <v>83314.27</v>
      </c>
      <c r="W50" s="577">
        <v>0</v>
      </c>
      <c r="X50" s="577">
        <v>49150</v>
      </c>
      <c r="Y50" s="577">
        <v>0</v>
      </c>
      <c r="Z50" s="577">
        <v>55671.08</v>
      </c>
      <c r="AA50" s="577">
        <v>36999.839999999997</v>
      </c>
      <c r="AB50" s="577">
        <v>6192.61</v>
      </c>
      <c r="AC50" s="577">
        <v>1397.14</v>
      </c>
      <c r="AD50" s="577">
        <v>0</v>
      </c>
      <c r="AE50" s="577">
        <v>0</v>
      </c>
      <c r="AF50" s="577">
        <v>50354.76</v>
      </c>
      <c r="AG50" s="577">
        <v>7371.4</v>
      </c>
      <c r="AH50" s="577">
        <v>0</v>
      </c>
      <c r="AI50" s="577">
        <v>0</v>
      </c>
      <c r="AJ50" s="577">
        <v>0</v>
      </c>
      <c r="AK50" s="577">
        <v>2777.5</v>
      </c>
      <c r="AL50" s="577">
        <v>48351</v>
      </c>
      <c r="AM50" s="580">
        <f t="shared" si="2"/>
        <v>51128.5</v>
      </c>
      <c r="AN50" s="577">
        <v>610280.59</v>
      </c>
      <c r="AO50" s="577">
        <v>0</v>
      </c>
      <c r="AP50" s="577">
        <v>332678.37</v>
      </c>
      <c r="AQ50" s="577">
        <v>64467.5</v>
      </c>
      <c r="AR50" s="577">
        <v>67918.23</v>
      </c>
      <c r="AS50" s="577">
        <v>0</v>
      </c>
      <c r="AT50" s="577">
        <v>20559.18</v>
      </c>
      <c r="AU50" s="577">
        <v>683.02</v>
      </c>
      <c r="AV50" s="577">
        <v>2427.77</v>
      </c>
      <c r="AW50" s="577">
        <v>350.26</v>
      </c>
      <c r="AX50" s="577">
        <v>0</v>
      </c>
      <c r="AY50" s="577">
        <v>43183.47</v>
      </c>
      <c r="AZ50" s="577">
        <v>1687.52</v>
      </c>
      <c r="BA50" s="577">
        <v>11935.52</v>
      </c>
      <c r="BB50" s="577">
        <v>12040.83</v>
      </c>
      <c r="BC50" s="577">
        <v>42495.1</v>
      </c>
      <c r="BD50" s="577">
        <v>5024.87</v>
      </c>
      <c r="BE50" s="577">
        <v>7243.09</v>
      </c>
      <c r="BF50" s="577">
        <v>52294.42</v>
      </c>
      <c r="BG50" s="577">
        <v>8843.08</v>
      </c>
      <c r="BH50" s="576">
        <v>0</v>
      </c>
      <c r="BI50" s="576">
        <v>3738.99</v>
      </c>
      <c r="BJ50" s="576">
        <v>9435.7999999999993</v>
      </c>
      <c r="BK50" s="576">
        <v>2681.65</v>
      </c>
      <c r="BL50" s="576">
        <v>1297.1300000000001</v>
      </c>
      <c r="BM50" s="576">
        <v>8482</v>
      </c>
      <c r="BN50" s="577">
        <f t="shared" si="3"/>
        <v>34478.65</v>
      </c>
      <c r="BO50" s="577">
        <v>0</v>
      </c>
      <c r="BP50" s="577">
        <v>3084.5</v>
      </c>
      <c r="BQ50" s="577">
        <v>9015.2900000000009</v>
      </c>
      <c r="BR50" s="577">
        <v>1778.55</v>
      </c>
      <c r="BS50" s="577">
        <v>83715.710000000006</v>
      </c>
      <c r="BT50" s="577">
        <v>79945.31</v>
      </c>
      <c r="BU50" s="577">
        <v>100319.29</v>
      </c>
      <c r="BV50" s="577">
        <v>31680.1</v>
      </c>
      <c r="BW50" s="577">
        <v>0</v>
      </c>
      <c r="BX50" s="577">
        <v>0</v>
      </c>
      <c r="BY50" s="577">
        <v>0</v>
      </c>
      <c r="BZ50" s="577">
        <v>0</v>
      </c>
      <c r="CA50" s="577">
        <v>0</v>
      </c>
      <c r="CB50" s="577">
        <v>0</v>
      </c>
      <c r="CC50" s="577">
        <v>0</v>
      </c>
      <c r="CD50" s="577">
        <v>0</v>
      </c>
      <c r="CE50" s="577">
        <v>6000</v>
      </c>
      <c r="CF50" s="577">
        <v>0</v>
      </c>
      <c r="CG50" s="577">
        <v>0</v>
      </c>
      <c r="CH50" s="577">
        <v>0</v>
      </c>
      <c r="CI50" s="577">
        <v>0</v>
      </c>
      <c r="CJ50" s="576">
        <v>0</v>
      </c>
      <c r="CK50" s="576">
        <v>0</v>
      </c>
      <c r="CL50" s="576">
        <v>0</v>
      </c>
      <c r="CM50" s="576">
        <v>0</v>
      </c>
      <c r="CN50" s="577">
        <v>0</v>
      </c>
      <c r="CO50" s="577">
        <v>227373.43</v>
      </c>
      <c r="CP50" s="577">
        <v>0</v>
      </c>
      <c r="CQ50" s="577">
        <v>0</v>
      </c>
      <c r="CR50" s="577">
        <v>0</v>
      </c>
      <c r="CS50" s="577">
        <v>0</v>
      </c>
      <c r="CU50" s="495">
        <f t="shared" si="4"/>
        <v>227373.43</v>
      </c>
      <c r="CV50" s="495">
        <f t="shared" si="5"/>
        <v>0</v>
      </c>
      <c r="CW50" s="495">
        <f t="shared" si="6"/>
        <v>227373.43</v>
      </c>
      <c r="CX50" s="495">
        <f t="shared" si="9"/>
        <v>1681275.37</v>
      </c>
      <c r="CY50" s="495">
        <f t="shared" si="7"/>
        <v>1619287.1400000004</v>
      </c>
      <c r="CZ50" s="495">
        <f t="shared" si="10"/>
        <v>1423010.04</v>
      </c>
      <c r="DA50" s="495">
        <f t="shared" si="8"/>
        <v>61988.229999999749</v>
      </c>
    </row>
    <row r="51" spans="1:105" ht="30">
      <c r="A51" s="576">
        <v>302</v>
      </c>
      <c r="B51" s="576">
        <v>3309</v>
      </c>
      <c r="C51" s="576" t="s">
        <v>728</v>
      </c>
      <c r="D51" s="576" t="s">
        <v>594</v>
      </c>
      <c r="E51" s="576"/>
      <c r="F51" s="576" t="s">
        <v>588</v>
      </c>
      <c r="G51" s="576">
        <v>0</v>
      </c>
      <c r="H51" s="576">
        <v>0</v>
      </c>
      <c r="I51" s="576" t="s">
        <v>853</v>
      </c>
      <c r="J51" s="576" t="s">
        <v>854</v>
      </c>
      <c r="K51" s="576" t="s">
        <v>591</v>
      </c>
      <c r="L51" s="576" t="s">
        <v>592</v>
      </c>
      <c r="M51" s="576" t="s">
        <v>591</v>
      </c>
      <c r="N51" s="576" t="s">
        <v>593</v>
      </c>
      <c r="O51" s="576" t="s">
        <v>188</v>
      </c>
      <c r="P51" s="576" t="s">
        <v>188</v>
      </c>
      <c r="Q51" s="577">
        <v>155004.99</v>
      </c>
      <c r="R51" s="577">
        <v>0</v>
      </c>
      <c r="S51" s="577">
        <v>0</v>
      </c>
      <c r="T51" s="577">
        <v>1285627.58</v>
      </c>
      <c r="U51" s="577">
        <v>0</v>
      </c>
      <c r="V51" s="577">
        <v>95203.96</v>
      </c>
      <c r="W51" s="577">
        <v>0</v>
      </c>
      <c r="X51" s="577">
        <v>40270</v>
      </c>
      <c r="Y51" s="577">
        <v>10888.84</v>
      </c>
      <c r="Z51" s="577">
        <v>52418.48</v>
      </c>
      <c r="AA51" s="577">
        <v>12994</v>
      </c>
      <c r="AB51" s="577">
        <v>100629.21</v>
      </c>
      <c r="AC51" s="577">
        <v>4740.05</v>
      </c>
      <c r="AD51" s="577">
        <v>0</v>
      </c>
      <c r="AE51" s="577">
        <v>0</v>
      </c>
      <c r="AF51" s="577">
        <v>82735.12</v>
      </c>
      <c r="AG51" s="577">
        <v>52400.02</v>
      </c>
      <c r="AH51" s="577">
        <v>0</v>
      </c>
      <c r="AI51" s="577">
        <v>0</v>
      </c>
      <c r="AJ51" s="577">
        <v>0</v>
      </c>
      <c r="AK51" s="577">
        <v>943</v>
      </c>
      <c r="AL51" s="577">
        <v>53947</v>
      </c>
      <c r="AM51" s="580">
        <f t="shared" si="2"/>
        <v>54890</v>
      </c>
      <c r="AN51" s="577">
        <v>809681.94</v>
      </c>
      <c r="AO51" s="577">
        <v>0</v>
      </c>
      <c r="AP51" s="577">
        <v>267912.87</v>
      </c>
      <c r="AQ51" s="577">
        <v>21185.91</v>
      </c>
      <c r="AR51" s="577">
        <v>62343.06</v>
      </c>
      <c r="AS51" s="577">
        <v>0</v>
      </c>
      <c r="AT51" s="577">
        <v>48138.27</v>
      </c>
      <c r="AU51" s="577">
        <v>7040.65</v>
      </c>
      <c r="AV51" s="577">
        <v>7479.86</v>
      </c>
      <c r="AW51" s="577">
        <v>341.96</v>
      </c>
      <c r="AX51" s="577">
        <v>0</v>
      </c>
      <c r="AY51" s="577">
        <v>59700.84</v>
      </c>
      <c r="AZ51" s="577">
        <v>3718.25</v>
      </c>
      <c r="BA51" s="577">
        <v>25826.89</v>
      </c>
      <c r="BB51" s="577">
        <v>2276.58</v>
      </c>
      <c r="BC51" s="577">
        <v>27608.13</v>
      </c>
      <c r="BD51" s="577">
        <v>5694.43</v>
      </c>
      <c r="BE51" s="577">
        <v>8659.69</v>
      </c>
      <c r="BF51" s="577">
        <v>92345.98</v>
      </c>
      <c r="BG51" s="577">
        <v>4995</v>
      </c>
      <c r="BH51" s="576">
        <v>0</v>
      </c>
      <c r="BI51" s="576">
        <v>0</v>
      </c>
      <c r="BJ51" s="576">
        <v>10672.61</v>
      </c>
      <c r="BK51" s="576">
        <v>3348.8</v>
      </c>
      <c r="BL51" s="576">
        <v>435.76</v>
      </c>
      <c r="BM51" s="576">
        <v>5945</v>
      </c>
      <c r="BN51" s="577">
        <f t="shared" si="3"/>
        <v>25397.17</v>
      </c>
      <c r="BO51" s="577">
        <v>0</v>
      </c>
      <c r="BP51" s="577">
        <v>6254.96</v>
      </c>
      <c r="BQ51" s="577">
        <v>8685.84</v>
      </c>
      <c r="BR51" s="577">
        <v>8150.86</v>
      </c>
      <c r="BS51" s="577">
        <v>102145.7</v>
      </c>
      <c r="BT51" s="577">
        <v>9987.69</v>
      </c>
      <c r="BU51" s="577">
        <v>165819.70000000001</v>
      </c>
      <c r="BV51" s="577">
        <v>25152.02</v>
      </c>
      <c r="BW51" s="577">
        <v>0</v>
      </c>
      <c r="BX51" s="577">
        <v>0</v>
      </c>
      <c r="BY51" s="577">
        <v>0</v>
      </c>
      <c r="BZ51" s="577">
        <v>0</v>
      </c>
      <c r="CA51" s="577">
        <v>0</v>
      </c>
      <c r="CB51" s="577">
        <v>0</v>
      </c>
      <c r="CC51" s="577">
        <v>0</v>
      </c>
      <c r="CD51" s="577">
        <v>0</v>
      </c>
      <c r="CE51" s="577">
        <v>6000</v>
      </c>
      <c r="CF51" s="577">
        <v>0</v>
      </c>
      <c r="CG51" s="577">
        <v>0</v>
      </c>
      <c r="CH51" s="577">
        <v>0</v>
      </c>
      <c r="CI51" s="577">
        <v>0</v>
      </c>
      <c r="CJ51" s="576">
        <v>0</v>
      </c>
      <c r="CK51" s="576">
        <v>0</v>
      </c>
      <c r="CL51" s="576">
        <v>0</v>
      </c>
      <c r="CM51" s="576">
        <v>0</v>
      </c>
      <c r="CN51" s="577">
        <v>2587</v>
      </c>
      <c r="CO51" s="577">
        <v>143666</v>
      </c>
      <c r="CP51" s="577">
        <v>0</v>
      </c>
      <c r="CQ51" s="577">
        <v>0</v>
      </c>
      <c r="CR51" s="577">
        <v>0</v>
      </c>
      <c r="CS51" s="577">
        <v>0</v>
      </c>
      <c r="CU51" s="495">
        <f t="shared" si="4"/>
        <v>146253</v>
      </c>
      <c r="CV51" s="495">
        <f t="shared" si="5"/>
        <v>0</v>
      </c>
      <c r="CW51" s="495">
        <f t="shared" si="6"/>
        <v>146253</v>
      </c>
      <c r="CX51" s="495">
        <f t="shared" si="9"/>
        <v>1792797.2600000002</v>
      </c>
      <c r="CY51" s="495">
        <f t="shared" si="7"/>
        <v>1801549.25</v>
      </c>
      <c r="CZ51" s="495">
        <f t="shared" si="10"/>
        <v>1380831.54</v>
      </c>
      <c r="DA51" s="495">
        <f t="shared" si="8"/>
        <v>-8751.9899999997579</v>
      </c>
    </row>
    <row r="52" spans="1:105" ht="15">
      <c r="A52" s="576">
        <v>302</v>
      </c>
      <c r="B52" s="576">
        <v>3311</v>
      </c>
      <c r="C52" s="576" t="s">
        <v>729</v>
      </c>
      <c r="D52" s="576" t="s">
        <v>594</v>
      </c>
      <c r="E52" s="576"/>
      <c r="F52" s="576" t="s">
        <v>588</v>
      </c>
      <c r="G52" s="576">
        <v>0</v>
      </c>
      <c r="H52" s="576">
        <v>1</v>
      </c>
      <c r="I52" s="576" t="s">
        <v>853</v>
      </c>
      <c r="J52" s="576" t="s">
        <v>854</v>
      </c>
      <c r="K52" s="576" t="s">
        <v>591</v>
      </c>
      <c r="L52" s="576" t="s">
        <v>592</v>
      </c>
      <c r="M52" s="576" t="s">
        <v>591</v>
      </c>
      <c r="N52" s="576" t="s">
        <v>593</v>
      </c>
      <c r="O52" s="576" t="s">
        <v>188</v>
      </c>
      <c r="P52" s="576" t="s">
        <v>188</v>
      </c>
      <c r="Q52" s="577">
        <v>-22446.28</v>
      </c>
      <c r="R52" s="577">
        <v>0</v>
      </c>
      <c r="S52" s="577">
        <v>0</v>
      </c>
      <c r="T52" s="577">
        <v>2459731.17</v>
      </c>
      <c r="U52" s="577">
        <v>0</v>
      </c>
      <c r="V52" s="577">
        <v>72231.67</v>
      </c>
      <c r="W52" s="577">
        <v>0</v>
      </c>
      <c r="X52" s="577">
        <v>95030</v>
      </c>
      <c r="Y52" s="577">
        <v>4574.03</v>
      </c>
      <c r="Z52" s="577">
        <v>117223.65</v>
      </c>
      <c r="AA52" s="577">
        <v>57336.77</v>
      </c>
      <c r="AB52" s="577">
        <v>2733.05</v>
      </c>
      <c r="AC52" s="577">
        <v>11523.55</v>
      </c>
      <c r="AD52" s="577">
        <v>0</v>
      </c>
      <c r="AE52" s="577">
        <v>0</v>
      </c>
      <c r="AF52" s="577">
        <v>86936.26</v>
      </c>
      <c r="AG52" s="577">
        <v>22560.799999999999</v>
      </c>
      <c r="AH52" s="577">
        <v>0</v>
      </c>
      <c r="AI52" s="577">
        <v>0</v>
      </c>
      <c r="AJ52" s="577">
        <v>0</v>
      </c>
      <c r="AK52" s="577">
        <v>6790</v>
      </c>
      <c r="AL52" s="577">
        <v>84102</v>
      </c>
      <c r="AM52" s="580">
        <f t="shared" si="2"/>
        <v>90892</v>
      </c>
      <c r="AN52" s="577">
        <v>1401099.75</v>
      </c>
      <c r="AO52" s="577">
        <v>0</v>
      </c>
      <c r="AP52" s="577">
        <v>556526.5</v>
      </c>
      <c r="AQ52" s="577">
        <v>43179.18</v>
      </c>
      <c r="AR52" s="577">
        <v>102176.01</v>
      </c>
      <c r="AS52" s="577">
        <v>0</v>
      </c>
      <c r="AT52" s="577">
        <v>36598.050000000003</v>
      </c>
      <c r="AU52" s="577">
        <v>10196.969999999999</v>
      </c>
      <c r="AV52" s="577">
        <v>5958.49</v>
      </c>
      <c r="AW52" s="577">
        <v>680.6</v>
      </c>
      <c r="AX52" s="577">
        <v>0</v>
      </c>
      <c r="AY52" s="577">
        <v>40532.85</v>
      </c>
      <c r="AZ52" s="577">
        <v>3480</v>
      </c>
      <c r="BA52" s="577">
        <v>67582.45</v>
      </c>
      <c r="BB52" s="577">
        <v>6438.58</v>
      </c>
      <c r="BC52" s="577">
        <v>50141.87</v>
      </c>
      <c r="BD52" s="577">
        <v>29111.040000000001</v>
      </c>
      <c r="BE52" s="577">
        <v>18477.259999999998</v>
      </c>
      <c r="BF52" s="577">
        <v>98697.5</v>
      </c>
      <c r="BG52" s="577">
        <v>8125.46</v>
      </c>
      <c r="BH52" s="576">
        <v>0</v>
      </c>
      <c r="BI52" s="576">
        <v>13771.56</v>
      </c>
      <c r="BJ52" s="576">
        <v>14199.34</v>
      </c>
      <c r="BK52" s="576">
        <v>1938.34</v>
      </c>
      <c r="BL52" s="576">
        <v>27.89</v>
      </c>
      <c r="BM52" s="576">
        <v>6450</v>
      </c>
      <c r="BN52" s="577">
        <f t="shared" si="3"/>
        <v>44512.59</v>
      </c>
      <c r="BO52" s="577">
        <v>0</v>
      </c>
      <c r="BP52" s="577">
        <v>5419.39</v>
      </c>
      <c r="BQ52" s="577">
        <v>17389.900000000001</v>
      </c>
      <c r="BR52" s="577">
        <v>2388.87</v>
      </c>
      <c r="BS52" s="577">
        <v>159710.54999999999</v>
      </c>
      <c r="BT52" s="577">
        <v>158337.56</v>
      </c>
      <c r="BU52" s="577">
        <v>160748.34</v>
      </c>
      <c r="BV52" s="577">
        <v>44467.86</v>
      </c>
      <c r="BW52" s="577">
        <v>867.51</v>
      </c>
      <c r="BX52" s="577">
        <v>0</v>
      </c>
      <c r="BY52" s="577">
        <v>8210</v>
      </c>
      <c r="BZ52" s="577">
        <v>0</v>
      </c>
      <c r="CA52" s="577">
        <v>0</v>
      </c>
      <c r="CB52" s="577">
        <v>0</v>
      </c>
      <c r="CC52" s="577">
        <v>0</v>
      </c>
      <c r="CD52" s="577">
        <v>8210</v>
      </c>
      <c r="CE52" s="577">
        <v>6000</v>
      </c>
      <c r="CF52" s="577">
        <v>0</v>
      </c>
      <c r="CG52" s="577">
        <v>0</v>
      </c>
      <c r="CH52" s="577">
        <v>0</v>
      </c>
      <c r="CI52" s="577">
        <v>0</v>
      </c>
      <c r="CJ52" s="576">
        <v>0</v>
      </c>
      <c r="CK52" s="576">
        <v>0</v>
      </c>
      <c r="CL52" s="576">
        <v>0</v>
      </c>
      <c r="CM52" s="576">
        <v>0</v>
      </c>
      <c r="CN52" s="577">
        <v>0</v>
      </c>
      <c r="CO52" s="577">
        <v>-74603</v>
      </c>
      <c r="CP52" s="577">
        <v>0</v>
      </c>
      <c r="CQ52" s="577">
        <v>8210</v>
      </c>
      <c r="CR52" s="577">
        <v>0</v>
      </c>
      <c r="CS52" s="577">
        <v>0</v>
      </c>
      <c r="CU52" s="495">
        <f t="shared" si="4"/>
        <v>-74603</v>
      </c>
      <c r="CV52" s="495">
        <f t="shared" si="5"/>
        <v>8210</v>
      </c>
      <c r="CW52" s="495">
        <f t="shared" si="6"/>
        <v>-74603</v>
      </c>
      <c r="CX52" s="495">
        <f t="shared" si="9"/>
        <v>3020772.9499999988</v>
      </c>
      <c r="CY52" s="495">
        <f t="shared" si="7"/>
        <v>3072929.67</v>
      </c>
      <c r="CZ52" s="495">
        <f t="shared" si="10"/>
        <v>2531962.84</v>
      </c>
      <c r="DA52" s="495">
        <f t="shared" si="8"/>
        <v>-52156.720000001136</v>
      </c>
    </row>
    <row r="53" spans="1:105" ht="30">
      <c r="A53" s="576">
        <v>302</v>
      </c>
      <c r="B53" s="576">
        <v>3312</v>
      </c>
      <c r="C53" s="576" t="s">
        <v>855</v>
      </c>
      <c r="D53" s="576" t="s">
        <v>594</v>
      </c>
      <c r="E53" s="576"/>
      <c r="F53" s="576" t="s">
        <v>588</v>
      </c>
      <c r="G53" s="576">
        <v>0</v>
      </c>
      <c r="H53" s="576">
        <v>0</v>
      </c>
      <c r="I53" s="576" t="s">
        <v>853</v>
      </c>
      <c r="J53" s="576" t="s">
        <v>854</v>
      </c>
      <c r="K53" s="576" t="s">
        <v>591</v>
      </c>
      <c r="L53" s="576" t="s">
        <v>592</v>
      </c>
      <c r="M53" s="576" t="s">
        <v>591</v>
      </c>
      <c r="N53" s="576" t="s">
        <v>593</v>
      </c>
      <c r="O53" s="576" t="s">
        <v>188</v>
      </c>
      <c r="P53" s="576" t="s">
        <v>188</v>
      </c>
      <c r="Q53" s="577">
        <v>129135.47</v>
      </c>
      <c r="R53" s="577">
        <v>0</v>
      </c>
      <c r="S53" s="577">
        <v>0</v>
      </c>
      <c r="T53" s="577">
        <v>1170353.5900000001</v>
      </c>
      <c r="U53" s="577">
        <v>0</v>
      </c>
      <c r="V53" s="577">
        <v>84571.43</v>
      </c>
      <c r="W53" s="577">
        <v>0</v>
      </c>
      <c r="X53" s="577">
        <v>45800</v>
      </c>
      <c r="Y53" s="577">
        <v>520</v>
      </c>
      <c r="Z53" s="577">
        <v>54999.45</v>
      </c>
      <c r="AA53" s="577">
        <v>0</v>
      </c>
      <c r="AB53" s="577">
        <v>17816.599999999999</v>
      </c>
      <c r="AC53" s="577">
        <v>2093.46</v>
      </c>
      <c r="AD53" s="577">
        <v>1591.2</v>
      </c>
      <c r="AE53" s="577">
        <v>5055</v>
      </c>
      <c r="AF53" s="577">
        <v>41597.360000000001</v>
      </c>
      <c r="AG53" s="577">
        <v>38224.870000000003</v>
      </c>
      <c r="AH53" s="577">
        <v>0</v>
      </c>
      <c r="AI53" s="577">
        <v>0</v>
      </c>
      <c r="AJ53" s="577">
        <v>0</v>
      </c>
      <c r="AK53" s="577">
        <v>1055</v>
      </c>
      <c r="AL53" s="577">
        <v>54489</v>
      </c>
      <c r="AM53" s="580">
        <f t="shared" si="2"/>
        <v>55544</v>
      </c>
      <c r="AN53" s="577">
        <v>735978.21</v>
      </c>
      <c r="AO53" s="577">
        <v>0</v>
      </c>
      <c r="AP53" s="577">
        <v>384331.32</v>
      </c>
      <c r="AQ53" s="577">
        <v>39383.24</v>
      </c>
      <c r="AR53" s="577">
        <v>64703.23</v>
      </c>
      <c r="AS53" s="577">
        <v>0</v>
      </c>
      <c r="AT53" s="577">
        <v>5794.49</v>
      </c>
      <c r="AU53" s="577">
        <v>1689.7</v>
      </c>
      <c r="AV53" s="577">
        <v>0</v>
      </c>
      <c r="AW53" s="577">
        <v>346.94</v>
      </c>
      <c r="AX53" s="577">
        <v>8211.84</v>
      </c>
      <c r="AY53" s="577">
        <v>2718.39</v>
      </c>
      <c r="AZ53" s="577">
        <v>240.24</v>
      </c>
      <c r="BA53" s="577">
        <v>21223.84</v>
      </c>
      <c r="BB53" s="577">
        <v>0</v>
      </c>
      <c r="BC53" s="577">
        <v>15865.49</v>
      </c>
      <c r="BD53" s="577">
        <v>4336.8</v>
      </c>
      <c r="BE53" s="577">
        <v>8225.68</v>
      </c>
      <c r="BF53" s="577">
        <v>102105.71</v>
      </c>
      <c r="BG53" s="577">
        <v>5162.1899999999996</v>
      </c>
      <c r="BH53" s="576">
        <v>0</v>
      </c>
      <c r="BI53" s="576">
        <v>2308.61</v>
      </c>
      <c r="BJ53" s="576">
        <v>10182.200000000001</v>
      </c>
      <c r="BK53" s="576">
        <v>763.66</v>
      </c>
      <c r="BL53" s="576">
        <v>155.56</v>
      </c>
      <c r="BM53" s="576">
        <v>10450</v>
      </c>
      <c r="BN53" s="577">
        <f t="shared" si="3"/>
        <v>29022.22</v>
      </c>
      <c r="BO53" s="577">
        <v>0</v>
      </c>
      <c r="BP53" s="577">
        <v>589.92999999999995</v>
      </c>
      <c r="BQ53" s="577">
        <v>8546.01</v>
      </c>
      <c r="BR53" s="577">
        <v>917.95</v>
      </c>
      <c r="BS53" s="577">
        <v>89508.57</v>
      </c>
      <c r="BT53" s="577">
        <v>0</v>
      </c>
      <c r="BU53" s="577">
        <v>31822.89</v>
      </c>
      <c r="BV53" s="577">
        <v>23663.74</v>
      </c>
      <c r="BW53" s="577">
        <v>0</v>
      </c>
      <c r="BX53" s="577">
        <v>0</v>
      </c>
      <c r="BY53" s="577">
        <v>0</v>
      </c>
      <c r="BZ53" s="577">
        <v>0</v>
      </c>
      <c r="CA53" s="577">
        <v>0</v>
      </c>
      <c r="CB53" s="577">
        <v>0</v>
      </c>
      <c r="CC53" s="577">
        <v>0</v>
      </c>
      <c r="CD53" s="577">
        <v>0</v>
      </c>
      <c r="CE53" s="577">
        <v>6000</v>
      </c>
      <c r="CF53" s="577">
        <v>0</v>
      </c>
      <c r="CG53" s="577">
        <v>0</v>
      </c>
      <c r="CH53" s="577">
        <v>0</v>
      </c>
      <c r="CI53" s="577">
        <v>0</v>
      </c>
      <c r="CJ53" s="576">
        <v>0</v>
      </c>
      <c r="CK53" s="576">
        <v>0</v>
      </c>
      <c r="CL53" s="576">
        <v>0</v>
      </c>
      <c r="CM53" s="576">
        <v>0</v>
      </c>
      <c r="CN53" s="577">
        <v>0</v>
      </c>
      <c r="CO53" s="577">
        <v>68076</v>
      </c>
      <c r="CP53" s="577">
        <v>0</v>
      </c>
      <c r="CQ53" s="577">
        <v>0</v>
      </c>
      <c r="CR53" s="577">
        <v>0</v>
      </c>
      <c r="CS53" s="577">
        <v>0</v>
      </c>
      <c r="CU53" s="495">
        <f t="shared" si="4"/>
        <v>68076</v>
      </c>
      <c r="CV53" s="495">
        <f t="shared" si="5"/>
        <v>0</v>
      </c>
      <c r="CW53" s="495">
        <f t="shared" si="6"/>
        <v>68076</v>
      </c>
      <c r="CX53" s="495">
        <f t="shared" si="9"/>
        <v>1518166.9600000002</v>
      </c>
      <c r="CY53" s="495">
        <f t="shared" si="7"/>
        <v>1579226.4299999997</v>
      </c>
      <c r="CZ53" s="495">
        <f t="shared" si="10"/>
        <v>1254925.02</v>
      </c>
      <c r="DA53" s="495">
        <f t="shared" si="8"/>
        <v>-61059.469999999506</v>
      </c>
    </row>
    <row r="54" spans="1:105" ht="15">
      <c r="A54" s="576">
        <v>302</v>
      </c>
      <c r="B54" s="576">
        <v>3313</v>
      </c>
      <c r="C54" s="576" t="s">
        <v>289</v>
      </c>
      <c r="D54" s="576" t="s">
        <v>594</v>
      </c>
      <c r="E54" s="576"/>
      <c r="F54" s="576" t="s">
        <v>588</v>
      </c>
      <c r="G54" s="576">
        <v>0</v>
      </c>
      <c r="H54" s="576">
        <v>0</v>
      </c>
      <c r="I54" s="576" t="s">
        <v>853</v>
      </c>
      <c r="J54" s="576" t="s">
        <v>854</v>
      </c>
      <c r="K54" s="576" t="s">
        <v>591</v>
      </c>
      <c r="L54" s="576" t="s">
        <v>592</v>
      </c>
      <c r="M54" s="576" t="s">
        <v>591</v>
      </c>
      <c r="N54" s="576" t="s">
        <v>593</v>
      </c>
      <c r="O54" s="576" t="s">
        <v>188</v>
      </c>
      <c r="P54" s="576" t="s">
        <v>188</v>
      </c>
      <c r="Q54" s="577">
        <v>181780.9</v>
      </c>
      <c r="R54" s="577">
        <v>0</v>
      </c>
      <c r="S54" s="577">
        <v>0</v>
      </c>
      <c r="T54" s="577">
        <v>1364537.95</v>
      </c>
      <c r="U54" s="577">
        <v>0</v>
      </c>
      <c r="V54" s="577">
        <v>117194.4</v>
      </c>
      <c r="W54" s="577">
        <v>0</v>
      </c>
      <c r="X54" s="577">
        <v>77660</v>
      </c>
      <c r="Y54" s="577">
        <v>5400</v>
      </c>
      <c r="Z54" s="577">
        <v>39698.410000000003</v>
      </c>
      <c r="AA54" s="577">
        <v>1407.12</v>
      </c>
      <c r="AB54" s="577">
        <v>16054.75</v>
      </c>
      <c r="AC54" s="577">
        <v>105.03</v>
      </c>
      <c r="AD54" s="577">
        <v>0</v>
      </c>
      <c r="AE54" s="577">
        <v>0</v>
      </c>
      <c r="AF54" s="577">
        <v>17498.400000000001</v>
      </c>
      <c r="AG54" s="577">
        <v>10504.44</v>
      </c>
      <c r="AH54" s="577">
        <v>0</v>
      </c>
      <c r="AI54" s="577">
        <v>0</v>
      </c>
      <c r="AJ54" s="577">
        <v>0</v>
      </c>
      <c r="AK54" s="577">
        <v>1749.38</v>
      </c>
      <c r="AL54" s="577">
        <v>46996</v>
      </c>
      <c r="AM54" s="580">
        <f t="shared" si="2"/>
        <v>48745.38</v>
      </c>
      <c r="AN54" s="577">
        <v>681399.7</v>
      </c>
      <c r="AO54" s="577">
        <v>30285.19</v>
      </c>
      <c r="AP54" s="577">
        <v>422758.54</v>
      </c>
      <c r="AQ54" s="577">
        <v>44267.92</v>
      </c>
      <c r="AR54" s="577">
        <v>68381.279999999999</v>
      </c>
      <c r="AS54" s="577">
        <v>0</v>
      </c>
      <c r="AT54" s="577">
        <v>13873.7</v>
      </c>
      <c r="AU54" s="577">
        <v>6555.77</v>
      </c>
      <c r="AV54" s="577">
        <v>3239.85</v>
      </c>
      <c r="AW54" s="577">
        <v>8431.44</v>
      </c>
      <c r="AX54" s="577">
        <v>0</v>
      </c>
      <c r="AY54" s="577">
        <v>35479.31</v>
      </c>
      <c r="AZ54" s="577">
        <v>1600.82</v>
      </c>
      <c r="BA54" s="577">
        <v>24478.73</v>
      </c>
      <c r="BB54" s="577">
        <v>2849.28</v>
      </c>
      <c r="BC54" s="577">
        <v>30214.22</v>
      </c>
      <c r="BD54" s="577">
        <v>5699.7</v>
      </c>
      <c r="BE54" s="577">
        <v>8359.43</v>
      </c>
      <c r="BF54" s="577">
        <v>48062.559999999998</v>
      </c>
      <c r="BG54" s="577">
        <v>0</v>
      </c>
      <c r="BH54" s="576">
        <v>4447.6899999999996</v>
      </c>
      <c r="BI54" s="576">
        <v>50</v>
      </c>
      <c r="BJ54" s="576">
        <v>1543.74</v>
      </c>
      <c r="BK54" s="576">
        <v>0</v>
      </c>
      <c r="BL54" s="576">
        <v>4064.09</v>
      </c>
      <c r="BM54" s="576">
        <v>3120</v>
      </c>
      <c r="BN54" s="577">
        <f t="shared" si="3"/>
        <v>13225.52</v>
      </c>
      <c r="BO54" s="577">
        <v>0</v>
      </c>
      <c r="BP54" s="577">
        <v>6870.35</v>
      </c>
      <c r="BQ54" s="577">
        <v>8232.2800000000007</v>
      </c>
      <c r="BR54" s="577">
        <v>5824.06</v>
      </c>
      <c r="BS54" s="577">
        <v>77832.399999999994</v>
      </c>
      <c r="BT54" s="577">
        <v>17105.93</v>
      </c>
      <c r="BU54" s="577">
        <v>123149.23</v>
      </c>
      <c r="BV54" s="577">
        <v>31708.57</v>
      </c>
      <c r="BW54" s="577">
        <v>0</v>
      </c>
      <c r="BX54" s="577">
        <v>0</v>
      </c>
      <c r="BY54" s="577">
        <v>0</v>
      </c>
      <c r="BZ54" s="577">
        <v>0</v>
      </c>
      <c r="CA54" s="577">
        <v>0</v>
      </c>
      <c r="CB54" s="577">
        <v>0</v>
      </c>
      <c r="CC54" s="577">
        <v>0</v>
      </c>
      <c r="CD54" s="577">
        <v>0</v>
      </c>
      <c r="CE54" s="577">
        <v>6000</v>
      </c>
      <c r="CF54" s="577">
        <v>0</v>
      </c>
      <c r="CG54" s="577">
        <v>0</v>
      </c>
      <c r="CH54" s="577">
        <v>0</v>
      </c>
      <c r="CI54" s="577">
        <v>0</v>
      </c>
      <c r="CJ54" s="576">
        <v>0</v>
      </c>
      <c r="CK54" s="576">
        <v>0</v>
      </c>
      <c r="CL54" s="576">
        <v>0</v>
      </c>
      <c r="CM54" s="576">
        <v>0</v>
      </c>
      <c r="CN54" s="577">
        <v>4391</v>
      </c>
      <c r="CO54" s="577">
        <v>156310</v>
      </c>
      <c r="CP54" s="577">
        <v>0</v>
      </c>
      <c r="CQ54" s="577">
        <v>0</v>
      </c>
      <c r="CR54" s="577">
        <v>0</v>
      </c>
      <c r="CS54" s="577">
        <v>0</v>
      </c>
      <c r="CU54" s="495">
        <f t="shared" si="4"/>
        <v>160701</v>
      </c>
      <c r="CV54" s="495">
        <f t="shared" si="5"/>
        <v>0</v>
      </c>
      <c r="CW54" s="495">
        <f t="shared" si="6"/>
        <v>160701</v>
      </c>
      <c r="CX54" s="495">
        <f t="shared" si="9"/>
        <v>1698805.8799999997</v>
      </c>
      <c r="CY54" s="495">
        <f t="shared" si="7"/>
        <v>1719885.78</v>
      </c>
      <c r="CZ54" s="495">
        <f t="shared" si="10"/>
        <v>1481732.3499999999</v>
      </c>
      <c r="DA54" s="495">
        <f t="shared" si="8"/>
        <v>-21079.900000000373</v>
      </c>
    </row>
    <row r="55" spans="1:105" ht="15">
      <c r="A55" s="576">
        <v>302</v>
      </c>
      <c r="B55" s="576">
        <v>3314</v>
      </c>
      <c r="C55" s="576" t="s">
        <v>338</v>
      </c>
      <c r="D55" s="576" t="s">
        <v>594</v>
      </c>
      <c r="E55" s="576"/>
      <c r="F55" s="576" t="s">
        <v>588</v>
      </c>
      <c r="G55" s="576">
        <v>0</v>
      </c>
      <c r="H55" s="576">
        <v>0</v>
      </c>
      <c r="I55" s="576" t="s">
        <v>853</v>
      </c>
      <c r="J55" s="576" t="s">
        <v>854</v>
      </c>
      <c r="K55" s="576" t="s">
        <v>591</v>
      </c>
      <c r="L55" s="576" t="s">
        <v>592</v>
      </c>
      <c r="M55" s="576" t="s">
        <v>591</v>
      </c>
      <c r="N55" s="576" t="s">
        <v>593</v>
      </c>
      <c r="O55" s="576" t="s">
        <v>188</v>
      </c>
      <c r="P55" s="576" t="s">
        <v>188</v>
      </c>
      <c r="Q55" s="577">
        <v>36396.1</v>
      </c>
      <c r="R55" s="577">
        <v>0</v>
      </c>
      <c r="S55" s="577">
        <v>0</v>
      </c>
      <c r="T55" s="577">
        <v>1173354.1599999999</v>
      </c>
      <c r="U55" s="577">
        <v>0</v>
      </c>
      <c r="V55" s="577">
        <v>108560.87</v>
      </c>
      <c r="W55" s="577">
        <v>0</v>
      </c>
      <c r="X55" s="577">
        <v>64730</v>
      </c>
      <c r="Y55" s="577">
        <v>6459.23</v>
      </c>
      <c r="Z55" s="577">
        <v>151892.03</v>
      </c>
      <c r="AA55" s="577">
        <v>0</v>
      </c>
      <c r="AB55" s="577">
        <v>41475.269999999997</v>
      </c>
      <c r="AC55" s="577">
        <v>934.82</v>
      </c>
      <c r="AD55" s="577">
        <v>0</v>
      </c>
      <c r="AE55" s="577">
        <v>8736.84</v>
      </c>
      <c r="AF55" s="577">
        <v>21109.55</v>
      </c>
      <c r="AG55" s="577">
        <v>35821.910000000003</v>
      </c>
      <c r="AH55" s="577">
        <v>0</v>
      </c>
      <c r="AI55" s="577">
        <v>0</v>
      </c>
      <c r="AJ55" s="577">
        <v>0</v>
      </c>
      <c r="AK55" s="577">
        <v>4186.25</v>
      </c>
      <c r="AL55" s="577">
        <v>50558</v>
      </c>
      <c r="AM55" s="580">
        <f t="shared" si="2"/>
        <v>54744.25</v>
      </c>
      <c r="AN55" s="577">
        <v>755041.46</v>
      </c>
      <c r="AO55" s="577">
        <v>0</v>
      </c>
      <c r="AP55" s="577">
        <v>263851.99</v>
      </c>
      <c r="AQ55" s="577">
        <v>47538.37</v>
      </c>
      <c r="AR55" s="577">
        <v>58992.13</v>
      </c>
      <c r="AS55" s="577">
        <v>0</v>
      </c>
      <c r="AT55" s="577">
        <v>67958.92</v>
      </c>
      <c r="AU55" s="577">
        <v>6534.03</v>
      </c>
      <c r="AV55" s="577">
        <v>2567.98</v>
      </c>
      <c r="AW55" s="577">
        <v>341.96</v>
      </c>
      <c r="AX55" s="577">
        <v>0</v>
      </c>
      <c r="AY55" s="577">
        <v>22342.39</v>
      </c>
      <c r="AZ55" s="577">
        <v>322.27999999999997</v>
      </c>
      <c r="BA55" s="577">
        <v>4825.78</v>
      </c>
      <c r="BB55" s="577">
        <v>4143.84</v>
      </c>
      <c r="BC55" s="577">
        <v>27138.41</v>
      </c>
      <c r="BD55" s="577">
        <v>3681.6</v>
      </c>
      <c r="BE55" s="577">
        <v>9428.74</v>
      </c>
      <c r="BF55" s="577">
        <v>71054.89</v>
      </c>
      <c r="BG55" s="577">
        <v>4515.6400000000003</v>
      </c>
      <c r="BH55" s="576">
        <v>0</v>
      </c>
      <c r="BI55" s="576">
        <v>5908.45</v>
      </c>
      <c r="BJ55" s="576">
        <v>6838.27</v>
      </c>
      <c r="BK55" s="576">
        <v>3561.25</v>
      </c>
      <c r="BL55" s="576">
        <v>2873.42</v>
      </c>
      <c r="BM55" s="576">
        <v>8361</v>
      </c>
      <c r="BN55" s="577">
        <f t="shared" si="3"/>
        <v>32058.03</v>
      </c>
      <c r="BO55" s="577">
        <v>0</v>
      </c>
      <c r="BP55" s="577">
        <v>5774.15</v>
      </c>
      <c r="BQ55" s="577">
        <v>8415.35</v>
      </c>
      <c r="BR55" s="577">
        <v>11530.01</v>
      </c>
      <c r="BS55" s="577">
        <v>94454.43</v>
      </c>
      <c r="BT55" s="577">
        <v>1051.6600000000001</v>
      </c>
      <c r="BU55" s="577">
        <v>112408.71</v>
      </c>
      <c r="BV55" s="577">
        <v>31225.919999999998</v>
      </c>
      <c r="BW55" s="577">
        <v>0</v>
      </c>
      <c r="BX55" s="577">
        <v>0</v>
      </c>
      <c r="BY55" s="577">
        <v>0</v>
      </c>
      <c r="BZ55" s="577">
        <v>0</v>
      </c>
      <c r="CA55" s="577">
        <v>0</v>
      </c>
      <c r="CB55" s="577">
        <v>0</v>
      </c>
      <c r="CC55" s="577">
        <v>0</v>
      </c>
      <c r="CD55" s="577">
        <v>0</v>
      </c>
      <c r="CE55" s="577">
        <v>6000</v>
      </c>
      <c r="CF55" s="577">
        <v>0</v>
      </c>
      <c r="CG55" s="577">
        <v>0</v>
      </c>
      <c r="CH55" s="577">
        <v>0</v>
      </c>
      <c r="CI55" s="577">
        <v>0</v>
      </c>
      <c r="CJ55" s="576">
        <v>0</v>
      </c>
      <c r="CK55" s="576">
        <v>0</v>
      </c>
      <c r="CL55" s="576">
        <v>0</v>
      </c>
      <c r="CM55" s="576">
        <v>0</v>
      </c>
      <c r="CN55" s="577">
        <v>0</v>
      </c>
      <c r="CO55" s="577">
        <v>61532</v>
      </c>
      <c r="CP55" s="577">
        <v>0</v>
      </c>
      <c r="CQ55" s="577">
        <v>0</v>
      </c>
      <c r="CR55" s="577">
        <v>0</v>
      </c>
      <c r="CS55" s="577">
        <v>0</v>
      </c>
      <c r="CU55" s="495">
        <f t="shared" si="4"/>
        <v>61532</v>
      </c>
      <c r="CV55" s="495">
        <f t="shared" si="5"/>
        <v>0</v>
      </c>
      <c r="CW55" s="495">
        <f t="shared" si="6"/>
        <v>61532</v>
      </c>
      <c r="CX55" s="495">
        <f t="shared" si="9"/>
        <v>1667818.93</v>
      </c>
      <c r="CY55" s="495">
        <f t="shared" si="7"/>
        <v>1642683.0299999993</v>
      </c>
      <c r="CZ55" s="495">
        <f t="shared" si="10"/>
        <v>1281915.0299999998</v>
      </c>
      <c r="DA55" s="495">
        <f t="shared" si="8"/>
        <v>25135.900000000605</v>
      </c>
    </row>
    <row r="56" spans="1:105" ht="30">
      <c r="A56" s="576">
        <v>302</v>
      </c>
      <c r="B56" s="576">
        <v>3315</v>
      </c>
      <c r="C56" s="576" t="s">
        <v>428</v>
      </c>
      <c r="D56" s="576" t="s">
        <v>594</v>
      </c>
      <c r="E56" s="576"/>
      <c r="F56" s="576" t="s">
        <v>588</v>
      </c>
      <c r="G56" s="576">
        <v>0</v>
      </c>
      <c r="H56" s="576">
        <v>0</v>
      </c>
      <c r="I56" s="576" t="s">
        <v>853</v>
      </c>
      <c r="J56" s="576" t="s">
        <v>854</v>
      </c>
      <c r="K56" s="576" t="s">
        <v>591</v>
      </c>
      <c r="L56" s="576" t="s">
        <v>592</v>
      </c>
      <c r="M56" s="576" t="s">
        <v>591</v>
      </c>
      <c r="N56" s="576" t="s">
        <v>593</v>
      </c>
      <c r="O56" s="576" t="s">
        <v>188</v>
      </c>
      <c r="P56" s="576" t="s">
        <v>188</v>
      </c>
      <c r="Q56" s="577">
        <v>102311.72</v>
      </c>
      <c r="R56" s="577">
        <v>0</v>
      </c>
      <c r="S56" s="577">
        <v>0</v>
      </c>
      <c r="T56" s="577">
        <v>1126791.3500000001</v>
      </c>
      <c r="U56" s="577">
        <v>0</v>
      </c>
      <c r="V56" s="577">
        <v>27454.05</v>
      </c>
      <c r="W56" s="577">
        <v>0</v>
      </c>
      <c r="X56" s="577">
        <v>17370</v>
      </c>
      <c r="Y56" s="577">
        <v>196.97</v>
      </c>
      <c r="Z56" s="577">
        <v>61282.36</v>
      </c>
      <c r="AA56" s="577">
        <v>91092.479999999996</v>
      </c>
      <c r="AB56" s="577">
        <v>0</v>
      </c>
      <c r="AC56" s="577">
        <v>1093.42</v>
      </c>
      <c r="AD56" s="577">
        <v>0</v>
      </c>
      <c r="AE56" s="577">
        <v>0</v>
      </c>
      <c r="AF56" s="577">
        <v>30499.599999999999</v>
      </c>
      <c r="AG56" s="577">
        <v>12690.3</v>
      </c>
      <c r="AH56" s="577">
        <v>0</v>
      </c>
      <c r="AI56" s="577">
        <v>0</v>
      </c>
      <c r="AJ56" s="577">
        <v>0</v>
      </c>
      <c r="AK56" s="577">
        <v>0</v>
      </c>
      <c r="AL56" s="577">
        <v>51443.38</v>
      </c>
      <c r="AM56" s="580">
        <f t="shared" si="2"/>
        <v>51443.38</v>
      </c>
      <c r="AN56" s="577">
        <v>735054.18</v>
      </c>
      <c r="AO56" s="577">
        <v>0</v>
      </c>
      <c r="AP56" s="577">
        <v>223124.04</v>
      </c>
      <c r="AQ56" s="577">
        <v>41378.04</v>
      </c>
      <c r="AR56" s="577">
        <v>69534.509999999995</v>
      </c>
      <c r="AS56" s="577">
        <v>0</v>
      </c>
      <c r="AT56" s="577">
        <v>36479.06</v>
      </c>
      <c r="AU56" s="577">
        <v>336.66</v>
      </c>
      <c r="AV56" s="577">
        <v>1404.56</v>
      </c>
      <c r="AW56" s="577">
        <v>335.32</v>
      </c>
      <c r="AX56" s="577">
        <v>5948.6</v>
      </c>
      <c r="AY56" s="577">
        <v>33332.300000000003</v>
      </c>
      <c r="AZ56" s="577">
        <v>0</v>
      </c>
      <c r="BA56" s="577">
        <v>2015.19</v>
      </c>
      <c r="BB56" s="577">
        <v>4450.04</v>
      </c>
      <c r="BC56" s="577">
        <v>23966.44</v>
      </c>
      <c r="BD56" s="577">
        <v>4180.8</v>
      </c>
      <c r="BE56" s="577">
        <v>7602.26</v>
      </c>
      <c r="BF56" s="577">
        <v>59821.21</v>
      </c>
      <c r="BG56" s="577">
        <v>10653.37</v>
      </c>
      <c r="BH56" s="576">
        <v>0</v>
      </c>
      <c r="BI56" s="576">
        <v>0</v>
      </c>
      <c r="BJ56" s="576">
        <v>0</v>
      </c>
      <c r="BK56" s="576">
        <v>0</v>
      </c>
      <c r="BL56" s="576">
        <v>0</v>
      </c>
      <c r="BM56" s="576">
        <v>0</v>
      </c>
      <c r="BN56" s="577">
        <f t="shared" si="3"/>
        <v>10653.37</v>
      </c>
      <c r="BO56" s="577">
        <v>0</v>
      </c>
      <c r="BP56" s="577">
        <v>10676.85</v>
      </c>
      <c r="BQ56" s="577">
        <v>8259.7800000000007</v>
      </c>
      <c r="BR56" s="577">
        <v>19097.39</v>
      </c>
      <c r="BS56" s="577">
        <v>85538.15</v>
      </c>
      <c r="BT56" s="577">
        <v>20250</v>
      </c>
      <c r="BU56" s="577">
        <v>33046.080000000002</v>
      </c>
      <c r="BV56" s="577">
        <v>40817</v>
      </c>
      <c r="BW56" s="577">
        <v>280.8</v>
      </c>
      <c r="BX56" s="577">
        <v>0</v>
      </c>
      <c r="BY56" s="577">
        <v>0</v>
      </c>
      <c r="BZ56" s="577">
        <v>0</v>
      </c>
      <c r="CA56" s="577">
        <v>0</v>
      </c>
      <c r="CB56" s="577">
        <v>0</v>
      </c>
      <c r="CC56" s="577">
        <v>0</v>
      </c>
      <c r="CD56" s="577">
        <v>0</v>
      </c>
      <c r="CE56" s="577">
        <v>6000</v>
      </c>
      <c r="CF56" s="577">
        <v>0</v>
      </c>
      <c r="CG56" s="577">
        <v>0</v>
      </c>
      <c r="CH56" s="577">
        <v>0</v>
      </c>
      <c r="CI56" s="577">
        <v>0</v>
      </c>
      <c r="CJ56" s="576">
        <v>0</v>
      </c>
      <c r="CK56" s="576">
        <v>0</v>
      </c>
      <c r="CL56" s="576">
        <v>0</v>
      </c>
      <c r="CM56" s="576">
        <v>0</v>
      </c>
      <c r="CN56" s="577">
        <v>0</v>
      </c>
      <c r="CO56" s="577">
        <v>44643</v>
      </c>
      <c r="CP56" s="577">
        <v>0</v>
      </c>
      <c r="CQ56" s="577">
        <v>0</v>
      </c>
      <c r="CR56" s="577">
        <v>0</v>
      </c>
      <c r="CS56" s="577">
        <v>0</v>
      </c>
      <c r="CU56" s="495">
        <f t="shared" si="4"/>
        <v>44643</v>
      </c>
      <c r="CV56" s="495">
        <f t="shared" si="5"/>
        <v>0</v>
      </c>
      <c r="CW56" s="495">
        <f t="shared" si="6"/>
        <v>44643</v>
      </c>
      <c r="CX56" s="495">
        <f t="shared" si="9"/>
        <v>1419913.9100000001</v>
      </c>
      <c r="CY56" s="495">
        <f t="shared" si="7"/>
        <v>1477582.6300000004</v>
      </c>
      <c r="CZ56" s="495">
        <f t="shared" si="10"/>
        <v>1154245.4000000001</v>
      </c>
      <c r="DA56" s="495">
        <f t="shared" si="8"/>
        <v>-57668.720000000205</v>
      </c>
    </row>
    <row r="57" spans="1:105" ht="15">
      <c r="A57" s="576">
        <v>302</v>
      </c>
      <c r="B57" s="576">
        <v>3316</v>
      </c>
      <c r="C57" s="576" t="s">
        <v>856</v>
      </c>
      <c r="D57" s="576" t="s">
        <v>594</v>
      </c>
      <c r="E57" s="576"/>
      <c r="F57" s="576" t="s">
        <v>588</v>
      </c>
      <c r="G57" s="576">
        <v>0</v>
      </c>
      <c r="H57" s="576">
        <v>1</v>
      </c>
      <c r="I57" s="576" t="s">
        <v>853</v>
      </c>
      <c r="J57" s="576" t="s">
        <v>854</v>
      </c>
      <c r="K57" s="576" t="s">
        <v>591</v>
      </c>
      <c r="L57" s="576" t="s">
        <v>592</v>
      </c>
      <c r="M57" s="576" t="s">
        <v>591</v>
      </c>
      <c r="N57" s="576" t="s">
        <v>593</v>
      </c>
      <c r="O57" s="576" t="s">
        <v>188</v>
      </c>
      <c r="P57" s="576" t="s">
        <v>188</v>
      </c>
      <c r="Q57" s="577">
        <v>-39320.699999999997</v>
      </c>
      <c r="R57" s="577">
        <v>0</v>
      </c>
      <c r="S57" s="577">
        <v>0</v>
      </c>
      <c r="T57" s="577">
        <v>1159686.83</v>
      </c>
      <c r="U57" s="577">
        <v>0</v>
      </c>
      <c r="V57" s="577">
        <v>91785.09</v>
      </c>
      <c r="W57" s="577">
        <v>0</v>
      </c>
      <c r="X57" s="577">
        <v>29140</v>
      </c>
      <c r="Y57" s="577">
        <v>3224.45</v>
      </c>
      <c r="Z57" s="577">
        <v>54905.15</v>
      </c>
      <c r="AA57" s="577">
        <v>0</v>
      </c>
      <c r="AB57" s="577">
        <v>51052.11</v>
      </c>
      <c r="AC57" s="577">
        <v>1721.67</v>
      </c>
      <c r="AD57" s="577">
        <v>0</v>
      </c>
      <c r="AE57" s="577">
        <v>0</v>
      </c>
      <c r="AF57" s="577">
        <v>25057.39</v>
      </c>
      <c r="AG57" s="577">
        <v>18619.939999999999</v>
      </c>
      <c r="AH57" s="577">
        <v>0</v>
      </c>
      <c r="AI57" s="577">
        <v>0</v>
      </c>
      <c r="AJ57" s="577">
        <v>0</v>
      </c>
      <c r="AK57" s="577">
        <v>1855.63</v>
      </c>
      <c r="AL57" s="577">
        <v>53837</v>
      </c>
      <c r="AM57" s="580">
        <f t="shared" si="2"/>
        <v>55692.63</v>
      </c>
      <c r="AN57" s="577">
        <v>767831.77</v>
      </c>
      <c r="AO57" s="577">
        <v>0</v>
      </c>
      <c r="AP57" s="577">
        <v>257129.92</v>
      </c>
      <c r="AQ57" s="577">
        <v>22147.71</v>
      </c>
      <c r="AR57" s="577">
        <v>50625.3</v>
      </c>
      <c r="AS57" s="577">
        <v>0</v>
      </c>
      <c r="AT57" s="577">
        <v>56742.92</v>
      </c>
      <c r="AU57" s="577">
        <v>3658.33</v>
      </c>
      <c r="AV57" s="577">
        <v>4192.22</v>
      </c>
      <c r="AW57" s="577">
        <v>345.28</v>
      </c>
      <c r="AX57" s="577">
        <v>918</v>
      </c>
      <c r="AY57" s="577">
        <v>6616.12</v>
      </c>
      <c r="AZ57" s="577">
        <v>7.15</v>
      </c>
      <c r="BA57" s="577">
        <v>13010.55</v>
      </c>
      <c r="BB57" s="577">
        <v>3030</v>
      </c>
      <c r="BC57" s="577">
        <v>19338.77</v>
      </c>
      <c r="BD57" s="577">
        <v>4992</v>
      </c>
      <c r="BE57" s="577">
        <v>8805.5300000000007</v>
      </c>
      <c r="BF57" s="577">
        <v>45253.62</v>
      </c>
      <c r="BG57" s="577">
        <v>5475.03</v>
      </c>
      <c r="BH57" s="576">
        <v>0</v>
      </c>
      <c r="BI57" s="576">
        <v>0</v>
      </c>
      <c r="BJ57" s="576">
        <v>1859</v>
      </c>
      <c r="BK57" s="576">
        <v>1576.9</v>
      </c>
      <c r="BL57" s="576">
        <v>0</v>
      </c>
      <c r="BM57" s="576">
        <v>0</v>
      </c>
      <c r="BN57" s="577">
        <f t="shared" si="3"/>
        <v>8910.93</v>
      </c>
      <c r="BO57" s="577">
        <v>0</v>
      </c>
      <c r="BP57" s="577">
        <v>10965.8</v>
      </c>
      <c r="BQ57" s="577">
        <v>3474.12</v>
      </c>
      <c r="BR57" s="577">
        <v>17760.52</v>
      </c>
      <c r="BS57" s="577">
        <v>80061.27</v>
      </c>
      <c r="BT57" s="577">
        <v>5221.1099999999997</v>
      </c>
      <c r="BU57" s="577">
        <v>43519.23</v>
      </c>
      <c r="BV57" s="577">
        <v>66377.39</v>
      </c>
      <c r="BW57" s="577">
        <v>0</v>
      </c>
      <c r="BX57" s="577">
        <v>0</v>
      </c>
      <c r="BY57" s="577">
        <v>0</v>
      </c>
      <c r="BZ57" s="577">
        <v>0</v>
      </c>
      <c r="CA57" s="577">
        <v>0</v>
      </c>
      <c r="CB57" s="577">
        <v>0</v>
      </c>
      <c r="CC57" s="577">
        <v>0</v>
      </c>
      <c r="CD57" s="577">
        <v>0</v>
      </c>
      <c r="CE57" s="577">
        <v>6000</v>
      </c>
      <c r="CF57" s="577">
        <v>0</v>
      </c>
      <c r="CG57" s="577">
        <v>0</v>
      </c>
      <c r="CH57" s="577">
        <v>0</v>
      </c>
      <c r="CI57" s="577">
        <v>0</v>
      </c>
      <c r="CJ57" s="576">
        <v>0</v>
      </c>
      <c r="CK57" s="576">
        <v>0</v>
      </c>
      <c r="CL57" s="576">
        <v>0</v>
      </c>
      <c r="CM57" s="576">
        <v>0</v>
      </c>
      <c r="CN57" s="577">
        <v>0</v>
      </c>
      <c r="CO57" s="577">
        <v>-49371</v>
      </c>
      <c r="CP57" s="577">
        <v>0</v>
      </c>
      <c r="CQ57" s="577">
        <v>0</v>
      </c>
      <c r="CR57" s="577">
        <v>0</v>
      </c>
      <c r="CS57" s="577">
        <v>0</v>
      </c>
      <c r="CU57" s="495">
        <f t="shared" si="4"/>
        <v>-49371</v>
      </c>
      <c r="CV57" s="495">
        <f t="shared" si="5"/>
        <v>0</v>
      </c>
      <c r="CW57" s="495">
        <f t="shared" si="6"/>
        <v>-49371</v>
      </c>
      <c r="CX57" s="495">
        <f t="shared" si="9"/>
        <v>1490885.2599999998</v>
      </c>
      <c r="CY57" s="495">
        <f t="shared" si="7"/>
        <v>1500935.5600000003</v>
      </c>
      <c r="CZ57" s="495">
        <f t="shared" si="10"/>
        <v>1251471.9200000002</v>
      </c>
      <c r="DA57" s="495">
        <f t="shared" si="8"/>
        <v>-10050.300000000512</v>
      </c>
    </row>
    <row r="58" spans="1:105" ht="30">
      <c r="A58" s="576">
        <v>302</v>
      </c>
      <c r="B58" s="576">
        <v>3317</v>
      </c>
      <c r="C58" s="576" t="s">
        <v>857</v>
      </c>
      <c r="D58" s="576" t="s">
        <v>594</v>
      </c>
      <c r="E58" s="576"/>
      <c r="F58" s="576" t="s">
        <v>588</v>
      </c>
      <c r="G58" s="576">
        <v>0</v>
      </c>
      <c r="H58" s="576">
        <v>1</v>
      </c>
      <c r="I58" s="576" t="s">
        <v>853</v>
      </c>
      <c r="J58" s="576" t="s">
        <v>854</v>
      </c>
      <c r="K58" s="576" t="s">
        <v>591</v>
      </c>
      <c r="L58" s="576" t="s">
        <v>592</v>
      </c>
      <c r="M58" s="576" t="s">
        <v>591</v>
      </c>
      <c r="N58" s="576" t="s">
        <v>593</v>
      </c>
      <c r="O58" s="576" t="s">
        <v>188</v>
      </c>
      <c r="P58" s="576" t="s">
        <v>188</v>
      </c>
      <c r="Q58" s="577">
        <v>84128.22</v>
      </c>
      <c r="R58" s="577">
        <v>-2791</v>
      </c>
      <c r="S58" s="577">
        <v>0</v>
      </c>
      <c r="T58" s="577">
        <v>1366575.77</v>
      </c>
      <c r="U58" s="577">
        <v>0</v>
      </c>
      <c r="V58" s="577">
        <v>163244.94</v>
      </c>
      <c r="W58" s="577">
        <v>0</v>
      </c>
      <c r="X58" s="577">
        <v>82668</v>
      </c>
      <c r="Y58" s="577">
        <v>27548</v>
      </c>
      <c r="Z58" s="577">
        <v>58836.66</v>
      </c>
      <c r="AA58" s="577">
        <v>35300.9</v>
      </c>
      <c r="AB58" s="577">
        <v>31607.279999999999</v>
      </c>
      <c r="AC58" s="577">
        <v>2214.08</v>
      </c>
      <c r="AD58" s="577">
        <v>0</v>
      </c>
      <c r="AE58" s="577">
        <v>3000</v>
      </c>
      <c r="AF58" s="577">
        <v>35396.94</v>
      </c>
      <c r="AG58" s="577">
        <v>42898.19</v>
      </c>
      <c r="AH58" s="577">
        <v>0</v>
      </c>
      <c r="AI58" s="577">
        <v>0</v>
      </c>
      <c r="AJ58" s="577">
        <v>0</v>
      </c>
      <c r="AK58" s="577">
        <v>6240</v>
      </c>
      <c r="AL58" s="577">
        <v>49787</v>
      </c>
      <c r="AM58" s="580">
        <f t="shared" si="2"/>
        <v>56027</v>
      </c>
      <c r="AN58" s="577">
        <v>786493.19</v>
      </c>
      <c r="AO58" s="577">
        <v>23993.23</v>
      </c>
      <c r="AP58" s="577">
        <v>401364.8</v>
      </c>
      <c r="AQ58" s="577">
        <v>42298.05</v>
      </c>
      <c r="AR58" s="577">
        <v>60871.18</v>
      </c>
      <c r="AS58" s="577">
        <v>0</v>
      </c>
      <c r="AT58" s="577">
        <v>46335.42</v>
      </c>
      <c r="AU58" s="577">
        <v>379.23</v>
      </c>
      <c r="AV58" s="577">
        <v>1870.8</v>
      </c>
      <c r="AW58" s="577">
        <v>7864.4</v>
      </c>
      <c r="AX58" s="577">
        <v>0</v>
      </c>
      <c r="AY58" s="577">
        <v>13863.05</v>
      </c>
      <c r="AZ58" s="577">
        <v>2363.11</v>
      </c>
      <c r="BA58" s="577">
        <v>35407.980000000003</v>
      </c>
      <c r="BB58" s="577">
        <v>4840.76</v>
      </c>
      <c r="BC58" s="577">
        <v>37395.26</v>
      </c>
      <c r="BD58" s="577">
        <v>4680</v>
      </c>
      <c r="BE58" s="577">
        <v>10893.42</v>
      </c>
      <c r="BF58" s="577">
        <v>62445.21</v>
      </c>
      <c r="BG58" s="577">
        <v>8346.26</v>
      </c>
      <c r="BH58" s="576">
        <v>0</v>
      </c>
      <c r="BI58" s="576">
        <v>1815.27</v>
      </c>
      <c r="BJ58" s="576">
        <v>9796.68</v>
      </c>
      <c r="BK58" s="576">
        <v>454.99</v>
      </c>
      <c r="BL58" s="576">
        <v>4351.66</v>
      </c>
      <c r="BM58" s="576">
        <v>7690</v>
      </c>
      <c r="BN58" s="577">
        <f t="shared" si="3"/>
        <v>32454.86</v>
      </c>
      <c r="BO58" s="577">
        <v>0</v>
      </c>
      <c r="BP58" s="577">
        <v>3400.48</v>
      </c>
      <c r="BQ58" s="577">
        <v>10115.84</v>
      </c>
      <c r="BR58" s="577">
        <v>10333.25</v>
      </c>
      <c r="BS58" s="577">
        <v>91620.83</v>
      </c>
      <c r="BT58" s="577">
        <v>26050.95</v>
      </c>
      <c r="BU58" s="577">
        <v>65862.3</v>
      </c>
      <c r="BV58" s="577">
        <v>29606.66</v>
      </c>
      <c r="BW58" s="577">
        <v>0</v>
      </c>
      <c r="BX58" s="577">
        <v>0</v>
      </c>
      <c r="BY58" s="577">
        <v>0</v>
      </c>
      <c r="BZ58" s="577">
        <v>0</v>
      </c>
      <c r="CA58" s="577">
        <v>-2791</v>
      </c>
      <c r="CB58" s="577">
        <v>0</v>
      </c>
      <c r="CC58" s="577">
        <v>0</v>
      </c>
      <c r="CD58" s="577">
        <v>0</v>
      </c>
      <c r="CE58" s="577">
        <v>6000</v>
      </c>
      <c r="CF58" s="577">
        <v>0</v>
      </c>
      <c r="CG58" s="577">
        <v>0</v>
      </c>
      <c r="CH58" s="577">
        <v>0</v>
      </c>
      <c r="CI58" s="577">
        <v>0</v>
      </c>
      <c r="CJ58" s="576">
        <v>0</v>
      </c>
      <c r="CK58" s="576">
        <v>0</v>
      </c>
      <c r="CL58" s="576">
        <v>0</v>
      </c>
      <c r="CM58" s="576">
        <v>0</v>
      </c>
      <c r="CN58" s="577">
        <v>0</v>
      </c>
      <c r="CO58" s="577">
        <v>176641.72</v>
      </c>
      <c r="CP58" s="577">
        <v>0</v>
      </c>
      <c r="CQ58" s="577">
        <v>0</v>
      </c>
      <c r="CR58" s="577">
        <v>0</v>
      </c>
      <c r="CS58" s="577">
        <v>0</v>
      </c>
      <c r="CU58" s="495">
        <f t="shared" si="4"/>
        <v>176641.72</v>
      </c>
      <c r="CV58" s="495">
        <f t="shared" si="5"/>
        <v>0</v>
      </c>
      <c r="CW58" s="495">
        <f t="shared" si="6"/>
        <v>176641.72</v>
      </c>
      <c r="CX58" s="495">
        <f t="shared" si="9"/>
        <v>1905317.7599999998</v>
      </c>
      <c r="CY58" s="495">
        <f t="shared" si="7"/>
        <v>1812804.2599999998</v>
      </c>
      <c r="CZ58" s="495">
        <f t="shared" si="10"/>
        <v>1529820.71</v>
      </c>
      <c r="DA58" s="495">
        <f t="shared" si="8"/>
        <v>92513.5</v>
      </c>
    </row>
    <row r="59" spans="1:105" ht="30">
      <c r="A59" s="576">
        <v>302</v>
      </c>
      <c r="B59" s="576">
        <v>3500</v>
      </c>
      <c r="C59" s="576" t="s">
        <v>382</v>
      </c>
      <c r="D59" s="576" t="s">
        <v>594</v>
      </c>
      <c r="E59" s="576"/>
      <c r="F59" s="576" t="s">
        <v>588</v>
      </c>
      <c r="G59" s="576">
        <v>0</v>
      </c>
      <c r="H59" s="576">
        <v>0</v>
      </c>
      <c r="I59" s="576" t="s">
        <v>853</v>
      </c>
      <c r="J59" s="576" t="s">
        <v>854</v>
      </c>
      <c r="K59" s="576" t="s">
        <v>591</v>
      </c>
      <c r="L59" s="576" t="s">
        <v>592</v>
      </c>
      <c r="M59" s="576" t="s">
        <v>591</v>
      </c>
      <c r="N59" s="576" t="s">
        <v>593</v>
      </c>
      <c r="O59" s="576" t="s">
        <v>188</v>
      </c>
      <c r="P59" s="576" t="s">
        <v>188</v>
      </c>
      <c r="Q59" s="577">
        <v>3286.32</v>
      </c>
      <c r="R59" s="577">
        <v>0</v>
      </c>
      <c r="S59" s="577">
        <v>0</v>
      </c>
      <c r="T59" s="577">
        <v>1204129.8400000001</v>
      </c>
      <c r="U59" s="577">
        <v>0</v>
      </c>
      <c r="V59" s="577">
        <v>96028.34</v>
      </c>
      <c r="W59" s="577">
        <v>0</v>
      </c>
      <c r="X59" s="577">
        <v>56240</v>
      </c>
      <c r="Y59" s="577">
        <v>0</v>
      </c>
      <c r="Z59" s="577">
        <v>13433.18</v>
      </c>
      <c r="AA59" s="577">
        <v>0</v>
      </c>
      <c r="AB59" s="577">
        <v>15247.1</v>
      </c>
      <c r="AC59" s="577">
        <v>0</v>
      </c>
      <c r="AD59" s="577">
        <v>0</v>
      </c>
      <c r="AE59" s="577">
        <v>0</v>
      </c>
      <c r="AF59" s="577">
        <v>10993</v>
      </c>
      <c r="AG59" s="577">
        <v>838.5</v>
      </c>
      <c r="AH59" s="577">
        <v>0</v>
      </c>
      <c r="AI59" s="577">
        <v>0</v>
      </c>
      <c r="AJ59" s="577">
        <v>0</v>
      </c>
      <c r="AK59" s="577">
        <v>2854.38</v>
      </c>
      <c r="AL59" s="577">
        <v>61732</v>
      </c>
      <c r="AM59" s="580">
        <f t="shared" si="2"/>
        <v>64586.38</v>
      </c>
      <c r="AN59" s="577">
        <v>530482.78</v>
      </c>
      <c r="AO59" s="577">
        <v>334.57</v>
      </c>
      <c r="AP59" s="577">
        <v>175624.57</v>
      </c>
      <c r="AQ59" s="577">
        <v>30152.42</v>
      </c>
      <c r="AR59" s="577">
        <v>44701.98</v>
      </c>
      <c r="AS59" s="577">
        <v>0</v>
      </c>
      <c r="AT59" s="577">
        <v>13824.32</v>
      </c>
      <c r="AU59" s="577">
        <v>2172.8000000000002</v>
      </c>
      <c r="AV59" s="577">
        <v>2869.36</v>
      </c>
      <c r="AW59" s="577">
        <v>268.92</v>
      </c>
      <c r="AX59" s="577">
        <v>0</v>
      </c>
      <c r="AY59" s="577">
        <v>23714.23</v>
      </c>
      <c r="AZ59" s="577">
        <v>2.89</v>
      </c>
      <c r="BA59" s="577">
        <v>12179.72</v>
      </c>
      <c r="BB59" s="577">
        <v>2387</v>
      </c>
      <c r="BC59" s="577">
        <v>19186.5</v>
      </c>
      <c r="BD59" s="577">
        <v>3001.42</v>
      </c>
      <c r="BE59" s="577">
        <v>5062.78</v>
      </c>
      <c r="BF59" s="577">
        <v>9285.6299999999992</v>
      </c>
      <c r="BG59" s="577">
        <v>5887.92</v>
      </c>
      <c r="BH59" s="576">
        <v>0</v>
      </c>
      <c r="BI59" s="576">
        <v>2204.83</v>
      </c>
      <c r="BJ59" s="576">
        <v>12659.94</v>
      </c>
      <c r="BK59" s="576">
        <v>4763.8</v>
      </c>
      <c r="BL59" s="576">
        <v>896.69</v>
      </c>
      <c r="BM59" s="576">
        <v>10048</v>
      </c>
      <c r="BN59" s="577">
        <f t="shared" si="3"/>
        <v>36461.18</v>
      </c>
      <c r="BO59" s="577">
        <v>0</v>
      </c>
      <c r="BP59" s="577">
        <v>1424.04</v>
      </c>
      <c r="BQ59" s="577">
        <v>7086.68</v>
      </c>
      <c r="BR59" s="577">
        <v>8045.28</v>
      </c>
      <c r="BS59" s="577">
        <v>57597.79</v>
      </c>
      <c r="BT59" s="577">
        <v>74318.11</v>
      </c>
      <c r="BU59" s="577">
        <v>142838.51</v>
      </c>
      <c r="BV59" s="577">
        <v>13681.06</v>
      </c>
      <c r="BW59" s="577">
        <v>0</v>
      </c>
      <c r="BX59" s="577">
        <v>0</v>
      </c>
      <c r="BY59" s="577">
        <v>0</v>
      </c>
      <c r="BZ59" s="577">
        <v>0</v>
      </c>
      <c r="CA59" s="577">
        <v>0</v>
      </c>
      <c r="CB59" s="577">
        <v>0</v>
      </c>
      <c r="CC59" s="577">
        <v>0</v>
      </c>
      <c r="CD59" s="577">
        <v>0</v>
      </c>
      <c r="CE59" s="577">
        <v>6000</v>
      </c>
      <c r="CF59" s="577">
        <v>0</v>
      </c>
      <c r="CG59" s="577">
        <v>0</v>
      </c>
      <c r="CH59" s="577">
        <v>0</v>
      </c>
      <c r="CI59" s="577">
        <v>0</v>
      </c>
      <c r="CJ59" s="576">
        <v>0</v>
      </c>
      <c r="CK59" s="576">
        <v>0</v>
      </c>
      <c r="CL59" s="576">
        <v>0</v>
      </c>
      <c r="CM59" s="576">
        <v>0</v>
      </c>
      <c r="CN59" s="577">
        <v>0</v>
      </c>
      <c r="CO59" s="577">
        <v>248078.12</v>
      </c>
      <c r="CP59" s="577">
        <v>0</v>
      </c>
      <c r="CQ59" s="577">
        <v>0</v>
      </c>
      <c r="CR59" s="577">
        <v>0</v>
      </c>
      <c r="CS59" s="577">
        <v>0</v>
      </c>
      <c r="CU59" s="495">
        <f t="shared" si="4"/>
        <v>248078.12</v>
      </c>
      <c r="CV59" s="495">
        <f t="shared" si="5"/>
        <v>0</v>
      </c>
      <c r="CW59" s="495">
        <f t="shared" si="6"/>
        <v>248078.12</v>
      </c>
      <c r="CX59" s="495">
        <f t="shared" si="9"/>
        <v>1461496.34</v>
      </c>
      <c r="CY59" s="495">
        <f t="shared" si="7"/>
        <v>1216704.5400000003</v>
      </c>
      <c r="CZ59" s="495">
        <f t="shared" si="10"/>
        <v>1300158.1800000002</v>
      </c>
      <c r="DA59" s="495">
        <f t="shared" si="8"/>
        <v>244791.79999999981</v>
      </c>
    </row>
    <row r="60" spans="1:105" ht="15">
      <c r="A60" s="576">
        <v>302</v>
      </c>
      <c r="B60" s="576">
        <v>3501</v>
      </c>
      <c r="C60" s="576" t="s">
        <v>85</v>
      </c>
      <c r="D60" s="576" t="s">
        <v>594</v>
      </c>
      <c r="E60" s="576"/>
      <c r="F60" s="576" t="s">
        <v>588</v>
      </c>
      <c r="G60" s="576">
        <v>0</v>
      </c>
      <c r="H60" s="576">
        <v>1</v>
      </c>
      <c r="I60" s="576" t="s">
        <v>853</v>
      </c>
      <c r="J60" s="576" t="s">
        <v>854</v>
      </c>
      <c r="K60" s="576" t="s">
        <v>591</v>
      </c>
      <c r="L60" s="576" t="s">
        <v>592</v>
      </c>
      <c r="M60" s="576" t="s">
        <v>591</v>
      </c>
      <c r="N60" s="576" t="s">
        <v>593</v>
      </c>
      <c r="O60" s="576" t="s">
        <v>188</v>
      </c>
      <c r="P60" s="576" t="s">
        <v>188</v>
      </c>
      <c r="Q60" s="577">
        <v>-194607</v>
      </c>
      <c r="R60" s="577">
        <v>0</v>
      </c>
      <c r="S60" s="577">
        <v>0</v>
      </c>
      <c r="T60" s="577">
        <v>1296965.1499999999</v>
      </c>
      <c r="U60" s="577">
        <v>0</v>
      </c>
      <c r="V60" s="577">
        <v>92575.360000000001</v>
      </c>
      <c r="W60" s="577">
        <v>0</v>
      </c>
      <c r="X60" s="577">
        <v>63950</v>
      </c>
      <c r="Y60" s="577">
        <v>0</v>
      </c>
      <c r="Z60" s="577">
        <v>52897.86</v>
      </c>
      <c r="AA60" s="577">
        <v>3802.53</v>
      </c>
      <c r="AB60" s="577">
        <v>12317.06</v>
      </c>
      <c r="AC60" s="577">
        <v>2759.07</v>
      </c>
      <c r="AD60" s="577">
        <v>0</v>
      </c>
      <c r="AE60" s="577">
        <v>0</v>
      </c>
      <c r="AF60" s="577">
        <v>28751.83</v>
      </c>
      <c r="AG60" s="577">
        <v>25429.23</v>
      </c>
      <c r="AH60" s="577">
        <v>0</v>
      </c>
      <c r="AI60" s="577">
        <v>0</v>
      </c>
      <c r="AJ60" s="577">
        <v>0</v>
      </c>
      <c r="AK60" s="577">
        <v>3763.75</v>
      </c>
      <c r="AL60" s="577">
        <v>45007</v>
      </c>
      <c r="AM60" s="580">
        <f t="shared" si="2"/>
        <v>48770.75</v>
      </c>
      <c r="AN60" s="577">
        <v>757976.76</v>
      </c>
      <c r="AO60" s="577">
        <v>0</v>
      </c>
      <c r="AP60" s="577">
        <v>216578.22</v>
      </c>
      <c r="AQ60" s="577">
        <v>77842.83</v>
      </c>
      <c r="AR60" s="577">
        <v>90572.51</v>
      </c>
      <c r="AS60" s="577">
        <v>0</v>
      </c>
      <c r="AT60" s="577">
        <v>31805.09</v>
      </c>
      <c r="AU60" s="577">
        <v>1042.2</v>
      </c>
      <c r="AV60" s="577">
        <v>2764.4</v>
      </c>
      <c r="AW60" s="577">
        <v>330.34</v>
      </c>
      <c r="AX60" s="577">
        <v>0</v>
      </c>
      <c r="AY60" s="577">
        <v>20299.97</v>
      </c>
      <c r="AZ60" s="577">
        <v>1427.92</v>
      </c>
      <c r="BA60" s="577">
        <v>2943.29</v>
      </c>
      <c r="BB60" s="577">
        <v>5328.08</v>
      </c>
      <c r="BC60" s="577">
        <v>48214.99</v>
      </c>
      <c r="BD60" s="577">
        <v>4555.2</v>
      </c>
      <c r="BE60" s="577">
        <v>9060.24</v>
      </c>
      <c r="BF60" s="577">
        <v>43527.4</v>
      </c>
      <c r="BG60" s="577">
        <v>10351.24</v>
      </c>
      <c r="BH60" s="576">
        <v>0</v>
      </c>
      <c r="BI60" s="576">
        <v>4578.99</v>
      </c>
      <c r="BJ60" s="576">
        <v>0</v>
      </c>
      <c r="BK60" s="576">
        <v>1144.77</v>
      </c>
      <c r="BL60" s="576">
        <v>0</v>
      </c>
      <c r="BM60" s="576">
        <v>0</v>
      </c>
      <c r="BN60" s="577">
        <f t="shared" si="3"/>
        <v>16075</v>
      </c>
      <c r="BO60" s="577">
        <v>0</v>
      </c>
      <c r="BP60" s="577">
        <v>13624.4</v>
      </c>
      <c r="BQ60" s="577">
        <v>8587.11</v>
      </c>
      <c r="BR60" s="577">
        <v>4327.84</v>
      </c>
      <c r="BS60" s="577">
        <v>73699.95</v>
      </c>
      <c r="BT60" s="577">
        <v>63204.94</v>
      </c>
      <c r="BU60" s="577">
        <v>162498.47</v>
      </c>
      <c r="BV60" s="577">
        <v>40000.33</v>
      </c>
      <c r="BW60" s="577">
        <v>0</v>
      </c>
      <c r="BX60" s="577">
        <v>0</v>
      </c>
      <c r="BY60" s="577">
        <v>0</v>
      </c>
      <c r="BZ60" s="577">
        <v>0</v>
      </c>
      <c r="CA60" s="577">
        <v>0</v>
      </c>
      <c r="CB60" s="577">
        <v>0</v>
      </c>
      <c r="CC60" s="577">
        <v>0</v>
      </c>
      <c r="CD60" s="577">
        <v>0</v>
      </c>
      <c r="CE60" s="577">
        <v>6000</v>
      </c>
      <c r="CF60" s="577">
        <v>0</v>
      </c>
      <c r="CG60" s="577">
        <v>0</v>
      </c>
      <c r="CH60" s="577">
        <v>0</v>
      </c>
      <c r="CI60" s="577">
        <v>0</v>
      </c>
      <c r="CJ60" s="576">
        <v>0</v>
      </c>
      <c r="CK60" s="576">
        <v>0</v>
      </c>
      <c r="CL60" s="576">
        <v>0</v>
      </c>
      <c r="CM60" s="576">
        <v>0</v>
      </c>
      <c r="CN60" s="577">
        <v>0</v>
      </c>
      <c r="CO60" s="577">
        <v>-262675.64</v>
      </c>
      <c r="CP60" s="577">
        <v>0</v>
      </c>
      <c r="CQ60" s="577">
        <v>0</v>
      </c>
      <c r="CR60" s="577">
        <v>0</v>
      </c>
      <c r="CS60" s="577">
        <v>0</v>
      </c>
      <c r="CU60" s="495">
        <f t="shared" si="4"/>
        <v>-262675.64</v>
      </c>
      <c r="CV60" s="495">
        <f t="shared" si="5"/>
        <v>0</v>
      </c>
      <c r="CW60" s="495">
        <f t="shared" si="6"/>
        <v>-262675.64</v>
      </c>
      <c r="CX60" s="495">
        <f t="shared" si="9"/>
        <v>1628218.8400000003</v>
      </c>
      <c r="CY60" s="495">
        <f t="shared" si="7"/>
        <v>1696287.48</v>
      </c>
      <c r="CZ60" s="495">
        <f t="shared" si="10"/>
        <v>1389540.51</v>
      </c>
      <c r="DA60" s="495">
        <f t="shared" si="8"/>
        <v>-68068.639999999665</v>
      </c>
    </row>
    <row r="61" spans="1:105" ht="15">
      <c r="A61" s="576">
        <v>302</v>
      </c>
      <c r="B61" s="576">
        <v>3502</v>
      </c>
      <c r="C61" s="576" t="s">
        <v>633</v>
      </c>
      <c r="D61" s="576" t="s">
        <v>594</v>
      </c>
      <c r="E61" s="576"/>
      <c r="F61" s="576" t="s">
        <v>588</v>
      </c>
      <c r="G61" s="576">
        <v>0</v>
      </c>
      <c r="H61" s="576">
        <v>0</v>
      </c>
      <c r="I61" s="576" t="s">
        <v>853</v>
      </c>
      <c r="J61" s="576" t="s">
        <v>854</v>
      </c>
      <c r="K61" s="576" t="s">
        <v>591</v>
      </c>
      <c r="L61" s="576" t="s">
        <v>592</v>
      </c>
      <c r="M61" s="576" t="s">
        <v>591</v>
      </c>
      <c r="N61" s="576" t="s">
        <v>593</v>
      </c>
      <c r="O61" s="576" t="s">
        <v>188</v>
      </c>
      <c r="P61" s="576" t="s">
        <v>188</v>
      </c>
      <c r="Q61" s="577">
        <v>965685.71</v>
      </c>
      <c r="R61" s="577">
        <v>0</v>
      </c>
      <c r="S61" s="577">
        <v>0</v>
      </c>
      <c r="T61" s="577">
        <v>2499931.2400000002</v>
      </c>
      <c r="U61" s="577">
        <v>0</v>
      </c>
      <c r="V61" s="577">
        <v>164984.67000000001</v>
      </c>
      <c r="W61" s="577">
        <v>0</v>
      </c>
      <c r="X61" s="577">
        <v>156610</v>
      </c>
      <c r="Y61" s="577">
        <v>12148.07</v>
      </c>
      <c r="Z61" s="577">
        <v>82312.3</v>
      </c>
      <c r="AA61" s="577">
        <v>9686.5</v>
      </c>
      <c r="AB61" s="577">
        <v>39800.79</v>
      </c>
      <c r="AC61" s="577">
        <v>2758.73</v>
      </c>
      <c r="AD61" s="577">
        <v>0</v>
      </c>
      <c r="AE61" s="577">
        <v>0</v>
      </c>
      <c r="AF61" s="577">
        <v>36377.69</v>
      </c>
      <c r="AG61" s="577">
        <v>3456.73</v>
      </c>
      <c r="AH61" s="577">
        <v>0</v>
      </c>
      <c r="AI61" s="577">
        <v>0</v>
      </c>
      <c r="AJ61" s="577">
        <v>0</v>
      </c>
      <c r="AK61" s="577">
        <v>0</v>
      </c>
      <c r="AL61" s="577">
        <v>79849.25</v>
      </c>
      <c r="AM61" s="580">
        <f t="shared" si="2"/>
        <v>79849.25</v>
      </c>
      <c r="AN61" s="577">
        <v>1377486.26</v>
      </c>
      <c r="AO61" s="577">
        <v>0</v>
      </c>
      <c r="AP61" s="577">
        <v>778996.09</v>
      </c>
      <c r="AQ61" s="577">
        <v>96441.23</v>
      </c>
      <c r="AR61" s="577">
        <v>68140.94</v>
      </c>
      <c r="AS61" s="577">
        <v>0</v>
      </c>
      <c r="AT61" s="577">
        <v>32690.95</v>
      </c>
      <c r="AU61" s="577">
        <v>3227.8</v>
      </c>
      <c r="AV61" s="577">
        <v>6359.72</v>
      </c>
      <c r="AW61" s="577">
        <v>668.98</v>
      </c>
      <c r="AX61" s="577">
        <v>0</v>
      </c>
      <c r="AY61" s="577">
        <v>124979.17</v>
      </c>
      <c r="AZ61" s="577">
        <v>6924.61</v>
      </c>
      <c r="BA61" s="577">
        <v>7025.39</v>
      </c>
      <c r="BB61" s="577">
        <v>8989.7900000000009</v>
      </c>
      <c r="BC61" s="577">
        <v>39278.68</v>
      </c>
      <c r="BD61" s="577">
        <v>7425.6</v>
      </c>
      <c r="BE61" s="577">
        <v>18231.099999999999</v>
      </c>
      <c r="BF61" s="577">
        <v>121384.22</v>
      </c>
      <c r="BG61" s="577">
        <v>27950.05</v>
      </c>
      <c r="BH61" s="576">
        <v>0</v>
      </c>
      <c r="BI61" s="576">
        <v>0</v>
      </c>
      <c r="BJ61" s="576">
        <v>0</v>
      </c>
      <c r="BK61" s="576">
        <v>0</v>
      </c>
      <c r="BL61" s="576">
        <v>0</v>
      </c>
      <c r="BM61" s="576">
        <v>0</v>
      </c>
      <c r="BN61" s="577">
        <f t="shared" si="3"/>
        <v>27950.05</v>
      </c>
      <c r="BO61" s="577">
        <v>0</v>
      </c>
      <c r="BP61" s="577">
        <v>35039.660000000003</v>
      </c>
      <c r="BQ61" s="577">
        <v>17177.330000000002</v>
      </c>
      <c r="BR61" s="577">
        <v>3183.01</v>
      </c>
      <c r="BS61" s="577">
        <v>176660.34</v>
      </c>
      <c r="BT61" s="577">
        <v>74530.570000000007</v>
      </c>
      <c r="BU61" s="577">
        <v>150044.85</v>
      </c>
      <c r="BV61" s="577">
        <v>59251.34</v>
      </c>
      <c r="BW61" s="577">
        <v>0</v>
      </c>
      <c r="BX61" s="577">
        <v>0</v>
      </c>
      <c r="BY61" s="577">
        <v>0</v>
      </c>
      <c r="BZ61" s="577">
        <v>0</v>
      </c>
      <c r="CA61" s="577">
        <v>0</v>
      </c>
      <c r="CB61" s="577">
        <v>0</v>
      </c>
      <c r="CC61" s="577">
        <v>0</v>
      </c>
      <c r="CD61" s="577">
        <v>0</v>
      </c>
      <c r="CE61" s="577">
        <v>6000</v>
      </c>
      <c r="CF61" s="577">
        <v>0</v>
      </c>
      <c r="CG61" s="577">
        <v>0</v>
      </c>
      <c r="CH61" s="577">
        <v>0</v>
      </c>
      <c r="CI61" s="577">
        <v>0</v>
      </c>
      <c r="CJ61" s="576">
        <v>0</v>
      </c>
      <c r="CK61" s="576">
        <v>0</v>
      </c>
      <c r="CL61" s="576">
        <v>0</v>
      </c>
      <c r="CM61" s="576">
        <v>0</v>
      </c>
      <c r="CN61" s="577">
        <v>0</v>
      </c>
      <c r="CO61" s="577">
        <v>811514</v>
      </c>
      <c r="CP61" s="577">
        <v>0</v>
      </c>
      <c r="CQ61" s="577">
        <v>0</v>
      </c>
      <c r="CR61" s="577">
        <v>0</v>
      </c>
      <c r="CS61" s="577">
        <v>0</v>
      </c>
      <c r="CU61" s="495">
        <f t="shared" si="4"/>
        <v>811514</v>
      </c>
      <c r="CV61" s="495">
        <f t="shared" si="5"/>
        <v>0</v>
      </c>
      <c r="CW61" s="495">
        <f t="shared" si="6"/>
        <v>811514</v>
      </c>
      <c r="CX61" s="495">
        <f t="shared" si="9"/>
        <v>3087915.9699999997</v>
      </c>
      <c r="CY61" s="495">
        <f t="shared" si="7"/>
        <v>3242087.68</v>
      </c>
      <c r="CZ61" s="495">
        <f t="shared" si="10"/>
        <v>2664915.91</v>
      </c>
      <c r="DA61" s="495">
        <f t="shared" si="8"/>
        <v>-154171.71000000043</v>
      </c>
    </row>
    <row r="62" spans="1:105" ht="15">
      <c r="A62" s="576">
        <v>302</v>
      </c>
      <c r="B62" s="576">
        <v>3504</v>
      </c>
      <c r="C62" s="576" t="s">
        <v>858</v>
      </c>
      <c r="D62" s="576" t="s">
        <v>594</v>
      </c>
      <c r="E62" s="576"/>
      <c r="F62" s="576" t="s">
        <v>588</v>
      </c>
      <c r="G62" s="576">
        <v>0</v>
      </c>
      <c r="H62" s="576">
        <v>0</v>
      </c>
      <c r="I62" s="576" t="s">
        <v>853</v>
      </c>
      <c r="J62" s="576" t="s">
        <v>854</v>
      </c>
      <c r="K62" s="576" t="s">
        <v>591</v>
      </c>
      <c r="L62" s="576" t="s">
        <v>592</v>
      </c>
      <c r="M62" s="576" t="s">
        <v>591</v>
      </c>
      <c r="N62" s="576" t="s">
        <v>593</v>
      </c>
      <c r="O62" s="576" t="s">
        <v>188</v>
      </c>
      <c r="P62" s="576" t="s">
        <v>188</v>
      </c>
      <c r="Q62" s="577">
        <v>131396.04</v>
      </c>
      <c r="R62" s="577">
        <v>0</v>
      </c>
      <c r="S62" s="577">
        <v>0</v>
      </c>
      <c r="T62" s="577">
        <v>2453089.3199999998</v>
      </c>
      <c r="U62" s="577">
        <v>0</v>
      </c>
      <c r="V62" s="577">
        <v>73594.84</v>
      </c>
      <c r="W62" s="577">
        <v>0</v>
      </c>
      <c r="X62" s="577">
        <v>43220</v>
      </c>
      <c r="Y62" s="577">
        <v>6433.26</v>
      </c>
      <c r="Z62" s="577">
        <v>139623.45000000001</v>
      </c>
      <c r="AA62" s="577">
        <v>1398.75</v>
      </c>
      <c r="AB62" s="577">
        <v>204075.5</v>
      </c>
      <c r="AC62" s="577">
        <v>970.13</v>
      </c>
      <c r="AD62" s="577">
        <v>9200</v>
      </c>
      <c r="AE62" s="577">
        <v>0</v>
      </c>
      <c r="AF62" s="577">
        <v>154288.82999999999</v>
      </c>
      <c r="AG62" s="577">
        <v>23644.639999999999</v>
      </c>
      <c r="AH62" s="577">
        <v>0</v>
      </c>
      <c r="AI62" s="577">
        <v>0</v>
      </c>
      <c r="AJ62" s="577">
        <v>0</v>
      </c>
      <c r="AK62" s="577">
        <v>3425</v>
      </c>
      <c r="AL62" s="577">
        <v>101255</v>
      </c>
      <c r="AM62" s="580">
        <f t="shared" si="2"/>
        <v>104680</v>
      </c>
      <c r="AN62" s="577">
        <v>1445440.45</v>
      </c>
      <c r="AO62" s="577">
        <v>0</v>
      </c>
      <c r="AP62" s="577">
        <v>580137.80000000005</v>
      </c>
      <c r="AQ62" s="577">
        <v>91669.2</v>
      </c>
      <c r="AR62" s="577">
        <v>150198.34</v>
      </c>
      <c r="AS62" s="577">
        <v>0</v>
      </c>
      <c r="AT62" s="577">
        <v>92460.77</v>
      </c>
      <c r="AU62" s="577">
        <v>14144.78</v>
      </c>
      <c r="AV62" s="577">
        <v>6521.36</v>
      </c>
      <c r="AW62" s="577">
        <v>17980.099999999999</v>
      </c>
      <c r="AX62" s="577">
        <v>0</v>
      </c>
      <c r="AY62" s="577">
        <v>51829.74</v>
      </c>
      <c r="AZ62" s="577">
        <v>12119.92</v>
      </c>
      <c r="BA62" s="577">
        <v>8886.7800000000007</v>
      </c>
      <c r="BB62" s="577">
        <v>10449.280000000001</v>
      </c>
      <c r="BC62" s="577">
        <v>38270.589999999997</v>
      </c>
      <c r="BD62" s="577">
        <v>8095.32</v>
      </c>
      <c r="BE62" s="577">
        <v>14164.62</v>
      </c>
      <c r="BF62" s="577">
        <v>89706.99</v>
      </c>
      <c r="BG62" s="577">
        <v>8438.32</v>
      </c>
      <c r="BH62" s="576">
        <v>0</v>
      </c>
      <c r="BI62" s="576">
        <v>6602.62</v>
      </c>
      <c r="BJ62" s="576">
        <v>19712.740000000002</v>
      </c>
      <c r="BK62" s="576">
        <v>3433.73</v>
      </c>
      <c r="BL62" s="576">
        <v>602.72</v>
      </c>
      <c r="BM62" s="576">
        <v>13365.4</v>
      </c>
      <c r="BN62" s="577">
        <f t="shared" si="3"/>
        <v>52155.530000000006</v>
      </c>
      <c r="BO62" s="577">
        <v>0</v>
      </c>
      <c r="BP62" s="577">
        <v>2113.85</v>
      </c>
      <c r="BQ62" s="577">
        <v>17852.189999999999</v>
      </c>
      <c r="BR62" s="577">
        <v>39506.03</v>
      </c>
      <c r="BS62" s="577">
        <v>200107.41</v>
      </c>
      <c r="BT62" s="577">
        <v>23507.43</v>
      </c>
      <c r="BU62" s="577">
        <v>125106.46</v>
      </c>
      <c r="BV62" s="577">
        <v>51291.82</v>
      </c>
      <c r="BW62" s="577">
        <v>0</v>
      </c>
      <c r="BX62" s="577">
        <v>0</v>
      </c>
      <c r="BY62" s="577">
        <v>0</v>
      </c>
      <c r="BZ62" s="577">
        <v>0</v>
      </c>
      <c r="CA62" s="577">
        <v>0</v>
      </c>
      <c r="CB62" s="577">
        <v>0</v>
      </c>
      <c r="CC62" s="577">
        <v>14614.55</v>
      </c>
      <c r="CD62" s="577">
        <v>0</v>
      </c>
      <c r="CE62" s="577">
        <v>6000</v>
      </c>
      <c r="CF62" s="577">
        <v>0</v>
      </c>
      <c r="CG62" s="577">
        <v>0</v>
      </c>
      <c r="CH62" s="577">
        <v>0</v>
      </c>
      <c r="CI62" s="577">
        <v>0</v>
      </c>
      <c r="CJ62" s="576">
        <v>0</v>
      </c>
      <c r="CK62" s="576">
        <v>0</v>
      </c>
      <c r="CL62" s="576">
        <v>13084.55</v>
      </c>
      <c r="CM62" s="576">
        <v>1530</v>
      </c>
      <c r="CN62" s="577">
        <v>0</v>
      </c>
      <c r="CO62" s="577">
        <v>201898</v>
      </c>
      <c r="CP62" s="577">
        <v>0</v>
      </c>
      <c r="CQ62" s="577">
        <v>0</v>
      </c>
      <c r="CR62" s="577">
        <v>0</v>
      </c>
      <c r="CS62" s="577">
        <v>0</v>
      </c>
      <c r="CU62" s="495">
        <f t="shared" si="4"/>
        <v>201898</v>
      </c>
      <c r="CV62" s="495">
        <f t="shared" si="5"/>
        <v>0</v>
      </c>
      <c r="CW62" s="495">
        <f t="shared" si="6"/>
        <v>201898</v>
      </c>
      <c r="CX62" s="495">
        <f t="shared" si="9"/>
        <v>3214218.7199999997</v>
      </c>
      <c r="CY62" s="495">
        <f t="shared" si="7"/>
        <v>3143716.76</v>
      </c>
      <c r="CZ62" s="495">
        <f t="shared" si="10"/>
        <v>2526684.1599999997</v>
      </c>
      <c r="DA62" s="495">
        <f t="shared" si="8"/>
        <v>70501.959999999963</v>
      </c>
    </row>
    <row r="63" spans="1:105" ht="15">
      <c r="A63" s="576">
        <v>302</v>
      </c>
      <c r="B63" s="576">
        <v>3506</v>
      </c>
      <c r="C63" s="576" t="s">
        <v>386</v>
      </c>
      <c r="D63" s="576" t="s">
        <v>594</v>
      </c>
      <c r="E63" s="576"/>
      <c r="F63" s="576" t="s">
        <v>588</v>
      </c>
      <c r="G63" s="576">
        <v>0</v>
      </c>
      <c r="H63" s="576">
        <v>0</v>
      </c>
      <c r="I63" s="576" t="s">
        <v>853</v>
      </c>
      <c r="J63" s="576" t="s">
        <v>854</v>
      </c>
      <c r="K63" s="576" t="s">
        <v>591</v>
      </c>
      <c r="L63" s="576" t="s">
        <v>592</v>
      </c>
      <c r="M63" s="576" t="s">
        <v>591</v>
      </c>
      <c r="N63" s="576" t="s">
        <v>593</v>
      </c>
      <c r="O63" s="576" t="s">
        <v>188</v>
      </c>
      <c r="P63" s="576" t="s">
        <v>188</v>
      </c>
      <c r="Q63" s="577">
        <v>-16156.03</v>
      </c>
      <c r="R63" s="577">
        <v>0</v>
      </c>
      <c r="S63" s="577">
        <v>0</v>
      </c>
      <c r="T63" s="577">
        <v>1625821.05</v>
      </c>
      <c r="U63" s="577">
        <v>0</v>
      </c>
      <c r="V63" s="577">
        <v>180658.44</v>
      </c>
      <c r="W63" s="577">
        <v>0</v>
      </c>
      <c r="X63" s="577">
        <v>41048</v>
      </c>
      <c r="Y63" s="577">
        <v>48893.42</v>
      </c>
      <c r="Z63" s="577">
        <v>85881.83</v>
      </c>
      <c r="AA63" s="577">
        <v>41076.9</v>
      </c>
      <c r="AB63" s="577">
        <v>46481.23</v>
      </c>
      <c r="AC63" s="577">
        <v>594.63</v>
      </c>
      <c r="AD63" s="577">
        <v>0</v>
      </c>
      <c r="AE63" s="577">
        <v>0</v>
      </c>
      <c r="AF63" s="577">
        <v>49317.09</v>
      </c>
      <c r="AG63" s="577">
        <v>70852.09</v>
      </c>
      <c r="AH63" s="577">
        <v>0</v>
      </c>
      <c r="AI63" s="577">
        <v>0</v>
      </c>
      <c r="AJ63" s="577">
        <v>0</v>
      </c>
      <c r="AK63" s="577">
        <v>2073.13</v>
      </c>
      <c r="AL63" s="577">
        <v>52567</v>
      </c>
      <c r="AM63" s="580">
        <f t="shared" si="2"/>
        <v>54640.13</v>
      </c>
      <c r="AN63" s="577">
        <v>941112.24</v>
      </c>
      <c r="AO63" s="577">
        <v>2281.65</v>
      </c>
      <c r="AP63" s="577">
        <v>502416.75</v>
      </c>
      <c r="AQ63" s="577">
        <v>80766.42</v>
      </c>
      <c r="AR63" s="577">
        <v>79989.5</v>
      </c>
      <c r="AS63" s="577">
        <v>0</v>
      </c>
      <c r="AT63" s="577">
        <v>0</v>
      </c>
      <c r="AU63" s="577">
        <v>2517.56</v>
      </c>
      <c r="AV63" s="577">
        <v>3812.67</v>
      </c>
      <c r="AW63" s="577">
        <v>466.46</v>
      </c>
      <c r="AX63" s="577">
        <v>0</v>
      </c>
      <c r="AY63" s="577">
        <v>64475.95</v>
      </c>
      <c r="AZ63" s="577">
        <v>7169</v>
      </c>
      <c r="BA63" s="577">
        <v>7195.93</v>
      </c>
      <c r="BB63" s="577">
        <v>4602.7299999999996</v>
      </c>
      <c r="BC63" s="577">
        <v>35262.370000000003</v>
      </c>
      <c r="BD63" s="577">
        <v>4243.2</v>
      </c>
      <c r="BE63" s="577">
        <v>10768.27</v>
      </c>
      <c r="BF63" s="577">
        <v>75411.740000000005</v>
      </c>
      <c r="BG63" s="577">
        <v>6897.64</v>
      </c>
      <c r="BH63" s="576">
        <v>0</v>
      </c>
      <c r="BI63" s="576">
        <v>1457.7</v>
      </c>
      <c r="BJ63" s="576">
        <v>9960.42</v>
      </c>
      <c r="BK63" s="576">
        <v>2074.71</v>
      </c>
      <c r="BL63" s="576">
        <v>186.94</v>
      </c>
      <c r="BM63" s="576">
        <v>14445</v>
      </c>
      <c r="BN63" s="577">
        <f t="shared" si="3"/>
        <v>35022.410000000003</v>
      </c>
      <c r="BO63" s="577">
        <v>0</v>
      </c>
      <c r="BP63" s="577">
        <v>1225.18</v>
      </c>
      <c r="BQ63" s="577">
        <v>11490.09</v>
      </c>
      <c r="BR63" s="577">
        <v>19017.3</v>
      </c>
      <c r="BS63" s="577">
        <v>98807.86</v>
      </c>
      <c r="BT63" s="577">
        <v>42245.5</v>
      </c>
      <c r="BU63" s="577">
        <v>67215.11</v>
      </c>
      <c r="BV63" s="577">
        <v>42040.89</v>
      </c>
      <c r="BW63" s="577">
        <v>0</v>
      </c>
      <c r="BX63" s="577">
        <v>0</v>
      </c>
      <c r="BY63" s="577">
        <v>0</v>
      </c>
      <c r="BZ63" s="577">
        <v>0</v>
      </c>
      <c r="CA63" s="577">
        <v>0</v>
      </c>
      <c r="CB63" s="577">
        <v>0</v>
      </c>
      <c r="CC63" s="577">
        <v>0</v>
      </c>
      <c r="CD63" s="577">
        <v>0</v>
      </c>
      <c r="CE63" s="577">
        <v>6000</v>
      </c>
      <c r="CF63" s="577">
        <v>0</v>
      </c>
      <c r="CG63" s="577">
        <v>0</v>
      </c>
      <c r="CH63" s="577">
        <v>0</v>
      </c>
      <c r="CI63" s="577">
        <v>0</v>
      </c>
      <c r="CJ63" s="576">
        <v>0</v>
      </c>
      <c r="CK63" s="576">
        <v>0</v>
      </c>
      <c r="CL63" s="576">
        <v>0</v>
      </c>
      <c r="CM63" s="576">
        <v>0</v>
      </c>
      <c r="CN63" s="577">
        <v>0</v>
      </c>
      <c r="CO63" s="577">
        <v>89552</v>
      </c>
      <c r="CP63" s="577">
        <v>0</v>
      </c>
      <c r="CQ63" s="577">
        <v>0</v>
      </c>
      <c r="CR63" s="577">
        <v>0</v>
      </c>
      <c r="CS63" s="577">
        <v>0</v>
      </c>
      <c r="CU63" s="495">
        <f t="shared" si="4"/>
        <v>89552</v>
      </c>
      <c r="CV63" s="495">
        <f t="shared" si="5"/>
        <v>0</v>
      </c>
      <c r="CW63" s="495">
        <f t="shared" si="6"/>
        <v>89552</v>
      </c>
      <c r="CX63" s="495">
        <f t="shared" si="9"/>
        <v>2245264.8099999996</v>
      </c>
      <c r="CY63" s="495">
        <f t="shared" si="7"/>
        <v>2139556.7799999998</v>
      </c>
      <c r="CZ63" s="495">
        <f t="shared" si="10"/>
        <v>1806479.49</v>
      </c>
      <c r="DA63" s="495">
        <f t="shared" si="8"/>
        <v>105708.0299999998</v>
      </c>
    </row>
    <row r="64" spans="1:105" ht="15">
      <c r="A64" s="576">
        <v>302</v>
      </c>
      <c r="B64" s="576">
        <v>3507</v>
      </c>
      <c r="C64" s="576" t="s">
        <v>429</v>
      </c>
      <c r="D64" s="576" t="s">
        <v>594</v>
      </c>
      <c r="E64" s="576"/>
      <c r="F64" s="576" t="s">
        <v>588</v>
      </c>
      <c r="G64" s="576">
        <v>0</v>
      </c>
      <c r="H64" s="576">
        <v>1</v>
      </c>
      <c r="I64" s="576" t="s">
        <v>853</v>
      </c>
      <c r="J64" s="576" t="s">
        <v>854</v>
      </c>
      <c r="K64" s="576" t="s">
        <v>591</v>
      </c>
      <c r="L64" s="576" t="s">
        <v>592</v>
      </c>
      <c r="M64" s="576" t="s">
        <v>591</v>
      </c>
      <c r="N64" s="576" t="s">
        <v>593</v>
      </c>
      <c r="O64" s="576" t="s">
        <v>188</v>
      </c>
      <c r="P64" s="576" t="s">
        <v>188</v>
      </c>
      <c r="Q64" s="577">
        <v>-405109.03</v>
      </c>
      <c r="R64" s="577">
        <v>0</v>
      </c>
      <c r="S64" s="577">
        <v>0</v>
      </c>
      <c r="T64" s="577">
        <v>913845.08</v>
      </c>
      <c r="U64" s="577">
        <v>0</v>
      </c>
      <c r="V64" s="577">
        <v>111019.6</v>
      </c>
      <c r="W64" s="577">
        <v>0</v>
      </c>
      <c r="X64" s="577">
        <v>51410</v>
      </c>
      <c r="Y64" s="577">
        <v>0</v>
      </c>
      <c r="Z64" s="577">
        <v>46869.66</v>
      </c>
      <c r="AA64" s="577">
        <v>1707.6</v>
      </c>
      <c r="AB64" s="577">
        <v>6653.54</v>
      </c>
      <c r="AC64" s="577">
        <v>786.4</v>
      </c>
      <c r="AD64" s="577">
        <v>0</v>
      </c>
      <c r="AE64" s="577">
        <v>0</v>
      </c>
      <c r="AF64" s="577">
        <v>14054.63</v>
      </c>
      <c r="AG64" s="577">
        <v>5049.1499999999996</v>
      </c>
      <c r="AH64" s="577">
        <v>0</v>
      </c>
      <c r="AI64" s="577">
        <v>0</v>
      </c>
      <c r="AJ64" s="577">
        <v>0</v>
      </c>
      <c r="AK64" s="577">
        <v>3723.13</v>
      </c>
      <c r="AL64" s="577">
        <v>35172</v>
      </c>
      <c r="AM64" s="580">
        <f t="shared" si="2"/>
        <v>38895.129999999997</v>
      </c>
      <c r="AN64" s="577">
        <v>618946.6</v>
      </c>
      <c r="AO64" s="577">
        <v>0</v>
      </c>
      <c r="AP64" s="577">
        <v>200733.69</v>
      </c>
      <c r="AQ64" s="577">
        <v>39051.81</v>
      </c>
      <c r="AR64" s="577">
        <v>51246.74</v>
      </c>
      <c r="AS64" s="577">
        <v>0</v>
      </c>
      <c r="AT64" s="577">
        <v>25262.35</v>
      </c>
      <c r="AU64" s="577">
        <v>1552</v>
      </c>
      <c r="AV64" s="577">
        <v>1841.2</v>
      </c>
      <c r="AW64" s="577">
        <v>265.60000000000002</v>
      </c>
      <c r="AX64" s="577">
        <v>0</v>
      </c>
      <c r="AY64" s="577">
        <v>13200.72</v>
      </c>
      <c r="AZ64" s="577">
        <v>4640.51</v>
      </c>
      <c r="BA64" s="577">
        <v>22892.51</v>
      </c>
      <c r="BB64" s="577">
        <v>2862.28</v>
      </c>
      <c r="BC64" s="577">
        <v>24843.33</v>
      </c>
      <c r="BD64" s="577">
        <v>4617.6000000000004</v>
      </c>
      <c r="BE64" s="577">
        <v>7751.29</v>
      </c>
      <c r="BF64" s="577">
        <v>42978.02</v>
      </c>
      <c r="BG64" s="577">
        <v>11172.59</v>
      </c>
      <c r="BH64" s="576">
        <v>0</v>
      </c>
      <c r="BI64" s="576">
        <v>10840.2</v>
      </c>
      <c r="BJ64" s="576">
        <v>830</v>
      </c>
      <c r="BK64" s="576">
        <v>7728.6</v>
      </c>
      <c r="BL64" s="576">
        <v>0</v>
      </c>
      <c r="BM64" s="576">
        <v>8600</v>
      </c>
      <c r="BN64" s="577">
        <f t="shared" si="3"/>
        <v>39171.39</v>
      </c>
      <c r="BO64" s="577">
        <v>0</v>
      </c>
      <c r="BP64" s="577">
        <v>2839.36</v>
      </c>
      <c r="BQ64" s="577">
        <v>2542.4</v>
      </c>
      <c r="BR64" s="577">
        <v>12116.98</v>
      </c>
      <c r="BS64" s="577">
        <v>58650.93</v>
      </c>
      <c r="BT64" s="577">
        <v>0</v>
      </c>
      <c r="BU64" s="577">
        <v>310798.71000000002</v>
      </c>
      <c r="BV64" s="577">
        <v>24637.7</v>
      </c>
      <c r="BW64" s="577">
        <v>4375.9799999999996</v>
      </c>
      <c r="BX64" s="577">
        <v>0</v>
      </c>
      <c r="BY64" s="577">
        <v>0</v>
      </c>
      <c r="BZ64" s="577">
        <v>0</v>
      </c>
      <c r="CA64" s="577">
        <v>0</v>
      </c>
      <c r="CB64" s="577">
        <v>0</v>
      </c>
      <c r="CC64" s="577">
        <v>0</v>
      </c>
      <c r="CD64" s="577">
        <v>0</v>
      </c>
      <c r="CE64" s="577">
        <v>6000</v>
      </c>
      <c r="CF64" s="577">
        <v>0</v>
      </c>
      <c r="CG64" s="577">
        <v>0</v>
      </c>
      <c r="CH64" s="577">
        <v>0</v>
      </c>
      <c r="CI64" s="577">
        <v>0</v>
      </c>
      <c r="CJ64" s="576">
        <v>0</v>
      </c>
      <c r="CK64" s="576">
        <v>0</v>
      </c>
      <c r="CL64" s="576">
        <v>0</v>
      </c>
      <c r="CM64" s="576">
        <v>0</v>
      </c>
      <c r="CN64" s="577">
        <v>0</v>
      </c>
      <c r="CO64" s="577">
        <v>-732637.94</v>
      </c>
      <c r="CP64" s="577">
        <v>0</v>
      </c>
      <c r="CQ64" s="577">
        <v>0</v>
      </c>
      <c r="CR64" s="577">
        <v>0</v>
      </c>
      <c r="CS64" s="577">
        <v>0</v>
      </c>
      <c r="CU64" s="495">
        <f t="shared" si="4"/>
        <v>-732637.94</v>
      </c>
      <c r="CV64" s="495">
        <f t="shared" si="5"/>
        <v>0</v>
      </c>
      <c r="CW64" s="495">
        <f t="shared" si="6"/>
        <v>-732637.94</v>
      </c>
      <c r="CX64" s="495">
        <f t="shared" si="9"/>
        <v>1190290.7899999996</v>
      </c>
      <c r="CY64" s="495">
        <f t="shared" si="7"/>
        <v>1517819.7</v>
      </c>
      <c r="CZ64" s="495">
        <f t="shared" si="10"/>
        <v>1024864.6799999999</v>
      </c>
      <c r="DA64" s="495">
        <f t="shared" si="8"/>
        <v>-327528.91000000038</v>
      </c>
    </row>
    <row r="65" spans="1:105" ht="15">
      <c r="A65" s="576">
        <v>302</v>
      </c>
      <c r="B65" s="576">
        <v>3509</v>
      </c>
      <c r="C65" s="576" t="s">
        <v>414</v>
      </c>
      <c r="D65" s="576" t="s">
        <v>594</v>
      </c>
      <c r="E65" s="576"/>
      <c r="F65" s="576" t="s">
        <v>588</v>
      </c>
      <c r="G65" s="576">
        <v>0</v>
      </c>
      <c r="H65" s="576">
        <v>1</v>
      </c>
      <c r="I65" s="576" t="s">
        <v>853</v>
      </c>
      <c r="J65" s="576" t="s">
        <v>854</v>
      </c>
      <c r="K65" s="576" t="s">
        <v>591</v>
      </c>
      <c r="L65" s="576" t="s">
        <v>592</v>
      </c>
      <c r="M65" s="576" t="s">
        <v>591</v>
      </c>
      <c r="N65" s="576" t="s">
        <v>593</v>
      </c>
      <c r="O65" s="576" t="s">
        <v>188</v>
      </c>
      <c r="P65" s="576" t="s">
        <v>188</v>
      </c>
      <c r="Q65" s="577">
        <v>-697085.94</v>
      </c>
      <c r="R65" s="577">
        <v>0</v>
      </c>
      <c r="S65" s="577">
        <v>0</v>
      </c>
      <c r="T65" s="577">
        <v>2694687.59</v>
      </c>
      <c r="U65" s="577">
        <v>0</v>
      </c>
      <c r="V65" s="577">
        <v>234474.98</v>
      </c>
      <c r="W65" s="577">
        <v>0</v>
      </c>
      <c r="X65" s="577">
        <v>153920</v>
      </c>
      <c r="Y65" s="577">
        <v>2700</v>
      </c>
      <c r="Z65" s="577">
        <v>124003.37</v>
      </c>
      <c r="AA65" s="577">
        <v>13563.64</v>
      </c>
      <c r="AB65" s="577">
        <v>21297.81</v>
      </c>
      <c r="AC65" s="577">
        <v>2014.97</v>
      </c>
      <c r="AD65" s="577">
        <v>0</v>
      </c>
      <c r="AE65" s="577">
        <v>0</v>
      </c>
      <c r="AF65" s="577">
        <v>36959.35</v>
      </c>
      <c r="AG65" s="577">
        <v>2392.1999999999998</v>
      </c>
      <c r="AH65" s="577">
        <v>0</v>
      </c>
      <c r="AI65" s="577">
        <v>0</v>
      </c>
      <c r="AJ65" s="577">
        <v>0</v>
      </c>
      <c r="AK65" s="577">
        <v>0</v>
      </c>
      <c r="AL65" s="577">
        <v>113280.13</v>
      </c>
      <c r="AM65" s="580">
        <f t="shared" si="2"/>
        <v>113280.13</v>
      </c>
      <c r="AN65" s="577">
        <v>1362669.47</v>
      </c>
      <c r="AO65" s="577">
        <v>0</v>
      </c>
      <c r="AP65" s="577">
        <v>628014.88</v>
      </c>
      <c r="AQ65" s="577">
        <v>147022.6</v>
      </c>
      <c r="AR65" s="577">
        <v>123267.18</v>
      </c>
      <c r="AS65" s="577">
        <v>0</v>
      </c>
      <c r="AT65" s="577">
        <v>81788.3</v>
      </c>
      <c r="AU65" s="577">
        <v>9491.7800000000007</v>
      </c>
      <c r="AV65" s="577">
        <v>9198.2000000000007</v>
      </c>
      <c r="AW65" s="577">
        <v>735.4</v>
      </c>
      <c r="AX65" s="577">
        <v>0</v>
      </c>
      <c r="AY65" s="577">
        <v>30498.45</v>
      </c>
      <c r="AZ65" s="577">
        <v>225</v>
      </c>
      <c r="BA65" s="577">
        <v>2835.92</v>
      </c>
      <c r="BB65" s="577">
        <v>8649.14</v>
      </c>
      <c r="BC65" s="577">
        <v>83764.19</v>
      </c>
      <c r="BD65" s="577">
        <v>14476.8</v>
      </c>
      <c r="BE65" s="577">
        <v>21538.84</v>
      </c>
      <c r="BF65" s="577">
        <v>105885.36</v>
      </c>
      <c r="BG65" s="577">
        <v>14044.71</v>
      </c>
      <c r="BH65" s="576">
        <v>0</v>
      </c>
      <c r="BI65" s="576">
        <v>0</v>
      </c>
      <c r="BJ65" s="576">
        <v>0</v>
      </c>
      <c r="BK65" s="576">
        <v>0</v>
      </c>
      <c r="BL65" s="576">
        <v>0</v>
      </c>
      <c r="BM65" s="576">
        <v>0</v>
      </c>
      <c r="BN65" s="577">
        <f t="shared" si="3"/>
        <v>14044.71</v>
      </c>
      <c r="BO65" s="577">
        <v>0</v>
      </c>
      <c r="BP65" s="577">
        <v>17343.28</v>
      </c>
      <c r="BQ65" s="577">
        <v>7039.25</v>
      </c>
      <c r="BR65" s="577">
        <v>5889.11</v>
      </c>
      <c r="BS65" s="577">
        <v>170559.64</v>
      </c>
      <c r="BT65" s="577">
        <v>154507.20000000001</v>
      </c>
      <c r="BU65" s="577">
        <v>286744.36</v>
      </c>
      <c r="BV65" s="577">
        <v>40932.04</v>
      </c>
      <c r="BW65" s="577">
        <v>0</v>
      </c>
      <c r="BX65" s="577">
        <v>0</v>
      </c>
      <c r="BY65" s="577">
        <v>0</v>
      </c>
      <c r="BZ65" s="577">
        <v>0</v>
      </c>
      <c r="CA65" s="577">
        <v>0</v>
      </c>
      <c r="CB65" s="577">
        <v>0</v>
      </c>
      <c r="CC65" s="577">
        <v>0</v>
      </c>
      <c r="CD65" s="577">
        <v>0</v>
      </c>
      <c r="CE65" s="577">
        <v>6000</v>
      </c>
      <c r="CF65" s="577">
        <v>0</v>
      </c>
      <c r="CG65" s="577">
        <v>0</v>
      </c>
      <c r="CH65" s="577">
        <v>0</v>
      </c>
      <c r="CI65" s="577">
        <v>0</v>
      </c>
      <c r="CJ65" s="576">
        <v>0</v>
      </c>
      <c r="CK65" s="576">
        <v>0</v>
      </c>
      <c r="CL65" s="576">
        <v>0</v>
      </c>
      <c r="CM65" s="576">
        <v>0</v>
      </c>
      <c r="CN65" s="577">
        <v>0</v>
      </c>
      <c r="CO65" s="577">
        <v>-624913</v>
      </c>
      <c r="CP65" s="577">
        <v>0</v>
      </c>
      <c r="CQ65" s="577">
        <v>0</v>
      </c>
      <c r="CR65" s="577">
        <v>0</v>
      </c>
      <c r="CS65" s="577">
        <v>0</v>
      </c>
      <c r="CU65" s="495">
        <f t="shared" si="4"/>
        <v>-624913</v>
      </c>
      <c r="CV65" s="495">
        <f t="shared" si="5"/>
        <v>0</v>
      </c>
      <c r="CW65" s="495">
        <f t="shared" si="6"/>
        <v>-624913</v>
      </c>
      <c r="CX65" s="495">
        <f t="shared" si="9"/>
        <v>3399294.0400000005</v>
      </c>
      <c r="CY65" s="495">
        <f t="shared" si="7"/>
        <v>3327121.0999999996</v>
      </c>
      <c r="CZ65" s="495">
        <f t="shared" si="10"/>
        <v>2929162.57</v>
      </c>
      <c r="DA65" s="495">
        <f t="shared" si="8"/>
        <v>72172.940000000875</v>
      </c>
    </row>
    <row r="66" spans="1:105" ht="30">
      <c r="A66" s="576">
        <v>302</v>
      </c>
      <c r="B66" s="576">
        <v>3510</v>
      </c>
      <c r="C66" s="576" t="s">
        <v>285</v>
      </c>
      <c r="D66" s="576" t="s">
        <v>594</v>
      </c>
      <c r="E66" s="576"/>
      <c r="F66" s="576" t="s">
        <v>588</v>
      </c>
      <c r="G66" s="576">
        <v>0</v>
      </c>
      <c r="H66" s="576">
        <v>0</v>
      </c>
      <c r="I66" s="576" t="s">
        <v>853</v>
      </c>
      <c r="J66" s="576" t="s">
        <v>854</v>
      </c>
      <c r="K66" s="576" t="s">
        <v>591</v>
      </c>
      <c r="L66" s="576" t="s">
        <v>592</v>
      </c>
      <c r="M66" s="576" t="s">
        <v>591</v>
      </c>
      <c r="N66" s="576" t="s">
        <v>593</v>
      </c>
      <c r="O66" s="576" t="s">
        <v>188</v>
      </c>
      <c r="P66" s="576" t="s">
        <v>188</v>
      </c>
      <c r="Q66" s="577">
        <v>255603.01</v>
      </c>
      <c r="R66" s="577">
        <v>0</v>
      </c>
      <c r="S66" s="577">
        <v>0</v>
      </c>
      <c r="T66" s="577">
        <v>2134664.06</v>
      </c>
      <c r="U66" s="577">
        <v>0</v>
      </c>
      <c r="V66" s="577">
        <v>50186.33</v>
      </c>
      <c r="W66" s="577">
        <v>0</v>
      </c>
      <c r="X66" s="577">
        <v>85734</v>
      </c>
      <c r="Y66" s="577">
        <v>7029.61</v>
      </c>
      <c r="Z66" s="577">
        <v>104590.98</v>
      </c>
      <c r="AA66" s="577">
        <v>17270</v>
      </c>
      <c r="AB66" s="577">
        <v>3844.88</v>
      </c>
      <c r="AC66" s="577">
        <v>512.91999999999996</v>
      </c>
      <c r="AD66" s="577">
        <v>0</v>
      </c>
      <c r="AE66" s="577">
        <v>210</v>
      </c>
      <c r="AF66" s="577">
        <v>40438.050000000003</v>
      </c>
      <c r="AG66" s="577">
        <v>16410.310000000001</v>
      </c>
      <c r="AH66" s="577">
        <v>0</v>
      </c>
      <c r="AI66" s="577">
        <v>0</v>
      </c>
      <c r="AJ66" s="577">
        <v>0</v>
      </c>
      <c r="AK66" s="577">
        <v>3315.63</v>
      </c>
      <c r="AL66" s="577">
        <v>73077.5</v>
      </c>
      <c r="AM66" s="580">
        <f t="shared" si="2"/>
        <v>76393.13</v>
      </c>
      <c r="AN66" s="577">
        <v>1349519.96</v>
      </c>
      <c r="AO66" s="577">
        <v>0</v>
      </c>
      <c r="AP66" s="577">
        <v>399018.33</v>
      </c>
      <c r="AQ66" s="577">
        <v>35019.67</v>
      </c>
      <c r="AR66" s="577">
        <v>107329.47</v>
      </c>
      <c r="AS66" s="577">
        <v>0</v>
      </c>
      <c r="AT66" s="577">
        <v>0</v>
      </c>
      <c r="AU66" s="577">
        <v>12000.7</v>
      </c>
      <c r="AV66" s="577">
        <v>5115.1000000000004</v>
      </c>
      <c r="AW66" s="577">
        <v>675.62</v>
      </c>
      <c r="AX66" s="577">
        <v>0</v>
      </c>
      <c r="AY66" s="577">
        <v>12966.66</v>
      </c>
      <c r="AZ66" s="577">
        <v>2937.53</v>
      </c>
      <c r="BA66" s="577">
        <v>35825.57</v>
      </c>
      <c r="BB66" s="577">
        <v>1740.81</v>
      </c>
      <c r="BC66" s="577">
        <v>49460.57</v>
      </c>
      <c r="BD66" s="577">
        <v>5834.4</v>
      </c>
      <c r="BE66" s="577">
        <v>12884.13</v>
      </c>
      <c r="BF66" s="577">
        <v>131140.71</v>
      </c>
      <c r="BG66" s="577">
        <v>8704.94</v>
      </c>
      <c r="BH66" s="576">
        <v>0</v>
      </c>
      <c r="BI66" s="576">
        <v>1858</v>
      </c>
      <c r="BJ66" s="576">
        <v>9206.84</v>
      </c>
      <c r="BK66" s="576">
        <v>2309.17</v>
      </c>
      <c r="BL66" s="576">
        <v>4791.7299999999996</v>
      </c>
      <c r="BM66" s="576">
        <v>3778.92</v>
      </c>
      <c r="BN66" s="577">
        <f t="shared" si="3"/>
        <v>30649.599999999999</v>
      </c>
      <c r="BO66" s="577">
        <v>0</v>
      </c>
      <c r="BP66" s="577">
        <v>10550.4</v>
      </c>
      <c r="BQ66" s="577">
        <v>16642.23</v>
      </c>
      <c r="BR66" s="577">
        <v>2880.6</v>
      </c>
      <c r="BS66" s="577">
        <v>164610.87</v>
      </c>
      <c r="BT66" s="577">
        <v>32904.910000000003</v>
      </c>
      <c r="BU66" s="577">
        <v>136936.60999999999</v>
      </c>
      <c r="BV66" s="577">
        <v>39930.83</v>
      </c>
      <c r="BW66" s="577">
        <v>0</v>
      </c>
      <c r="BX66" s="577">
        <v>0</v>
      </c>
      <c r="BY66" s="577">
        <v>0</v>
      </c>
      <c r="BZ66" s="577">
        <v>0</v>
      </c>
      <c r="CA66" s="577">
        <v>0</v>
      </c>
      <c r="CB66" s="577">
        <v>0</v>
      </c>
      <c r="CC66" s="577">
        <v>0</v>
      </c>
      <c r="CD66" s="577">
        <v>0</v>
      </c>
      <c r="CE66" s="577">
        <v>6000</v>
      </c>
      <c r="CF66" s="577">
        <v>0</v>
      </c>
      <c r="CG66" s="577">
        <v>0</v>
      </c>
      <c r="CH66" s="577">
        <v>0</v>
      </c>
      <c r="CI66" s="577">
        <v>0</v>
      </c>
      <c r="CJ66" s="576">
        <v>0</v>
      </c>
      <c r="CK66" s="576">
        <v>0</v>
      </c>
      <c r="CL66" s="576">
        <v>0</v>
      </c>
      <c r="CM66" s="576">
        <v>0</v>
      </c>
      <c r="CN66" s="577">
        <v>71315</v>
      </c>
      <c r="CO66" s="577">
        <v>124997</v>
      </c>
      <c r="CP66" s="577">
        <v>0</v>
      </c>
      <c r="CQ66" s="577">
        <v>0</v>
      </c>
      <c r="CR66" s="577">
        <v>0</v>
      </c>
      <c r="CS66" s="577">
        <v>0</v>
      </c>
      <c r="CU66" s="495">
        <f t="shared" si="4"/>
        <v>196312</v>
      </c>
      <c r="CV66" s="495">
        <f t="shared" si="5"/>
        <v>0</v>
      </c>
      <c r="CW66" s="495">
        <f t="shared" si="6"/>
        <v>196312</v>
      </c>
      <c r="CX66" s="495">
        <f t="shared" si="9"/>
        <v>2537284.2699999996</v>
      </c>
      <c r="CY66" s="495">
        <f t="shared" si="7"/>
        <v>2596575.2799999998</v>
      </c>
      <c r="CZ66" s="495">
        <f t="shared" si="10"/>
        <v>2184850.39</v>
      </c>
      <c r="DA66" s="495">
        <f t="shared" si="8"/>
        <v>-59291.010000000242</v>
      </c>
    </row>
    <row r="67" spans="1:105" ht="30">
      <c r="A67" s="576">
        <v>302</v>
      </c>
      <c r="B67" s="576">
        <v>3511</v>
      </c>
      <c r="C67" s="576" t="s">
        <v>439</v>
      </c>
      <c r="D67" s="576" t="s">
        <v>594</v>
      </c>
      <c r="E67" s="576"/>
      <c r="F67" s="576" t="s">
        <v>588</v>
      </c>
      <c r="G67" s="576">
        <v>0</v>
      </c>
      <c r="H67" s="576">
        <v>0</v>
      </c>
      <c r="I67" s="576" t="s">
        <v>853</v>
      </c>
      <c r="J67" s="576" t="s">
        <v>854</v>
      </c>
      <c r="K67" s="576" t="s">
        <v>591</v>
      </c>
      <c r="L67" s="576" t="s">
        <v>592</v>
      </c>
      <c r="M67" s="576" t="s">
        <v>591</v>
      </c>
      <c r="N67" s="576" t="s">
        <v>593</v>
      </c>
      <c r="O67" s="576" t="s">
        <v>188</v>
      </c>
      <c r="P67" s="576" t="s">
        <v>188</v>
      </c>
      <c r="Q67" s="577">
        <v>295856.69</v>
      </c>
      <c r="R67" s="577">
        <v>0</v>
      </c>
      <c r="S67" s="577">
        <v>0</v>
      </c>
      <c r="T67" s="577">
        <v>2620266.91</v>
      </c>
      <c r="U67" s="577">
        <v>0</v>
      </c>
      <c r="V67" s="577">
        <v>144975.82999999999</v>
      </c>
      <c r="W67" s="577">
        <v>0</v>
      </c>
      <c r="X67" s="577">
        <v>129390</v>
      </c>
      <c r="Y67" s="577">
        <v>8829.61</v>
      </c>
      <c r="Z67" s="577">
        <v>91699.93</v>
      </c>
      <c r="AA67" s="577">
        <v>0</v>
      </c>
      <c r="AB67" s="577">
        <v>57683.7</v>
      </c>
      <c r="AC67" s="577">
        <v>1132.18</v>
      </c>
      <c r="AD67" s="577">
        <v>3000</v>
      </c>
      <c r="AE67" s="577">
        <v>0</v>
      </c>
      <c r="AF67" s="577">
        <v>73642.22</v>
      </c>
      <c r="AG67" s="577">
        <v>7422.84</v>
      </c>
      <c r="AH67" s="577">
        <v>0</v>
      </c>
      <c r="AI67" s="577">
        <v>0</v>
      </c>
      <c r="AJ67" s="577">
        <v>0</v>
      </c>
      <c r="AK67" s="577">
        <v>2875.63</v>
      </c>
      <c r="AL67" s="577">
        <v>75161</v>
      </c>
      <c r="AM67" s="580">
        <f t="shared" si="2"/>
        <v>78036.63</v>
      </c>
      <c r="AN67" s="577">
        <v>1251689.79</v>
      </c>
      <c r="AO67" s="577">
        <v>5997.23</v>
      </c>
      <c r="AP67" s="577">
        <v>626409.68000000005</v>
      </c>
      <c r="AQ67" s="577">
        <v>50980.47</v>
      </c>
      <c r="AR67" s="577">
        <v>171270.18</v>
      </c>
      <c r="AS67" s="577">
        <v>0</v>
      </c>
      <c r="AT67" s="577">
        <v>13899.74</v>
      </c>
      <c r="AU67" s="577">
        <v>2518.44</v>
      </c>
      <c r="AV67" s="577">
        <v>8521.82</v>
      </c>
      <c r="AW67" s="577">
        <v>12816.84</v>
      </c>
      <c r="AX67" s="577">
        <v>0</v>
      </c>
      <c r="AY67" s="577">
        <v>21826.38</v>
      </c>
      <c r="AZ67" s="577">
        <v>7775.83</v>
      </c>
      <c r="BA67" s="577">
        <v>61088.38</v>
      </c>
      <c r="BB67" s="577">
        <v>750.5</v>
      </c>
      <c r="BC67" s="577">
        <v>29117.91</v>
      </c>
      <c r="BD67" s="577">
        <v>5023.2</v>
      </c>
      <c r="BE67" s="577">
        <v>13698.92</v>
      </c>
      <c r="BF67" s="577">
        <v>113166.15</v>
      </c>
      <c r="BG67" s="577">
        <v>9345.17</v>
      </c>
      <c r="BH67" s="576">
        <v>0</v>
      </c>
      <c r="BI67" s="576">
        <v>14430.09</v>
      </c>
      <c r="BJ67" s="576">
        <v>16896.099999999999</v>
      </c>
      <c r="BK67" s="576">
        <v>0</v>
      </c>
      <c r="BL67" s="576">
        <v>1851.29</v>
      </c>
      <c r="BM67" s="576">
        <v>14119.8</v>
      </c>
      <c r="BN67" s="577">
        <f t="shared" si="3"/>
        <v>56642.45</v>
      </c>
      <c r="BO67" s="577">
        <v>0</v>
      </c>
      <c r="BP67" s="577">
        <v>7325.15</v>
      </c>
      <c r="BQ67" s="577">
        <v>17615.96</v>
      </c>
      <c r="BR67" s="577">
        <v>66704.17</v>
      </c>
      <c r="BS67" s="577">
        <v>175991.4</v>
      </c>
      <c r="BT67" s="577">
        <v>209871.69</v>
      </c>
      <c r="BU67" s="577">
        <v>279655.3</v>
      </c>
      <c r="BV67" s="577">
        <v>28583.96</v>
      </c>
      <c r="BW67" s="577">
        <v>0</v>
      </c>
      <c r="BX67" s="577">
        <v>0</v>
      </c>
      <c r="BY67" s="577">
        <v>0</v>
      </c>
      <c r="BZ67" s="577">
        <v>0</v>
      </c>
      <c r="CA67" s="577">
        <v>0</v>
      </c>
      <c r="CB67" s="577">
        <v>0</v>
      </c>
      <c r="CC67" s="577">
        <v>0</v>
      </c>
      <c r="CD67" s="577">
        <v>0</v>
      </c>
      <c r="CE67" s="577">
        <v>6000</v>
      </c>
      <c r="CF67" s="577">
        <v>0</v>
      </c>
      <c r="CG67" s="577">
        <v>0</v>
      </c>
      <c r="CH67" s="577">
        <v>0</v>
      </c>
      <c r="CI67" s="577">
        <v>0</v>
      </c>
      <c r="CJ67" s="576">
        <v>0</v>
      </c>
      <c r="CK67" s="576">
        <v>0</v>
      </c>
      <c r="CL67" s="576">
        <v>0</v>
      </c>
      <c r="CM67" s="576">
        <v>0</v>
      </c>
      <c r="CN67" s="577">
        <v>0</v>
      </c>
      <c r="CO67" s="577">
        <v>272995</v>
      </c>
      <c r="CP67" s="577">
        <v>0</v>
      </c>
      <c r="CQ67" s="577">
        <v>0</v>
      </c>
      <c r="CR67" s="577">
        <v>0</v>
      </c>
      <c r="CS67" s="577">
        <v>0</v>
      </c>
      <c r="CU67" s="495">
        <f t="shared" si="4"/>
        <v>272995</v>
      </c>
      <c r="CV67" s="495">
        <f t="shared" si="5"/>
        <v>0</v>
      </c>
      <c r="CW67" s="495">
        <f t="shared" si="6"/>
        <v>272995</v>
      </c>
      <c r="CX67" s="495">
        <f t="shared" si="9"/>
        <v>3216079.8500000006</v>
      </c>
      <c r="CY67" s="495">
        <f t="shared" si="7"/>
        <v>3238941.5399999991</v>
      </c>
      <c r="CZ67" s="495">
        <f t="shared" si="10"/>
        <v>2765242.74</v>
      </c>
      <c r="DA67" s="495">
        <f t="shared" si="8"/>
        <v>-22861.689999998547</v>
      </c>
    </row>
    <row r="68" spans="1:105" ht="15">
      <c r="A68" s="576">
        <v>302</v>
      </c>
      <c r="B68" s="576">
        <v>3512</v>
      </c>
      <c r="C68" s="576" t="s">
        <v>284</v>
      </c>
      <c r="D68" s="576" t="s">
        <v>594</v>
      </c>
      <c r="E68" s="576"/>
      <c r="F68" s="576" t="s">
        <v>588</v>
      </c>
      <c r="G68" s="576">
        <v>0</v>
      </c>
      <c r="H68" s="576">
        <v>1</v>
      </c>
      <c r="I68" s="576" t="s">
        <v>853</v>
      </c>
      <c r="J68" s="576" t="s">
        <v>854</v>
      </c>
      <c r="K68" s="576" t="s">
        <v>591</v>
      </c>
      <c r="L68" s="576" t="s">
        <v>592</v>
      </c>
      <c r="M68" s="576" t="s">
        <v>591</v>
      </c>
      <c r="N68" s="576" t="s">
        <v>593</v>
      </c>
      <c r="O68" s="576" t="s">
        <v>188</v>
      </c>
      <c r="P68" s="576" t="s">
        <v>188</v>
      </c>
      <c r="Q68" s="577">
        <v>-4910.74</v>
      </c>
      <c r="R68" s="577">
        <v>0</v>
      </c>
      <c r="S68" s="577">
        <v>0</v>
      </c>
      <c r="T68" s="577">
        <v>1986564</v>
      </c>
      <c r="U68" s="577">
        <v>0</v>
      </c>
      <c r="V68" s="577">
        <v>54404</v>
      </c>
      <c r="W68" s="577">
        <v>0</v>
      </c>
      <c r="X68" s="577">
        <v>11765</v>
      </c>
      <c r="Y68" s="577">
        <v>4174</v>
      </c>
      <c r="Z68" s="577">
        <v>160629</v>
      </c>
      <c r="AA68" s="577">
        <v>6220</v>
      </c>
      <c r="AB68" s="577">
        <v>51761</v>
      </c>
      <c r="AC68" s="577">
        <v>50681.64</v>
      </c>
      <c r="AD68" s="577">
        <v>1212</v>
      </c>
      <c r="AE68" s="577">
        <v>0</v>
      </c>
      <c r="AF68" s="577">
        <v>168657</v>
      </c>
      <c r="AG68" s="577">
        <v>405050</v>
      </c>
      <c r="AH68" s="577">
        <v>0</v>
      </c>
      <c r="AI68" s="577">
        <v>0</v>
      </c>
      <c r="AJ68" s="577">
        <v>0</v>
      </c>
      <c r="AK68" s="577">
        <v>527</v>
      </c>
      <c r="AL68" s="577">
        <v>95116.62</v>
      </c>
      <c r="AM68" s="580">
        <f t="shared" si="2"/>
        <v>95643.62</v>
      </c>
      <c r="AN68" s="577">
        <v>1394407.15</v>
      </c>
      <c r="AO68" s="577">
        <v>31037</v>
      </c>
      <c r="AP68" s="577">
        <v>377798</v>
      </c>
      <c r="AQ68" s="577">
        <v>78235</v>
      </c>
      <c r="AR68" s="577">
        <v>210512</v>
      </c>
      <c r="AS68" s="577">
        <v>0</v>
      </c>
      <c r="AT68" s="577">
        <v>44263</v>
      </c>
      <c r="AU68" s="577">
        <v>4437</v>
      </c>
      <c r="AV68" s="577">
        <v>1901</v>
      </c>
      <c r="AW68" s="577">
        <v>10233</v>
      </c>
      <c r="AX68" s="577">
        <v>0</v>
      </c>
      <c r="AY68" s="577">
        <v>33507</v>
      </c>
      <c r="AZ68" s="577">
        <v>0</v>
      </c>
      <c r="BA68" s="577">
        <v>54853</v>
      </c>
      <c r="BB68" s="577">
        <v>3579</v>
      </c>
      <c r="BC68" s="577">
        <v>63076</v>
      </c>
      <c r="BD68" s="577">
        <v>15600</v>
      </c>
      <c r="BE68" s="577">
        <v>50764</v>
      </c>
      <c r="BF68" s="577">
        <v>87339</v>
      </c>
      <c r="BG68" s="577">
        <v>8306</v>
      </c>
      <c r="BH68" s="576">
        <v>0</v>
      </c>
      <c r="BI68" s="576">
        <v>0</v>
      </c>
      <c r="BJ68" s="576">
        <v>6956</v>
      </c>
      <c r="BK68" s="576">
        <v>3762</v>
      </c>
      <c r="BL68" s="576">
        <v>5252</v>
      </c>
      <c r="BM68" s="576">
        <v>14932</v>
      </c>
      <c r="BN68" s="577">
        <f t="shared" si="3"/>
        <v>39208</v>
      </c>
      <c r="BO68" s="577">
        <v>0</v>
      </c>
      <c r="BP68" s="577">
        <v>13028</v>
      </c>
      <c r="BQ68" s="577">
        <v>14720</v>
      </c>
      <c r="BR68" s="577">
        <v>13091</v>
      </c>
      <c r="BS68" s="577">
        <v>218392</v>
      </c>
      <c r="BT68" s="577">
        <v>41411</v>
      </c>
      <c r="BU68" s="577">
        <v>191751</v>
      </c>
      <c r="BV68" s="577">
        <v>28622</v>
      </c>
      <c r="BW68" s="577">
        <v>0</v>
      </c>
      <c r="BX68" s="577">
        <v>0</v>
      </c>
      <c r="BY68" s="577">
        <v>0</v>
      </c>
      <c r="BZ68" s="577">
        <v>0</v>
      </c>
      <c r="CA68" s="577">
        <v>0</v>
      </c>
      <c r="CB68" s="577">
        <v>0</v>
      </c>
      <c r="CC68" s="577">
        <v>0</v>
      </c>
      <c r="CD68" s="577">
        <v>0</v>
      </c>
      <c r="CE68" s="577">
        <v>6000</v>
      </c>
      <c r="CF68" s="577">
        <v>0</v>
      </c>
      <c r="CG68" s="577">
        <v>0</v>
      </c>
      <c r="CH68" s="577">
        <v>0</v>
      </c>
      <c r="CI68" s="577">
        <v>0</v>
      </c>
      <c r="CJ68" s="576">
        <v>0</v>
      </c>
      <c r="CK68" s="576">
        <v>0</v>
      </c>
      <c r="CL68" s="576">
        <v>0</v>
      </c>
      <c r="CM68" s="576">
        <v>0</v>
      </c>
      <c r="CN68" s="577">
        <v>27647.37</v>
      </c>
      <c r="CO68" s="577">
        <v>-57561</v>
      </c>
      <c r="CP68" s="577">
        <v>0</v>
      </c>
      <c r="CQ68" s="577">
        <v>0</v>
      </c>
      <c r="CR68" s="577">
        <v>0</v>
      </c>
      <c r="CS68" s="577">
        <v>0</v>
      </c>
      <c r="CU68" s="495">
        <f t="shared" si="4"/>
        <v>-29913.63</v>
      </c>
      <c r="CV68" s="495">
        <f t="shared" si="5"/>
        <v>0</v>
      </c>
      <c r="CW68" s="495">
        <f t="shared" si="6"/>
        <v>-29913.63</v>
      </c>
      <c r="CX68" s="495">
        <f t="shared" ref="CX68:CX87" si="11">SUM(T68:AL68)-AI68-AJ68</f>
        <v>2996761.2600000002</v>
      </c>
      <c r="CY68" s="495">
        <f t="shared" si="7"/>
        <v>3021764.15</v>
      </c>
      <c r="CZ68" s="495">
        <f t="shared" ref="CZ68:CZ87" si="12">SUM(T68:V68)</f>
        <v>2040968</v>
      </c>
      <c r="DA68" s="495">
        <f t="shared" si="8"/>
        <v>-25002.889999999665</v>
      </c>
    </row>
    <row r="69" spans="1:105" ht="15">
      <c r="A69" s="576">
        <v>302</v>
      </c>
      <c r="B69" s="576">
        <v>3513</v>
      </c>
      <c r="C69" s="576" t="s">
        <v>733</v>
      </c>
      <c r="D69" s="576" t="s">
        <v>586</v>
      </c>
      <c r="E69" s="576" t="s">
        <v>734</v>
      </c>
      <c r="F69" s="576" t="s">
        <v>588</v>
      </c>
      <c r="G69" s="576">
        <v>0</v>
      </c>
      <c r="H69" s="576">
        <v>3</v>
      </c>
      <c r="I69" s="576" t="s">
        <v>853</v>
      </c>
      <c r="J69" s="576" t="s">
        <v>854</v>
      </c>
      <c r="K69" s="576" t="s">
        <v>591</v>
      </c>
      <c r="L69" s="576" t="s">
        <v>592</v>
      </c>
      <c r="M69" s="576" t="s">
        <v>591</v>
      </c>
      <c r="N69" s="576" t="s">
        <v>593</v>
      </c>
      <c r="O69" s="576" t="s">
        <v>188</v>
      </c>
      <c r="P69" s="576" t="s">
        <v>188</v>
      </c>
      <c r="Q69" s="577">
        <v>65897.58</v>
      </c>
      <c r="R69" s="577">
        <v>0</v>
      </c>
      <c r="S69" s="577">
        <v>0</v>
      </c>
      <c r="T69" s="577">
        <v>2213674.0299999998</v>
      </c>
      <c r="U69" s="577">
        <v>0</v>
      </c>
      <c r="V69" s="577">
        <v>83898.67</v>
      </c>
      <c r="W69" s="577">
        <v>0</v>
      </c>
      <c r="X69" s="577">
        <v>11087.5</v>
      </c>
      <c r="Y69" s="577">
        <v>83739.53</v>
      </c>
      <c r="Z69" s="577">
        <v>176131.05</v>
      </c>
      <c r="AA69" s="577">
        <v>0</v>
      </c>
      <c r="AB69" s="577">
        <v>1529.56</v>
      </c>
      <c r="AC69" s="577">
        <v>46286.9</v>
      </c>
      <c r="AD69" s="577">
        <v>0</v>
      </c>
      <c r="AE69" s="577">
        <v>0</v>
      </c>
      <c r="AF69" s="577">
        <v>33980.81</v>
      </c>
      <c r="AG69" s="577">
        <v>225281.57</v>
      </c>
      <c r="AH69" s="577">
        <v>0</v>
      </c>
      <c r="AI69" s="577">
        <v>0</v>
      </c>
      <c r="AJ69" s="577">
        <v>0</v>
      </c>
      <c r="AK69" s="577">
        <v>1281.25</v>
      </c>
      <c r="AL69" s="577">
        <v>95942</v>
      </c>
      <c r="AM69" s="580">
        <f t="shared" ref="AM69:AM87" si="13">AK69+AL69</f>
        <v>97223.25</v>
      </c>
      <c r="AN69" s="577">
        <v>1610007.93</v>
      </c>
      <c r="AO69" s="577">
        <v>0</v>
      </c>
      <c r="AP69" s="577">
        <v>204555.25</v>
      </c>
      <c r="AQ69" s="577">
        <v>39496.519999999997</v>
      </c>
      <c r="AR69" s="577">
        <v>110428.04</v>
      </c>
      <c r="AS69" s="577">
        <v>0</v>
      </c>
      <c r="AT69" s="577">
        <v>69633.009999999995</v>
      </c>
      <c r="AU69" s="577">
        <v>1988.05</v>
      </c>
      <c r="AV69" s="577">
        <v>2370</v>
      </c>
      <c r="AW69" s="577">
        <v>625.82000000000005</v>
      </c>
      <c r="AX69" s="577">
        <v>0</v>
      </c>
      <c r="AY69" s="577">
        <v>12051.66</v>
      </c>
      <c r="AZ69" s="577">
        <v>0</v>
      </c>
      <c r="BA69" s="577">
        <v>42296.36</v>
      </c>
      <c r="BB69" s="577">
        <v>6967.03</v>
      </c>
      <c r="BC69" s="577">
        <v>74312.34</v>
      </c>
      <c r="BD69" s="577">
        <v>5771.86</v>
      </c>
      <c r="BE69" s="577">
        <v>103849.16</v>
      </c>
      <c r="BF69" s="577">
        <v>115036.91</v>
      </c>
      <c r="BG69" s="577">
        <v>6502.22</v>
      </c>
      <c r="BH69" s="576">
        <v>0</v>
      </c>
      <c r="BI69" s="576">
        <v>165.99</v>
      </c>
      <c r="BJ69" s="576">
        <v>5344.76</v>
      </c>
      <c r="BK69" s="576">
        <v>0</v>
      </c>
      <c r="BL69" s="576">
        <v>179.57</v>
      </c>
      <c r="BM69" s="576">
        <v>0</v>
      </c>
      <c r="BN69" s="577">
        <f t="shared" ref="BN69:BN87" si="14">SUM(BG69:BM69)</f>
        <v>12192.54</v>
      </c>
      <c r="BO69" s="577">
        <v>0</v>
      </c>
      <c r="BP69" s="577">
        <v>15159.09</v>
      </c>
      <c r="BQ69" s="577">
        <v>5990.53</v>
      </c>
      <c r="BR69" s="577">
        <v>46131.88</v>
      </c>
      <c r="BS69" s="577">
        <v>222633.33</v>
      </c>
      <c r="BT69" s="577">
        <v>0</v>
      </c>
      <c r="BU69" s="577">
        <v>412737.1</v>
      </c>
      <c r="BV69" s="577">
        <v>27576.04</v>
      </c>
      <c r="BW69" s="577">
        <v>0</v>
      </c>
      <c r="BX69" s="577">
        <v>0</v>
      </c>
      <c r="BY69" s="577">
        <v>0</v>
      </c>
      <c r="BZ69" s="577">
        <v>0</v>
      </c>
      <c r="CA69" s="577">
        <v>0</v>
      </c>
      <c r="CB69" s="577">
        <v>0</v>
      </c>
      <c r="CC69" s="577">
        <v>0</v>
      </c>
      <c r="CD69" s="577">
        <v>0</v>
      </c>
      <c r="CE69" s="577">
        <v>6000</v>
      </c>
      <c r="CF69" s="577">
        <v>0</v>
      </c>
      <c r="CG69" s="577">
        <v>0</v>
      </c>
      <c r="CH69" s="577">
        <v>0</v>
      </c>
      <c r="CI69" s="577">
        <v>0</v>
      </c>
      <c r="CJ69" s="576">
        <v>0</v>
      </c>
      <c r="CK69" s="576">
        <v>0</v>
      </c>
      <c r="CL69" s="576">
        <v>0</v>
      </c>
      <c r="CM69" s="576">
        <v>0</v>
      </c>
      <c r="CN69" s="577">
        <v>0</v>
      </c>
      <c r="CO69" s="577">
        <v>-103080</v>
      </c>
      <c r="CP69" s="577">
        <v>0</v>
      </c>
      <c r="CQ69" s="577">
        <v>0</v>
      </c>
      <c r="CR69" s="577">
        <v>0</v>
      </c>
      <c r="CS69" s="577">
        <v>0</v>
      </c>
      <c r="CU69" s="495">
        <f t="shared" ref="CU69:CU87" si="15">CN69+CO69+CR69</f>
        <v>-103080</v>
      </c>
      <c r="CV69" s="495">
        <f t="shared" ref="CV69:CV87" si="16">CP69+CQ69+CS69</f>
        <v>0</v>
      </c>
      <c r="CW69" s="495">
        <f t="shared" ref="CW69:CW87" si="17">CN69+CO69</f>
        <v>-103080</v>
      </c>
      <c r="CX69" s="495">
        <f t="shared" si="11"/>
        <v>2972832.8699999992</v>
      </c>
      <c r="CY69" s="495">
        <f t="shared" ref="CY69:CY87" si="18">SUM(AN69:BY69)-BN69</f>
        <v>3141810.4499999997</v>
      </c>
      <c r="CZ69" s="495">
        <f t="shared" si="12"/>
        <v>2297572.6999999997</v>
      </c>
      <c r="DA69" s="495">
        <f t="shared" ref="DA69:DA87" si="19">CX69-CY69</f>
        <v>-168977.58000000054</v>
      </c>
    </row>
    <row r="70" spans="1:105" ht="15">
      <c r="A70" s="576">
        <v>302</v>
      </c>
      <c r="B70" s="576">
        <v>3514</v>
      </c>
      <c r="C70" s="576" t="s">
        <v>291</v>
      </c>
      <c r="D70" s="576" t="s">
        <v>594</v>
      </c>
      <c r="E70" s="576"/>
      <c r="F70" s="576" t="s">
        <v>588</v>
      </c>
      <c r="G70" s="576">
        <v>0</v>
      </c>
      <c r="H70" s="576">
        <v>1</v>
      </c>
      <c r="I70" s="576" t="s">
        <v>853</v>
      </c>
      <c r="J70" s="576" t="s">
        <v>854</v>
      </c>
      <c r="K70" s="576" t="s">
        <v>591</v>
      </c>
      <c r="L70" s="576" t="s">
        <v>592</v>
      </c>
      <c r="M70" s="576" t="s">
        <v>591</v>
      </c>
      <c r="N70" s="576" t="s">
        <v>593</v>
      </c>
      <c r="O70" s="576" t="s">
        <v>188</v>
      </c>
      <c r="P70" s="576" t="s">
        <v>188</v>
      </c>
      <c r="Q70" s="577">
        <v>-8583.67</v>
      </c>
      <c r="R70" s="577">
        <v>0</v>
      </c>
      <c r="S70" s="577">
        <v>0</v>
      </c>
      <c r="T70" s="577">
        <v>1054637.4099999999</v>
      </c>
      <c r="U70" s="577">
        <v>0</v>
      </c>
      <c r="V70" s="577">
        <v>46039.68</v>
      </c>
      <c r="W70" s="577">
        <v>0</v>
      </c>
      <c r="X70" s="577">
        <v>71980</v>
      </c>
      <c r="Y70" s="577">
        <v>0</v>
      </c>
      <c r="Z70" s="577">
        <v>76559.91</v>
      </c>
      <c r="AA70" s="577">
        <v>0</v>
      </c>
      <c r="AB70" s="577">
        <v>33619.74</v>
      </c>
      <c r="AC70" s="577">
        <v>497.18</v>
      </c>
      <c r="AD70" s="577">
        <v>0</v>
      </c>
      <c r="AE70" s="577">
        <v>0</v>
      </c>
      <c r="AF70" s="577">
        <v>10998.75</v>
      </c>
      <c r="AG70" s="577">
        <v>12369.74</v>
      </c>
      <c r="AH70" s="577">
        <v>0</v>
      </c>
      <c r="AI70" s="577">
        <v>0</v>
      </c>
      <c r="AJ70" s="577">
        <v>0</v>
      </c>
      <c r="AK70" s="577">
        <v>4986.88</v>
      </c>
      <c r="AL70" s="577">
        <v>17800</v>
      </c>
      <c r="AM70" s="580">
        <f t="shared" si="13"/>
        <v>22786.880000000001</v>
      </c>
      <c r="AN70" s="577">
        <v>660291.30000000005</v>
      </c>
      <c r="AO70" s="577">
        <v>0</v>
      </c>
      <c r="AP70" s="577">
        <v>139272.65</v>
      </c>
      <c r="AQ70" s="577">
        <v>28846.65</v>
      </c>
      <c r="AR70" s="577">
        <v>48523.66</v>
      </c>
      <c r="AS70" s="577">
        <v>0</v>
      </c>
      <c r="AT70" s="577">
        <v>4164.43</v>
      </c>
      <c r="AU70" s="577">
        <v>7841.37</v>
      </c>
      <c r="AV70" s="577">
        <v>1073.0999999999999</v>
      </c>
      <c r="AW70" s="577">
        <v>302.12</v>
      </c>
      <c r="AX70" s="577">
        <v>0</v>
      </c>
      <c r="AY70" s="577">
        <v>9983.0400000000009</v>
      </c>
      <c r="AZ70" s="577">
        <v>15876.35</v>
      </c>
      <c r="BA70" s="577">
        <v>11816.44</v>
      </c>
      <c r="BB70" s="577">
        <v>2918.55</v>
      </c>
      <c r="BC70" s="577">
        <v>41039.43</v>
      </c>
      <c r="BD70" s="577">
        <v>5314.56</v>
      </c>
      <c r="BE70" s="577">
        <v>11442.2</v>
      </c>
      <c r="BF70" s="577">
        <v>47791.83</v>
      </c>
      <c r="BG70" s="577">
        <v>10452.209999999999</v>
      </c>
      <c r="BH70" s="576">
        <v>0</v>
      </c>
      <c r="BI70" s="576">
        <v>0</v>
      </c>
      <c r="BJ70" s="576">
        <v>0</v>
      </c>
      <c r="BK70" s="576">
        <v>0</v>
      </c>
      <c r="BL70" s="576">
        <v>0</v>
      </c>
      <c r="BM70" s="576">
        <v>0</v>
      </c>
      <c r="BN70" s="577">
        <f t="shared" si="14"/>
        <v>10452.209999999999</v>
      </c>
      <c r="BO70" s="577">
        <v>0</v>
      </c>
      <c r="BP70" s="577">
        <v>12394.05</v>
      </c>
      <c r="BQ70" s="577">
        <v>2891.98</v>
      </c>
      <c r="BR70" s="577">
        <v>9359.9599999999991</v>
      </c>
      <c r="BS70" s="577">
        <v>56065.54</v>
      </c>
      <c r="BT70" s="577">
        <v>119379.59</v>
      </c>
      <c r="BU70" s="577">
        <v>100529.23</v>
      </c>
      <c r="BV70" s="577">
        <v>29252.93</v>
      </c>
      <c r="BW70" s="577">
        <v>1637.45</v>
      </c>
      <c r="BX70" s="577">
        <v>0</v>
      </c>
      <c r="BY70" s="577">
        <v>0</v>
      </c>
      <c r="BZ70" s="577">
        <v>0</v>
      </c>
      <c r="CA70" s="577">
        <v>0</v>
      </c>
      <c r="CB70" s="577">
        <v>0</v>
      </c>
      <c r="CC70" s="577">
        <v>0</v>
      </c>
      <c r="CD70" s="577">
        <v>0</v>
      </c>
      <c r="CE70" s="577">
        <v>6000</v>
      </c>
      <c r="CF70" s="577">
        <v>0</v>
      </c>
      <c r="CG70" s="577">
        <v>0</v>
      </c>
      <c r="CH70" s="577">
        <v>0</v>
      </c>
      <c r="CI70" s="577">
        <v>0</v>
      </c>
      <c r="CJ70" s="576">
        <v>0</v>
      </c>
      <c r="CK70" s="576">
        <v>0</v>
      </c>
      <c r="CL70" s="576">
        <v>0</v>
      </c>
      <c r="CM70" s="576">
        <v>0</v>
      </c>
      <c r="CN70" s="577">
        <v>0</v>
      </c>
      <c r="CO70" s="577">
        <v>-57555</v>
      </c>
      <c r="CP70" s="577">
        <v>0</v>
      </c>
      <c r="CQ70" s="577">
        <v>0</v>
      </c>
      <c r="CR70" s="577">
        <v>0</v>
      </c>
      <c r="CS70" s="577">
        <v>0</v>
      </c>
      <c r="CU70" s="495">
        <f t="shared" si="15"/>
        <v>-57555</v>
      </c>
      <c r="CV70" s="495">
        <f t="shared" si="16"/>
        <v>0</v>
      </c>
      <c r="CW70" s="495">
        <f t="shared" si="17"/>
        <v>-57555</v>
      </c>
      <c r="CX70" s="495">
        <f t="shared" si="11"/>
        <v>1329489.2899999996</v>
      </c>
      <c r="CY70" s="495">
        <f t="shared" si="18"/>
        <v>1378460.62</v>
      </c>
      <c r="CZ70" s="495">
        <f t="shared" si="12"/>
        <v>1100677.0899999999</v>
      </c>
      <c r="DA70" s="495">
        <f t="shared" si="19"/>
        <v>-48971.33000000054</v>
      </c>
    </row>
    <row r="71" spans="1:105" ht="15">
      <c r="A71" s="576">
        <v>302</v>
      </c>
      <c r="B71" s="576">
        <v>3516</v>
      </c>
      <c r="C71" s="576" t="s">
        <v>68</v>
      </c>
      <c r="D71" s="576" t="s">
        <v>594</v>
      </c>
      <c r="E71" s="576"/>
      <c r="F71" s="576" t="s">
        <v>588</v>
      </c>
      <c r="G71" s="576">
        <v>0</v>
      </c>
      <c r="H71" s="576">
        <v>1</v>
      </c>
      <c r="I71" s="576" t="s">
        <v>853</v>
      </c>
      <c r="J71" s="576" t="s">
        <v>854</v>
      </c>
      <c r="K71" s="576" t="s">
        <v>591</v>
      </c>
      <c r="L71" s="576" t="s">
        <v>592</v>
      </c>
      <c r="M71" s="576" t="s">
        <v>591</v>
      </c>
      <c r="N71" s="576" t="s">
        <v>593</v>
      </c>
      <c r="O71" s="576" t="s">
        <v>188</v>
      </c>
      <c r="P71" s="576" t="s">
        <v>188</v>
      </c>
      <c r="Q71" s="577">
        <v>-19448.61</v>
      </c>
      <c r="R71" s="577">
        <v>0</v>
      </c>
      <c r="S71" s="577">
        <v>0</v>
      </c>
      <c r="T71" s="577">
        <v>1217594.83</v>
      </c>
      <c r="U71" s="577">
        <v>0</v>
      </c>
      <c r="V71" s="577">
        <v>213469.6</v>
      </c>
      <c r="W71" s="577">
        <v>0</v>
      </c>
      <c r="X71" s="577">
        <v>53187</v>
      </c>
      <c r="Y71" s="577">
        <v>58820.31</v>
      </c>
      <c r="Z71" s="577">
        <v>80007.72</v>
      </c>
      <c r="AA71" s="577">
        <v>0</v>
      </c>
      <c r="AB71" s="577">
        <v>8861.91</v>
      </c>
      <c r="AC71" s="577">
        <v>13948.28</v>
      </c>
      <c r="AD71" s="577">
        <v>0</v>
      </c>
      <c r="AE71" s="577">
        <v>0</v>
      </c>
      <c r="AF71" s="577">
        <v>12772.15</v>
      </c>
      <c r="AG71" s="577">
        <v>139769</v>
      </c>
      <c r="AH71" s="577">
        <v>0</v>
      </c>
      <c r="AI71" s="577">
        <v>0</v>
      </c>
      <c r="AJ71" s="577">
        <v>0</v>
      </c>
      <c r="AK71" s="577">
        <v>3445.63</v>
      </c>
      <c r="AL71" s="577">
        <v>38931</v>
      </c>
      <c r="AM71" s="580">
        <f t="shared" si="13"/>
        <v>42376.63</v>
      </c>
      <c r="AN71" s="577">
        <v>981782.87</v>
      </c>
      <c r="AO71" s="577">
        <v>0</v>
      </c>
      <c r="AP71" s="577">
        <v>335793.63</v>
      </c>
      <c r="AQ71" s="577">
        <v>71335.73</v>
      </c>
      <c r="AR71" s="577">
        <v>153673.15</v>
      </c>
      <c r="AS71" s="577">
        <v>0</v>
      </c>
      <c r="AT71" s="577">
        <v>27964.23</v>
      </c>
      <c r="AU71" s="577">
        <v>303.2</v>
      </c>
      <c r="AV71" s="577">
        <v>2958.5</v>
      </c>
      <c r="AW71" s="577">
        <v>8189</v>
      </c>
      <c r="AX71" s="577">
        <v>768.75</v>
      </c>
      <c r="AY71" s="577">
        <v>16478.68</v>
      </c>
      <c r="AZ71" s="577">
        <v>675.58</v>
      </c>
      <c r="BA71" s="577">
        <v>1300.5899999999999</v>
      </c>
      <c r="BB71" s="577">
        <v>5041.8599999999997</v>
      </c>
      <c r="BC71" s="577">
        <v>25478.53</v>
      </c>
      <c r="BD71" s="577">
        <v>19998</v>
      </c>
      <c r="BE71" s="577">
        <v>63936.34</v>
      </c>
      <c r="BF71" s="577">
        <v>51733.88</v>
      </c>
      <c r="BG71" s="577">
        <v>4636.6400000000003</v>
      </c>
      <c r="BH71" s="576">
        <v>0</v>
      </c>
      <c r="BI71" s="576">
        <v>3686.01</v>
      </c>
      <c r="BJ71" s="576">
        <v>6043.75</v>
      </c>
      <c r="BK71" s="576">
        <v>1467.62</v>
      </c>
      <c r="BL71" s="576">
        <v>425.5</v>
      </c>
      <c r="BM71" s="576">
        <v>3120</v>
      </c>
      <c r="BN71" s="577">
        <f t="shared" si="14"/>
        <v>19379.52</v>
      </c>
      <c r="BO71" s="577">
        <v>0</v>
      </c>
      <c r="BP71" s="577">
        <v>5751.6</v>
      </c>
      <c r="BQ71" s="577">
        <v>7958.25</v>
      </c>
      <c r="BR71" s="577">
        <v>480.23</v>
      </c>
      <c r="BS71" s="577">
        <v>60111.45</v>
      </c>
      <c r="BT71" s="577">
        <v>3915.32</v>
      </c>
      <c r="BU71" s="577">
        <v>23532.46</v>
      </c>
      <c r="BV71" s="577">
        <v>12037.47</v>
      </c>
      <c r="BW71" s="577">
        <v>0</v>
      </c>
      <c r="BX71" s="577">
        <v>0</v>
      </c>
      <c r="BY71" s="577">
        <v>0</v>
      </c>
      <c r="BZ71" s="577">
        <v>0</v>
      </c>
      <c r="CA71" s="577">
        <v>0</v>
      </c>
      <c r="CB71" s="577">
        <v>0</v>
      </c>
      <c r="CC71" s="577">
        <v>0</v>
      </c>
      <c r="CD71" s="577">
        <v>0</v>
      </c>
      <c r="CE71" s="577">
        <v>6000</v>
      </c>
      <c r="CF71" s="577">
        <v>0</v>
      </c>
      <c r="CG71" s="577">
        <v>0</v>
      </c>
      <c r="CH71" s="577">
        <v>0</v>
      </c>
      <c r="CI71" s="577">
        <v>0</v>
      </c>
      <c r="CJ71" s="576">
        <v>0</v>
      </c>
      <c r="CK71" s="576">
        <v>0</v>
      </c>
      <c r="CL71" s="576">
        <v>0</v>
      </c>
      <c r="CM71" s="576">
        <v>0</v>
      </c>
      <c r="CN71" s="577">
        <v>0</v>
      </c>
      <c r="CO71" s="577">
        <v>-79220</v>
      </c>
      <c r="CP71" s="577">
        <v>0</v>
      </c>
      <c r="CQ71" s="577">
        <v>0</v>
      </c>
      <c r="CR71" s="577">
        <v>0</v>
      </c>
      <c r="CS71" s="577">
        <v>0</v>
      </c>
      <c r="CU71" s="495">
        <f t="shared" si="15"/>
        <v>-79220</v>
      </c>
      <c r="CV71" s="495">
        <f t="shared" si="16"/>
        <v>0</v>
      </c>
      <c r="CW71" s="495">
        <f t="shared" si="17"/>
        <v>-79220</v>
      </c>
      <c r="CX71" s="495">
        <f t="shared" si="11"/>
        <v>1840807.43</v>
      </c>
      <c r="CY71" s="495">
        <f t="shared" si="18"/>
        <v>1900578.82</v>
      </c>
      <c r="CZ71" s="495">
        <f t="shared" si="12"/>
        <v>1431064.4300000002</v>
      </c>
      <c r="DA71" s="495">
        <f t="shared" si="19"/>
        <v>-59771.39000000013</v>
      </c>
    </row>
    <row r="72" spans="1:105" ht="15">
      <c r="A72" s="576">
        <v>302</v>
      </c>
      <c r="B72" s="576">
        <v>3518</v>
      </c>
      <c r="C72" s="576" t="s">
        <v>112</v>
      </c>
      <c r="D72" s="576" t="s">
        <v>594</v>
      </c>
      <c r="E72" s="576"/>
      <c r="F72" s="576" t="s">
        <v>588</v>
      </c>
      <c r="G72" s="576">
        <v>0</v>
      </c>
      <c r="H72" s="576">
        <v>1</v>
      </c>
      <c r="I72" s="576" t="s">
        <v>853</v>
      </c>
      <c r="J72" s="576" t="s">
        <v>854</v>
      </c>
      <c r="K72" s="576" t="s">
        <v>591</v>
      </c>
      <c r="L72" s="576" t="s">
        <v>592</v>
      </c>
      <c r="M72" s="576" t="s">
        <v>591</v>
      </c>
      <c r="N72" s="576" t="s">
        <v>593</v>
      </c>
      <c r="O72" s="576" t="s">
        <v>188</v>
      </c>
      <c r="P72" s="576" t="s">
        <v>188</v>
      </c>
      <c r="Q72" s="577">
        <v>-212590.2</v>
      </c>
      <c r="R72" s="577">
        <v>0</v>
      </c>
      <c r="S72" s="577">
        <v>27998.84</v>
      </c>
      <c r="T72" s="577">
        <v>2644061.1800000002</v>
      </c>
      <c r="U72" s="577">
        <v>0</v>
      </c>
      <c r="V72" s="577">
        <v>100657.28</v>
      </c>
      <c r="W72" s="577">
        <v>0</v>
      </c>
      <c r="X72" s="577">
        <v>190240</v>
      </c>
      <c r="Y72" s="577">
        <v>5000</v>
      </c>
      <c r="Z72" s="577">
        <v>90804.72</v>
      </c>
      <c r="AA72" s="577">
        <v>10865</v>
      </c>
      <c r="AB72" s="577">
        <v>32917.800000000003</v>
      </c>
      <c r="AC72" s="577">
        <v>1626.12</v>
      </c>
      <c r="AD72" s="577">
        <v>0</v>
      </c>
      <c r="AE72" s="577">
        <v>0</v>
      </c>
      <c r="AF72" s="577">
        <v>31939.31</v>
      </c>
      <c r="AG72" s="577">
        <v>935.24</v>
      </c>
      <c r="AH72" s="577">
        <v>0</v>
      </c>
      <c r="AI72" s="577">
        <v>0</v>
      </c>
      <c r="AJ72" s="577">
        <v>0</v>
      </c>
      <c r="AK72" s="577">
        <v>14493.75</v>
      </c>
      <c r="AL72" s="577">
        <v>78924</v>
      </c>
      <c r="AM72" s="580">
        <f t="shared" si="13"/>
        <v>93417.75</v>
      </c>
      <c r="AN72" s="577">
        <v>1465244.46</v>
      </c>
      <c r="AO72" s="577">
        <v>3791.74</v>
      </c>
      <c r="AP72" s="577">
        <v>700442.63</v>
      </c>
      <c r="AQ72" s="577">
        <v>15359.2</v>
      </c>
      <c r="AR72" s="577">
        <v>60710.46</v>
      </c>
      <c r="AS72" s="577">
        <v>0</v>
      </c>
      <c r="AT72" s="577">
        <v>200695.06</v>
      </c>
      <c r="AU72" s="577">
        <v>16495.169999999998</v>
      </c>
      <c r="AV72" s="577">
        <v>3190.54</v>
      </c>
      <c r="AW72" s="577">
        <v>661</v>
      </c>
      <c r="AX72" s="577">
        <v>0</v>
      </c>
      <c r="AY72" s="577">
        <v>10320.73</v>
      </c>
      <c r="AZ72" s="577">
        <v>4277.74</v>
      </c>
      <c r="BA72" s="577">
        <v>68548.399999999994</v>
      </c>
      <c r="BB72" s="577">
        <v>2821.35</v>
      </c>
      <c r="BC72" s="577">
        <v>71127.520000000004</v>
      </c>
      <c r="BD72" s="577">
        <v>41400</v>
      </c>
      <c r="BE72" s="577">
        <v>9155.83</v>
      </c>
      <c r="BF72" s="577">
        <v>38468.910000000003</v>
      </c>
      <c r="BG72" s="577">
        <v>13019.74</v>
      </c>
      <c r="BH72" s="576">
        <v>0</v>
      </c>
      <c r="BI72" s="576">
        <v>16082.15</v>
      </c>
      <c r="BJ72" s="576">
        <v>7237.6</v>
      </c>
      <c r="BK72" s="576">
        <v>1440.95</v>
      </c>
      <c r="BL72" s="576">
        <v>823.25</v>
      </c>
      <c r="BM72" s="576">
        <v>12800.95</v>
      </c>
      <c r="BN72" s="577">
        <f t="shared" si="14"/>
        <v>51404.639999999999</v>
      </c>
      <c r="BO72" s="577">
        <v>0</v>
      </c>
      <c r="BP72" s="577">
        <v>12316.99</v>
      </c>
      <c r="BQ72" s="577">
        <v>15824</v>
      </c>
      <c r="BR72" s="577">
        <v>8268.76</v>
      </c>
      <c r="BS72" s="577">
        <v>157820.49</v>
      </c>
      <c r="BT72" s="577">
        <v>69051.64</v>
      </c>
      <c r="BU72" s="577">
        <v>237237.48</v>
      </c>
      <c r="BV72" s="577">
        <v>49915.46</v>
      </c>
      <c r="BW72" s="577">
        <v>0</v>
      </c>
      <c r="BX72" s="577">
        <v>0</v>
      </c>
      <c r="BY72" s="577">
        <v>0</v>
      </c>
      <c r="BZ72" s="577">
        <v>0</v>
      </c>
      <c r="CA72" s="577">
        <v>0</v>
      </c>
      <c r="CB72" s="577">
        <v>8779</v>
      </c>
      <c r="CC72" s="577">
        <v>0</v>
      </c>
      <c r="CD72" s="577">
        <v>0</v>
      </c>
      <c r="CE72" s="577">
        <v>6000</v>
      </c>
      <c r="CF72" s="577">
        <v>0</v>
      </c>
      <c r="CG72" s="577">
        <v>2999.28</v>
      </c>
      <c r="CH72" s="577">
        <v>0</v>
      </c>
      <c r="CI72" s="577">
        <v>0</v>
      </c>
      <c r="CJ72" s="576">
        <v>0</v>
      </c>
      <c r="CK72" s="576">
        <v>0</v>
      </c>
      <c r="CL72" s="576">
        <v>4144.5600000000004</v>
      </c>
      <c r="CM72" s="576">
        <v>0</v>
      </c>
      <c r="CN72" s="577">
        <v>0</v>
      </c>
      <c r="CO72" s="577">
        <v>-324676</v>
      </c>
      <c r="CP72" s="577">
        <v>29634</v>
      </c>
      <c r="CQ72" s="577">
        <v>0</v>
      </c>
      <c r="CR72" s="577">
        <v>0</v>
      </c>
      <c r="CS72" s="577">
        <v>0</v>
      </c>
      <c r="CU72" s="495">
        <f t="shared" si="15"/>
        <v>-324676</v>
      </c>
      <c r="CV72" s="495">
        <f t="shared" si="16"/>
        <v>29634</v>
      </c>
      <c r="CW72" s="495">
        <f t="shared" si="17"/>
        <v>-324676</v>
      </c>
      <c r="CX72" s="495">
        <f t="shared" si="11"/>
        <v>3202464.4000000004</v>
      </c>
      <c r="CY72" s="495">
        <f t="shared" si="18"/>
        <v>3314550.2000000016</v>
      </c>
      <c r="CZ72" s="495">
        <f t="shared" si="12"/>
        <v>2744718.46</v>
      </c>
      <c r="DA72" s="495">
        <f t="shared" si="19"/>
        <v>-112085.80000000121</v>
      </c>
    </row>
    <row r="73" spans="1:105" ht="15">
      <c r="A73" s="576">
        <v>302</v>
      </c>
      <c r="B73" s="576">
        <v>3520</v>
      </c>
      <c r="C73" s="576" t="s">
        <v>256</v>
      </c>
      <c r="D73" s="576" t="s">
        <v>594</v>
      </c>
      <c r="E73" s="576"/>
      <c r="F73" s="576" t="s">
        <v>588</v>
      </c>
      <c r="G73" s="576">
        <v>0</v>
      </c>
      <c r="H73" s="576">
        <v>0</v>
      </c>
      <c r="I73" s="576" t="s">
        <v>853</v>
      </c>
      <c r="J73" s="576" t="s">
        <v>854</v>
      </c>
      <c r="K73" s="576" t="s">
        <v>591</v>
      </c>
      <c r="L73" s="576" t="s">
        <v>592</v>
      </c>
      <c r="M73" s="576" t="s">
        <v>591</v>
      </c>
      <c r="N73" s="576" t="s">
        <v>593</v>
      </c>
      <c r="O73" s="576" t="s">
        <v>188</v>
      </c>
      <c r="P73" s="576" t="s">
        <v>188</v>
      </c>
      <c r="Q73" s="577">
        <v>80804.63</v>
      </c>
      <c r="R73" s="577">
        <v>0</v>
      </c>
      <c r="S73" s="577">
        <v>0</v>
      </c>
      <c r="T73" s="577">
        <v>2093866.6</v>
      </c>
      <c r="U73" s="577">
        <v>0</v>
      </c>
      <c r="V73" s="577">
        <v>153252.31</v>
      </c>
      <c r="W73" s="577">
        <v>0</v>
      </c>
      <c r="X73" s="577">
        <v>4440</v>
      </c>
      <c r="Y73" s="577">
        <v>38151.65</v>
      </c>
      <c r="Z73" s="577">
        <v>175468.18</v>
      </c>
      <c r="AA73" s="577">
        <v>31865.21</v>
      </c>
      <c r="AB73" s="577">
        <v>0</v>
      </c>
      <c r="AC73" s="577">
        <v>3445.92</v>
      </c>
      <c r="AD73" s="577">
        <v>0</v>
      </c>
      <c r="AE73" s="577">
        <v>0</v>
      </c>
      <c r="AF73" s="577">
        <v>51275.33</v>
      </c>
      <c r="AG73" s="577">
        <v>628439.66</v>
      </c>
      <c r="AH73" s="577">
        <v>0</v>
      </c>
      <c r="AI73" s="577">
        <v>0</v>
      </c>
      <c r="AJ73" s="577">
        <v>0</v>
      </c>
      <c r="AK73" s="577">
        <v>1000</v>
      </c>
      <c r="AL73" s="577">
        <v>106878.88</v>
      </c>
      <c r="AM73" s="580">
        <f t="shared" si="13"/>
        <v>107878.88</v>
      </c>
      <c r="AN73" s="577">
        <v>1188801.52</v>
      </c>
      <c r="AO73" s="577">
        <v>4285.46</v>
      </c>
      <c r="AP73" s="577">
        <v>590510.39</v>
      </c>
      <c r="AQ73" s="577">
        <v>38127.050000000003</v>
      </c>
      <c r="AR73" s="577">
        <v>143377.64000000001</v>
      </c>
      <c r="AS73" s="577">
        <v>0</v>
      </c>
      <c r="AT73" s="577">
        <v>21632.47</v>
      </c>
      <c r="AU73" s="577">
        <v>3622.13</v>
      </c>
      <c r="AV73" s="577">
        <v>1293.95</v>
      </c>
      <c r="AW73" s="577">
        <v>698.86</v>
      </c>
      <c r="AX73" s="577">
        <v>0</v>
      </c>
      <c r="AY73" s="577">
        <v>52790.09</v>
      </c>
      <c r="AZ73" s="577">
        <v>1874.9</v>
      </c>
      <c r="BA73" s="577">
        <v>52825.08</v>
      </c>
      <c r="BB73" s="577">
        <v>14191.06</v>
      </c>
      <c r="BC73" s="577">
        <v>30750.98</v>
      </c>
      <c r="BD73" s="577">
        <v>14601.6</v>
      </c>
      <c r="BE73" s="577">
        <v>127904.35</v>
      </c>
      <c r="BF73" s="577">
        <v>163571</v>
      </c>
      <c r="BG73" s="577">
        <v>6780.97</v>
      </c>
      <c r="BH73" s="576">
        <v>828.33</v>
      </c>
      <c r="BI73" s="576">
        <v>3355.9</v>
      </c>
      <c r="BJ73" s="576">
        <v>10705.87</v>
      </c>
      <c r="BK73" s="576">
        <v>1316.8</v>
      </c>
      <c r="BL73" s="576">
        <v>4477.22</v>
      </c>
      <c r="BM73" s="576">
        <v>275</v>
      </c>
      <c r="BN73" s="577">
        <f t="shared" si="14"/>
        <v>27740.09</v>
      </c>
      <c r="BO73" s="577">
        <v>0</v>
      </c>
      <c r="BP73" s="577">
        <v>5017.17</v>
      </c>
      <c r="BQ73" s="577">
        <v>19149.87</v>
      </c>
      <c r="BR73" s="577">
        <v>8114</v>
      </c>
      <c r="BS73" s="577">
        <v>204009.62</v>
      </c>
      <c r="BT73" s="577">
        <v>64349.64</v>
      </c>
      <c r="BU73" s="577">
        <v>216504.74</v>
      </c>
      <c r="BV73" s="577">
        <v>47442.71</v>
      </c>
      <c r="BW73" s="577">
        <v>0</v>
      </c>
      <c r="BX73" s="577">
        <v>0</v>
      </c>
      <c r="BY73" s="577">
        <v>0</v>
      </c>
      <c r="BZ73" s="577">
        <v>0</v>
      </c>
      <c r="CA73" s="577">
        <v>0</v>
      </c>
      <c r="CB73" s="577">
        <v>0</v>
      </c>
      <c r="CC73" s="577">
        <v>0</v>
      </c>
      <c r="CD73" s="577">
        <v>0</v>
      </c>
      <c r="CE73" s="577">
        <v>6000</v>
      </c>
      <c r="CF73" s="577">
        <v>0</v>
      </c>
      <c r="CG73" s="577">
        <v>0</v>
      </c>
      <c r="CH73" s="577">
        <v>0</v>
      </c>
      <c r="CI73" s="577">
        <v>0</v>
      </c>
      <c r="CJ73" s="576">
        <v>0</v>
      </c>
      <c r="CK73" s="576">
        <v>0</v>
      </c>
      <c r="CL73" s="576">
        <v>0</v>
      </c>
      <c r="CM73" s="576">
        <v>0</v>
      </c>
      <c r="CN73" s="577">
        <v>0</v>
      </c>
      <c r="CO73" s="577">
        <v>325702</v>
      </c>
      <c r="CP73" s="577">
        <v>0</v>
      </c>
      <c r="CQ73" s="577">
        <v>0</v>
      </c>
      <c r="CR73" s="577">
        <v>0</v>
      </c>
      <c r="CS73" s="577">
        <v>0</v>
      </c>
      <c r="CU73" s="495">
        <f t="shared" si="15"/>
        <v>325702</v>
      </c>
      <c r="CV73" s="495">
        <f t="shared" si="16"/>
        <v>0</v>
      </c>
      <c r="CW73" s="495">
        <f t="shared" si="17"/>
        <v>325702</v>
      </c>
      <c r="CX73" s="495">
        <f t="shared" si="11"/>
        <v>3288083.74</v>
      </c>
      <c r="CY73" s="495">
        <f t="shared" si="18"/>
        <v>3043186.370000001</v>
      </c>
      <c r="CZ73" s="495">
        <f t="shared" si="12"/>
        <v>2247118.91</v>
      </c>
      <c r="DA73" s="495">
        <f t="shared" si="19"/>
        <v>244897.36999999918</v>
      </c>
    </row>
    <row r="74" spans="1:105" ht="15">
      <c r="A74" s="576">
        <v>302</v>
      </c>
      <c r="B74" s="576">
        <v>3521</v>
      </c>
      <c r="C74" s="576" t="s">
        <v>859</v>
      </c>
      <c r="D74" s="576" t="s">
        <v>594</v>
      </c>
      <c r="E74" s="576"/>
      <c r="F74" s="576" t="s">
        <v>588</v>
      </c>
      <c r="G74" s="576">
        <v>0</v>
      </c>
      <c r="H74" s="576">
        <v>4</v>
      </c>
      <c r="I74" s="576" t="s">
        <v>853</v>
      </c>
      <c r="J74" s="576" t="s">
        <v>854</v>
      </c>
      <c r="K74" s="576" t="s">
        <v>591</v>
      </c>
      <c r="L74" s="576" t="s">
        <v>592</v>
      </c>
      <c r="M74" s="576" t="s">
        <v>591</v>
      </c>
      <c r="N74" s="576" t="s">
        <v>593</v>
      </c>
      <c r="O74" s="576" t="s">
        <v>188</v>
      </c>
      <c r="P74" s="576" t="s">
        <v>188</v>
      </c>
      <c r="Q74" s="577">
        <v>1474540.85</v>
      </c>
      <c r="R74" s="577">
        <v>0</v>
      </c>
      <c r="S74" s="577">
        <v>0</v>
      </c>
      <c r="T74" s="577">
        <v>10354041.59</v>
      </c>
      <c r="U74" s="577">
        <v>719920.31</v>
      </c>
      <c r="V74" s="577">
        <v>400867</v>
      </c>
      <c r="W74" s="577">
        <v>0</v>
      </c>
      <c r="X74" s="577">
        <v>510957</v>
      </c>
      <c r="Y74" s="577">
        <v>3000</v>
      </c>
      <c r="Z74" s="577">
        <v>260188.47</v>
      </c>
      <c r="AA74" s="577">
        <v>77695.98</v>
      </c>
      <c r="AB74" s="577">
        <v>75073.73</v>
      </c>
      <c r="AC74" s="577">
        <v>204706.51</v>
      </c>
      <c r="AD74" s="577">
        <v>0</v>
      </c>
      <c r="AE74" s="577">
        <v>0</v>
      </c>
      <c r="AF74" s="577">
        <v>251153.32</v>
      </c>
      <c r="AG74" s="577">
        <v>196454.25</v>
      </c>
      <c r="AH74" s="577">
        <v>0</v>
      </c>
      <c r="AI74" s="577">
        <v>0</v>
      </c>
      <c r="AJ74" s="577">
        <v>0</v>
      </c>
      <c r="AK74" s="577">
        <v>51470</v>
      </c>
      <c r="AL74" s="577">
        <v>149456.85</v>
      </c>
      <c r="AM74" s="580">
        <f t="shared" si="13"/>
        <v>200926.85</v>
      </c>
      <c r="AN74" s="577">
        <v>6898852.5700000003</v>
      </c>
      <c r="AO74" s="577">
        <v>0</v>
      </c>
      <c r="AP74" s="577">
        <v>1379451.17</v>
      </c>
      <c r="AQ74" s="577">
        <v>262308.96999999997</v>
      </c>
      <c r="AR74" s="577">
        <v>917109.21</v>
      </c>
      <c r="AS74" s="577">
        <v>0</v>
      </c>
      <c r="AT74" s="577">
        <v>128072.95</v>
      </c>
      <c r="AU74" s="577">
        <v>126521.67</v>
      </c>
      <c r="AV74" s="577">
        <v>23928.25</v>
      </c>
      <c r="AW74" s="577">
        <v>0</v>
      </c>
      <c r="AX74" s="577">
        <v>0</v>
      </c>
      <c r="AY74" s="577">
        <v>114615.03999999999</v>
      </c>
      <c r="AZ74" s="577">
        <v>17206.5</v>
      </c>
      <c r="BA74" s="577">
        <v>198537.83</v>
      </c>
      <c r="BB74" s="577">
        <v>30752.720000000001</v>
      </c>
      <c r="BC74" s="577">
        <v>235131.7</v>
      </c>
      <c r="BD74" s="577">
        <v>-32813.120000000003</v>
      </c>
      <c r="BE74" s="577">
        <v>41586.44</v>
      </c>
      <c r="BF74" s="577">
        <v>472138.07</v>
      </c>
      <c r="BG74" s="577">
        <v>78028.990000000005</v>
      </c>
      <c r="BH74" s="576">
        <v>0</v>
      </c>
      <c r="BI74" s="576">
        <v>0</v>
      </c>
      <c r="BJ74" s="576">
        <v>0</v>
      </c>
      <c r="BK74" s="576">
        <v>0</v>
      </c>
      <c r="BL74" s="576">
        <v>0</v>
      </c>
      <c r="BM74" s="576">
        <v>0</v>
      </c>
      <c r="BN74" s="577">
        <f t="shared" si="14"/>
        <v>78028.990000000005</v>
      </c>
      <c r="BO74" s="577">
        <v>97737.27</v>
      </c>
      <c r="BP74" s="577">
        <v>123957.67</v>
      </c>
      <c r="BQ74" s="577">
        <v>44593.84</v>
      </c>
      <c r="BR74" s="577">
        <v>21986.19</v>
      </c>
      <c r="BS74" s="577">
        <v>647125.93999999994</v>
      </c>
      <c r="BT74" s="577">
        <v>308709.89</v>
      </c>
      <c r="BU74" s="577">
        <v>861396.02</v>
      </c>
      <c r="BV74" s="577">
        <v>262592.08</v>
      </c>
      <c r="BW74" s="577">
        <v>0</v>
      </c>
      <c r="BX74" s="577">
        <v>0</v>
      </c>
      <c r="BY74" s="577">
        <v>0</v>
      </c>
      <c r="BZ74" s="577">
        <v>0</v>
      </c>
      <c r="CA74" s="577">
        <v>0</v>
      </c>
      <c r="CB74" s="577">
        <v>0</v>
      </c>
      <c r="CC74" s="577">
        <v>0</v>
      </c>
      <c r="CD74" s="577">
        <v>0</v>
      </c>
      <c r="CE74" s="577">
        <v>6000</v>
      </c>
      <c r="CF74" s="577">
        <v>0</v>
      </c>
      <c r="CG74" s="577">
        <v>0</v>
      </c>
      <c r="CH74" s="577">
        <v>0</v>
      </c>
      <c r="CI74" s="577">
        <v>0</v>
      </c>
      <c r="CJ74" s="576">
        <v>0</v>
      </c>
      <c r="CK74" s="576">
        <v>0</v>
      </c>
      <c r="CL74" s="576">
        <v>0</v>
      </c>
      <c r="CM74" s="576">
        <v>0</v>
      </c>
      <c r="CN74" s="577">
        <v>0</v>
      </c>
      <c r="CO74" s="577">
        <v>1469998</v>
      </c>
      <c r="CP74" s="577">
        <v>0</v>
      </c>
      <c r="CQ74" s="577">
        <v>0</v>
      </c>
      <c r="CR74" s="577">
        <v>0</v>
      </c>
      <c r="CS74" s="577">
        <v>0</v>
      </c>
      <c r="CU74" s="495">
        <f t="shared" si="15"/>
        <v>1469998</v>
      </c>
      <c r="CV74" s="495">
        <f t="shared" si="16"/>
        <v>0</v>
      </c>
      <c r="CW74" s="495">
        <f t="shared" si="17"/>
        <v>1469998</v>
      </c>
      <c r="CX74" s="495">
        <f t="shared" si="11"/>
        <v>13254985.010000002</v>
      </c>
      <c r="CY74" s="495">
        <f t="shared" si="18"/>
        <v>13259527.859999999</v>
      </c>
      <c r="CZ74" s="495">
        <f t="shared" si="12"/>
        <v>11474828.9</v>
      </c>
      <c r="DA74" s="495">
        <f t="shared" si="19"/>
        <v>-4542.8499999977648</v>
      </c>
    </row>
    <row r="75" spans="1:105" ht="15">
      <c r="A75" s="576">
        <v>302</v>
      </c>
      <c r="B75" s="576">
        <v>3523</v>
      </c>
      <c r="C75" s="576" t="s">
        <v>276</v>
      </c>
      <c r="D75" s="576" t="s">
        <v>594</v>
      </c>
      <c r="E75" s="576"/>
      <c r="F75" s="576" t="s">
        <v>588</v>
      </c>
      <c r="G75" s="576">
        <v>0</v>
      </c>
      <c r="H75" s="576">
        <v>0</v>
      </c>
      <c r="I75" s="576" t="s">
        <v>853</v>
      </c>
      <c r="J75" s="576" t="s">
        <v>854</v>
      </c>
      <c r="K75" s="576" t="s">
        <v>591</v>
      </c>
      <c r="L75" s="576" t="s">
        <v>592</v>
      </c>
      <c r="M75" s="576" t="s">
        <v>591</v>
      </c>
      <c r="N75" s="576" t="s">
        <v>593</v>
      </c>
      <c r="O75" s="576" t="s">
        <v>188</v>
      </c>
      <c r="P75" s="576" t="s">
        <v>188</v>
      </c>
      <c r="Q75" s="577">
        <v>322106.99</v>
      </c>
      <c r="R75" s="577">
        <v>0</v>
      </c>
      <c r="S75" s="577">
        <v>20755.240000000002</v>
      </c>
      <c r="T75" s="577">
        <v>3868398.77</v>
      </c>
      <c r="U75" s="577">
        <v>0</v>
      </c>
      <c r="V75" s="577">
        <v>243080.82</v>
      </c>
      <c r="W75" s="577">
        <v>0</v>
      </c>
      <c r="X75" s="577">
        <v>287820</v>
      </c>
      <c r="Y75" s="577">
        <v>4560</v>
      </c>
      <c r="Z75" s="577">
        <v>130621.35</v>
      </c>
      <c r="AA75" s="577">
        <v>109752.42</v>
      </c>
      <c r="AB75" s="577">
        <v>20771.66</v>
      </c>
      <c r="AC75" s="577">
        <v>11956.78</v>
      </c>
      <c r="AD75" s="577">
        <v>4240</v>
      </c>
      <c r="AE75" s="577">
        <v>0</v>
      </c>
      <c r="AF75" s="577">
        <v>159042.53</v>
      </c>
      <c r="AG75" s="577">
        <v>21903.71</v>
      </c>
      <c r="AH75" s="577">
        <v>0</v>
      </c>
      <c r="AI75" s="577">
        <v>0</v>
      </c>
      <c r="AJ75" s="577">
        <v>0</v>
      </c>
      <c r="AK75" s="577">
        <v>17214.5</v>
      </c>
      <c r="AL75" s="577">
        <v>100489</v>
      </c>
      <c r="AM75" s="580">
        <f t="shared" si="13"/>
        <v>117703.5</v>
      </c>
      <c r="AN75" s="577">
        <v>2094259.88</v>
      </c>
      <c r="AO75" s="577">
        <v>0</v>
      </c>
      <c r="AP75" s="577">
        <v>999897.78</v>
      </c>
      <c r="AQ75" s="577">
        <v>221378.84</v>
      </c>
      <c r="AR75" s="577">
        <v>186224.24</v>
      </c>
      <c r="AS75" s="577">
        <v>0</v>
      </c>
      <c r="AT75" s="577">
        <v>149073.18</v>
      </c>
      <c r="AU75" s="577">
        <v>35237.730000000003</v>
      </c>
      <c r="AV75" s="577">
        <v>3381.5</v>
      </c>
      <c r="AW75" s="577">
        <v>1030.8599999999999</v>
      </c>
      <c r="AX75" s="577">
        <v>11345.83</v>
      </c>
      <c r="AY75" s="577">
        <v>22358.66</v>
      </c>
      <c r="AZ75" s="577">
        <v>572.91999999999996</v>
      </c>
      <c r="BA75" s="577">
        <v>9132.43</v>
      </c>
      <c r="BB75" s="577">
        <v>4016.89</v>
      </c>
      <c r="BC75" s="577">
        <v>50050.15</v>
      </c>
      <c r="BD75" s="577">
        <v>68308.800000000003</v>
      </c>
      <c r="BE75" s="577">
        <v>17548.98</v>
      </c>
      <c r="BF75" s="577">
        <v>122602.33</v>
      </c>
      <c r="BG75" s="577">
        <v>6995</v>
      </c>
      <c r="BH75" s="576">
        <v>0</v>
      </c>
      <c r="BI75" s="576">
        <v>0</v>
      </c>
      <c r="BJ75" s="576">
        <v>6455.8</v>
      </c>
      <c r="BK75" s="576">
        <v>0</v>
      </c>
      <c r="BL75" s="576">
        <v>7826.1</v>
      </c>
      <c r="BM75" s="576">
        <v>0</v>
      </c>
      <c r="BN75" s="577">
        <f t="shared" si="14"/>
        <v>21276.9</v>
      </c>
      <c r="BO75" s="577">
        <v>0</v>
      </c>
      <c r="BP75" s="577">
        <v>17716.830000000002</v>
      </c>
      <c r="BQ75" s="577">
        <v>25392.69</v>
      </c>
      <c r="BR75" s="577">
        <v>725.67</v>
      </c>
      <c r="BS75" s="577">
        <v>242890.96</v>
      </c>
      <c r="BT75" s="577">
        <v>31426.28</v>
      </c>
      <c r="BU75" s="577">
        <v>467968.77</v>
      </c>
      <c r="BV75" s="577">
        <v>45305.43</v>
      </c>
      <c r="BW75" s="577">
        <v>0</v>
      </c>
      <c r="BX75" s="577">
        <v>0</v>
      </c>
      <c r="BY75" s="577">
        <v>0</v>
      </c>
      <c r="BZ75" s="577">
        <v>0</v>
      </c>
      <c r="CA75" s="577">
        <v>0</v>
      </c>
      <c r="CB75" s="577">
        <v>11443</v>
      </c>
      <c r="CC75" s="577">
        <v>0</v>
      </c>
      <c r="CD75" s="577">
        <v>0</v>
      </c>
      <c r="CE75" s="577">
        <v>6000</v>
      </c>
      <c r="CF75" s="577">
        <v>0</v>
      </c>
      <c r="CG75" s="577">
        <v>11738.24</v>
      </c>
      <c r="CH75" s="577">
        <v>0</v>
      </c>
      <c r="CI75" s="577">
        <v>0</v>
      </c>
      <c r="CJ75" s="576">
        <v>0</v>
      </c>
      <c r="CK75" s="576">
        <v>0</v>
      </c>
      <c r="CL75" s="576">
        <v>0</v>
      </c>
      <c r="CM75" s="576">
        <v>0</v>
      </c>
      <c r="CN75" s="577">
        <v>0</v>
      </c>
      <c r="CO75" s="577">
        <v>452834</v>
      </c>
      <c r="CP75" s="577">
        <v>20460</v>
      </c>
      <c r="CQ75" s="577">
        <v>0</v>
      </c>
      <c r="CR75" s="577">
        <v>0</v>
      </c>
      <c r="CS75" s="577">
        <v>0</v>
      </c>
      <c r="CU75" s="495">
        <f t="shared" si="15"/>
        <v>452834</v>
      </c>
      <c r="CV75" s="495">
        <f t="shared" si="16"/>
        <v>20460</v>
      </c>
      <c r="CW75" s="495">
        <f t="shared" si="17"/>
        <v>452834</v>
      </c>
      <c r="CX75" s="495">
        <f t="shared" si="11"/>
        <v>4979851.54</v>
      </c>
      <c r="CY75" s="495">
        <f t="shared" si="18"/>
        <v>4849124.5299999993</v>
      </c>
      <c r="CZ75" s="495">
        <f t="shared" si="12"/>
        <v>4111479.59</v>
      </c>
      <c r="DA75" s="495">
        <f t="shared" si="19"/>
        <v>130727.01000000071</v>
      </c>
    </row>
    <row r="76" spans="1:105" ht="15">
      <c r="A76" s="576">
        <v>302</v>
      </c>
      <c r="B76" s="576">
        <v>3524</v>
      </c>
      <c r="C76" s="576" t="s">
        <v>393</v>
      </c>
      <c r="D76" s="576" t="s">
        <v>594</v>
      </c>
      <c r="E76" s="576"/>
      <c r="F76" s="576" t="s">
        <v>588</v>
      </c>
      <c r="G76" s="576">
        <v>0</v>
      </c>
      <c r="H76" s="576">
        <v>0</v>
      </c>
      <c r="I76" s="576" t="s">
        <v>853</v>
      </c>
      <c r="J76" s="576" t="s">
        <v>854</v>
      </c>
      <c r="K76" s="576" t="s">
        <v>591</v>
      </c>
      <c r="L76" s="576" t="s">
        <v>592</v>
      </c>
      <c r="M76" s="576" t="s">
        <v>591</v>
      </c>
      <c r="N76" s="576" t="s">
        <v>593</v>
      </c>
      <c r="O76" s="576" t="s">
        <v>188</v>
      </c>
      <c r="P76" s="576" t="s">
        <v>188</v>
      </c>
      <c r="Q76" s="577">
        <v>91702.22</v>
      </c>
      <c r="R76" s="577">
        <v>0</v>
      </c>
      <c r="S76" s="577">
        <v>0</v>
      </c>
      <c r="T76" s="577">
        <v>1276367.8400000001</v>
      </c>
      <c r="U76" s="577">
        <v>0</v>
      </c>
      <c r="V76" s="577">
        <v>104711.34</v>
      </c>
      <c r="W76" s="577">
        <v>0</v>
      </c>
      <c r="X76" s="577">
        <v>14800</v>
      </c>
      <c r="Y76" s="577">
        <v>47034.55</v>
      </c>
      <c r="Z76" s="577">
        <v>83536.91</v>
      </c>
      <c r="AA76" s="577">
        <v>0</v>
      </c>
      <c r="AB76" s="577">
        <v>12315.61</v>
      </c>
      <c r="AC76" s="577">
        <v>12348.68</v>
      </c>
      <c r="AD76" s="577">
        <v>0</v>
      </c>
      <c r="AE76" s="577">
        <v>7447.83</v>
      </c>
      <c r="AF76" s="577">
        <v>112731.35</v>
      </c>
      <c r="AG76" s="577">
        <v>430263.65</v>
      </c>
      <c r="AH76" s="577">
        <v>0</v>
      </c>
      <c r="AI76" s="577">
        <v>0</v>
      </c>
      <c r="AJ76" s="577">
        <v>0</v>
      </c>
      <c r="AK76" s="577">
        <v>0</v>
      </c>
      <c r="AL76" s="577">
        <v>59476.88</v>
      </c>
      <c r="AM76" s="580">
        <f t="shared" si="13"/>
        <v>59476.88</v>
      </c>
      <c r="AN76" s="577">
        <v>1067183.1100000001</v>
      </c>
      <c r="AO76" s="577">
        <v>0</v>
      </c>
      <c r="AP76" s="577">
        <v>376947.7</v>
      </c>
      <c r="AQ76" s="577">
        <v>39850.18</v>
      </c>
      <c r="AR76" s="577">
        <v>125828.01</v>
      </c>
      <c r="AS76" s="577">
        <v>0</v>
      </c>
      <c r="AT76" s="577">
        <v>10529</v>
      </c>
      <c r="AU76" s="577">
        <v>2727.69</v>
      </c>
      <c r="AV76" s="577">
        <v>1061.6199999999999</v>
      </c>
      <c r="AW76" s="577">
        <v>343.62</v>
      </c>
      <c r="AX76" s="577">
        <v>0</v>
      </c>
      <c r="AY76" s="577">
        <v>61845.43</v>
      </c>
      <c r="AZ76" s="577">
        <v>817.36</v>
      </c>
      <c r="BA76" s="577">
        <v>36245.14</v>
      </c>
      <c r="BB76" s="577">
        <v>6629.61</v>
      </c>
      <c r="BC76" s="577">
        <v>44052.08</v>
      </c>
      <c r="BD76" s="577">
        <v>9592</v>
      </c>
      <c r="BE76" s="577">
        <v>64302.68</v>
      </c>
      <c r="BF76" s="577">
        <v>87680.47</v>
      </c>
      <c r="BG76" s="577">
        <v>11964.38</v>
      </c>
      <c r="BH76" s="576">
        <v>0</v>
      </c>
      <c r="BI76" s="576">
        <v>0</v>
      </c>
      <c r="BJ76" s="576">
        <v>0</v>
      </c>
      <c r="BK76" s="576">
        <v>0</v>
      </c>
      <c r="BL76" s="576">
        <v>0</v>
      </c>
      <c r="BM76" s="576">
        <v>0</v>
      </c>
      <c r="BN76" s="577">
        <f t="shared" si="14"/>
        <v>11964.38</v>
      </c>
      <c r="BO76" s="577">
        <v>0</v>
      </c>
      <c r="BP76" s="577">
        <v>24621.38</v>
      </c>
      <c r="BQ76" s="577">
        <v>16103.94</v>
      </c>
      <c r="BR76" s="577">
        <v>0</v>
      </c>
      <c r="BS76" s="577">
        <v>75701.25</v>
      </c>
      <c r="BT76" s="577">
        <v>22046.09</v>
      </c>
      <c r="BU76" s="577">
        <v>29587.7</v>
      </c>
      <c r="BV76" s="577">
        <v>21760.77</v>
      </c>
      <c r="BW76" s="577">
        <v>26550.65</v>
      </c>
      <c r="BX76" s="577">
        <v>0</v>
      </c>
      <c r="BY76" s="577">
        <v>0</v>
      </c>
      <c r="BZ76" s="577">
        <v>0</v>
      </c>
      <c r="CA76" s="577">
        <v>0</v>
      </c>
      <c r="CB76" s="577">
        <v>0</v>
      </c>
      <c r="CC76" s="577">
        <v>0</v>
      </c>
      <c r="CD76" s="577">
        <v>0</v>
      </c>
      <c r="CE76" s="577">
        <v>6000</v>
      </c>
      <c r="CF76" s="577">
        <v>0</v>
      </c>
      <c r="CG76" s="577">
        <v>0</v>
      </c>
      <c r="CH76" s="577">
        <v>0</v>
      </c>
      <c r="CI76" s="577">
        <v>0</v>
      </c>
      <c r="CJ76" s="576">
        <v>0</v>
      </c>
      <c r="CK76" s="576">
        <v>0</v>
      </c>
      <c r="CL76" s="576">
        <v>0</v>
      </c>
      <c r="CM76" s="576">
        <v>0</v>
      </c>
      <c r="CN76" s="577">
        <v>0</v>
      </c>
      <c r="CO76" s="577">
        <v>88765</v>
      </c>
      <c r="CP76" s="577">
        <v>0</v>
      </c>
      <c r="CQ76" s="577">
        <v>0</v>
      </c>
      <c r="CR76" s="577">
        <v>0</v>
      </c>
      <c r="CS76" s="577">
        <v>0</v>
      </c>
      <c r="CU76" s="495">
        <f t="shared" si="15"/>
        <v>88765</v>
      </c>
      <c r="CV76" s="495">
        <f t="shared" si="16"/>
        <v>0</v>
      </c>
      <c r="CW76" s="495">
        <f t="shared" si="17"/>
        <v>88765</v>
      </c>
      <c r="CX76" s="495">
        <f t="shared" si="11"/>
        <v>2161034.64</v>
      </c>
      <c r="CY76" s="495">
        <f t="shared" si="18"/>
        <v>2163971.86</v>
      </c>
      <c r="CZ76" s="495">
        <f t="shared" si="12"/>
        <v>1381079.1800000002</v>
      </c>
      <c r="DA76" s="495">
        <f t="shared" si="19"/>
        <v>-2937.2199999997392</v>
      </c>
    </row>
    <row r="77" spans="1:105" ht="15">
      <c r="A77" s="576">
        <v>302</v>
      </c>
      <c r="B77" s="576">
        <v>4003</v>
      </c>
      <c r="C77" s="576" t="s">
        <v>116</v>
      </c>
      <c r="D77" s="576" t="s">
        <v>594</v>
      </c>
      <c r="E77" s="576"/>
      <c r="F77" s="576" t="s">
        <v>588</v>
      </c>
      <c r="G77" s="576">
        <v>0</v>
      </c>
      <c r="H77" s="576">
        <v>0</v>
      </c>
      <c r="I77" s="576" t="s">
        <v>853</v>
      </c>
      <c r="J77" s="576" t="s">
        <v>854</v>
      </c>
      <c r="K77" s="576" t="s">
        <v>591</v>
      </c>
      <c r="L77" s="576" t="s">
        <v>592</v>
      </c>
      <c r="M77" s="576" t="s">
        <v>591</v>
      </c>
      <c r="N77" s="576" t="s">
        <v>593</v>
      </c>
      <c r="O77" s="576" t="s">
        <v>188</v>
      </c>
      <c r="P77" s="576" t="s">
        <v>188</v>
      </c>
      <c r="Q77" s="577">
        <v>390305.05</v>
      </c>
      <c r="R77" s="577">
        <v>0</v>
      </c>
      <c r="S77" s="577">
        <v>16737.060000000001</v>
      </c>
      <c r="T77" s="577">
        <v>6257128.4400000004</v>
      </c>
      <c r="U77" s="577">
        <v>0</v>
      </c>
      <c r="V77" s="577">
        <v>465352.64</v>
      </c>
      <c r="W77" s="577">
        <v>0</v>
      </c>
      <c r="X77" s="577">
        <v>319762</v>
      </c>
      <c r="Y77" s="577">
        <v>17516.52</v>
      </c>
      <c r="Z77" s="577">
        <v>10267.98</v>
      </c>
      <c r="AA77" s="577">
        <v>5778.99</v>
      </c>
      <c r="AB77" s="577">
        <v>0</v>
      </c>
      <c r="AC77" s="577">
        <v>128448.77</v>
      </c>
      <c r="AD77" s="577">
        <v>0</v>
      </c>
      <c r="AE77" s="577">
        <v>5275.83</v>
      </c>
      <c r="AF77" s="577">
        <v>93970.91</v>
      </c>
      <c r="AG77" s="577">
        <v>500</v>
      </c>
      <c r="AH77" s="577">
        <v>0</v>
      </c>
      <c r="AI77" s="577">
        <v>0</v>
      </c>
      <c r="AJ77" s="577">
        <v>0</v>
      </c>
      <c r="AK77" s="577">
        <v>53173.5</v>
      </c>
      <c r="AL77" s="577">
        <v>0</v>
      </c>
      <c r="AM77" s="580">
        <f t="shared" si="13"/>
        <v>53173.5</v>
      </c>
      <c r="AN77" s="577">
        <v>4235064.8499999996</v>
      </c>
      <c r="AO77" s="577">
        <v>0</v>
      </c>
      <c r="AP77" s="577">
        <v>1088322.18</v>
      </c>
      <c r="AQ77" s="577">
        <v>91163.839999999997</v>
      </c>
      <c r="AR77" s="577">
        <v>501859.83</v>
      </c>
      <c r="AS77" s="577">
        <v>0</v>
      </c>
      <c r="AT77" s="577">
        <v>51571.64</v>
      </c>
      <c r="AU77" s="577">
        <v>56340.45</v>
      </c>
      <c r="AV77" s="577">
        <v>8334.2999999999993</v>
      </c>
      <c r="AW77" s="577">
        <v>1042.56</v>
      </c>
      <c r="AX77" s="577">
        <v>0</v>
      </c>
      <c r="AY77" s="577">
        <v>58005.55</v>
      </c>
      <c r="AZ77" s="577">
        <v>2846.43</v>
      </c>
      <c r="BA77" s="577">
        <v>133912.37</v>
      </c>
      <c r="BB77" s="577">
        <v>0</v>
      </c>
      <c r="BC77" s="577">
        <v>130523.62</v>
      </c>
      <c r="BD77" s="577">
        <v>72777.600000000006</v>
      </c>
      <c r="BE77" s="577">
        <v>44483.5</v>
      </c>
      <c r="BF77" s="577">
        <v>198337.82</v>
      </c>
      <c r="BG77" s="577">
        <v>12052.24</v>
      </c>
      <c r="BH77" s="576">
        <v>0</v>
      </c>
      <c r="BI77" s="576">
        <v>76417.03</v>
      </c>
      <c r="BJ77" s="576">
        <v>0</v>
      </c>
      <c r="BK77" s="576">
        <v>0</v>
      </c>
      <c r="BL77" s="576">
        <v>2102</v>
      </c>
      <c r="BM77" s="576">
        <v>0</v>
      </c>
      <c r="BN77" s="577">
        <f t="shared" si="14"/>
        <v>90571.27</v>
      </c>
      <c r="BO77" s="577">
        <v>77386.91</v>
      </c>
      <c r="BP77" s="577">
        <v>23605.35</v>
      </c>
      <c r="BQ77" s="577">
        <v>31452.12</v>
      </c>
      <c r="BR77" s="577">
        <v>1884.64</v>
      </c>
      <c r="BS77" s="577">
        <v>173241.54</v>
      </c>
      <c r="BT77" s="577">
        <v>125320.44</v>
      </c>
      <c r="BU77" s="577">
        <v>127233.31</v>
      </c>
      <c r="BV77" s="577">
        <v>0</v>
      </c>
      <c r="BW77" s="577">
        <v>18484.669999999998</v>
      </c>
      <c r="BX77" s="577">
        <v>0</v>
      </c>
      <c r="BY77" s="577">
        <v>0</v>
      </c>
      <c r="BZ77" s="577">
        <v>0</v>
      </c>
      <c r="CA77" s="577">
        <v>0</v>
      </c>
      <c r="CB77" s="577">
        <v>16234.79</v>
      </c>
      <c r="CC77" s="577">
        <v>0</v>
      </c>
      <c r="CD77" s="577">
        <v>0</v>
      </c>
      <c r="CE77" s="577">
        <v>6000</v>
      </c>
      <c r="CF77" s="577">
        <v>0</v>
      </c>
      <c r="CG77" s="577">
        <v>0</v>
      </c>
      <c r="CH77" s="577">
        <v>0</v>
      </c>
      <c r="CI77" s="577">
        <v>14637.85</v>
      </c>
      <c r="CJ77" s="576">
        <v>0</v>
      </c>
      <c r="CK77" s="576">
        <v>0</v>
      </c>
      <c r="CL77" s="576">
        <v>0</v>
      </c>
      <c r="CM77" s="576">
        <v>0</v>
      </c>
      <c r="CN77" s="577">
        <v>0</v>
      </c>
      <c r="CO77" s="577">
        <v>403713.84</v>
      </c>
      <c r="CP77" s="577">
        <v>18334</v>
      </c>
      <c r="CQ77" s="577">
        <v>0</v>
      </c>
      <c r="CR77" s="577">
        <v>0</v>
      </c>
      <c r="CS77" s="577">
        <v>0</v>
      </c>
      <c r="CU77" s="495">
        <f t="shared" si="15"/>
        <v>403713.84</v>
      </c>
      <c r="CV77" s="495">
        <f t="shared" si="16"/>
        <v>18334</v>
      </c>
      <c r="CW77" s="495">
        <f t="shared" si="17"/>
        <v>403713.84</v>
      </c>
      <c r="CX77" s="495">
        <f t="shared" si="11"/>
        <v>7357175.5800000001</v>
      </c>
      <c r="CY77" s="495">
        <f t="shared" si="18"/>
        <v>7343766.7899999982</v>
      </c>
      <c r="CZ77" s="495">
        <f t="shared" si="12"/>
        <v>6722481.0800000001</v>
      </c>
      <c r="DA77" s="495">
        <f t="shared" si="19"/>
        <v>13408.7900000019</v>
      </c>
    </row>
    <row r="78" spans="1:105" ht="15">
      <c r="A78" s="576">
        <v>302</v>
      </c>
      <c r="B78" s="576">
        <v>4004</v>
      </c>
      <c r="C78" s="576" t="s">
        <v>464</v>
      </c>
      <c r="D78" s="576" t="s">
        <v>594</v>
      </c>
      <c r="E78" s="576"/>
      <c r="F78" s="576" t="s">
        <v>588</v>
      </c>
      <c r="G78" s="576">
        <v>0</v>
      </c>
      <c r="H78" s="576">
        <v>1</v>
      </c>
      <c r="I78" s="576" t="s">
        <v>853</v>
      </c>
      <c r="J78" s="576" t="s">
        <v>854</v>
      </c>
      <c r="K78" s="576" t="s">
        <v>591</v>
      </c>
      <c r="L78" s="576" t="s">
        <v>592</v>
      </c>
      <c r="M78" s="576" t="s">
        <v>591</v>
      </c>
      <c r="N78" s="576" t="s">
        <v>593</v>
      </c>
      <c r="O78" s="576" t="s">
        <v>188</v>
      </c>
      <c r="P78" s="576" t="s">
        <v>188</v>
      </c>
      <c r="Q78" s="577">
        <v>34492.639999999999</v>
      </c>
      <c r="R78" s="577">
        <v>0</v>
      </c>
      <c r="S78" s="577">
        <v>0</v>
      </c>
      <c r="T78" s="577">
        <v>2267787.48</v>
      </c>
      <c r="U78" s="577">
        <v>453039.72</v>
      </c>
      <c r="V78" s="577">
        <v>105844.96</v>
      </c>
      <c r="W78" s="577">
        <v>0</v>
      </c>
      <c r="X78" s="577">
        <v>10500</v>
      </c>
      <c r="Y78" s="577">
        <v>62810.98</v>
      </c>
      <c r="Z78" s="577">
        <v>0</v>
      </c>
      <c r="AA78" s="577">
        <v>0</v>
      </c>
      <c r="AB78" s="577">
        <v>0</v>
      </c>
      <c r="AC78" s="577">
        <v>0</v>
      </c>
      <c r="AD78" s="577">
        <v>0</v>
      </c>
      <c r="AE78" s="577">
        <v>0</v>
      </c>
      <c r="AF78" s="577">
        <v>0</v>
      </c>
      <c r="AG78" s="577">
        <v>656235.82999999996</v>
      </c>
      <c r="AH78" s="577">
        <v>0</v>
      </c>
      <c r="AI78" s="577">
        <v>0</v>
      </c>
      <c r="AJ78" s="577">
        <v>0</v>
      </c>
      <c r="AK78" s="577">
        <v>3168.75</v>
      </c>
      <c r="AL78" s="577">
        <v>0</v>
      </c>
      <c r="AM78" s="580">
        <f t="shared" si="13"/>
        <v>3168.75</v>
      </c>
      <c r="AN78" s="577">
        <v>2555920.36</v>
      </c>
      <c r="AO78" s="577">
        <v>0</v>
      </c>
      <c r="AP78" s="577">
        <v>272125.89</v>
      </c>
      <c r="AQ78" s="577">
        <v>53203.66</v>
      </c>
      <c r="AR78" s="577">
        <v>174243.16</v>
      </c>
      <c r="AS78" s="577">
        <v>0</v>
      </c>
      <c r="AT78" s="577">
        <v>0</v>
      </c>
      <c r="AU78" s="577">
        <v>5824.51</v>
      </c>
      <c r="AV78" s="577">
        <v>11898.58</v>
      </c>
      <c r="AW78" s="577">
        <v>452.16</v>
      </c>
      <c r="AX78" s="577">
        <v>0</v>
      </c>
      <c r="AY78" s="577">
        <v>54765.7</v>
      </c>
      <c r="AZ78" s="577">
        <v>0</v>
      </c>
      <c r="BA78" s="577">
        <v>63363.27</v>
      </c>
      <c r="BB78" s="577">
        <v>284.35000000000002</v>
      </c>
      <c r="BC78" s="577">
        <v>30087.46</v>
      </c>
      <c r="BD78" s="577">
        <v>8601.6</v>
      </c>
      <c r="BE78" s="577">
        <v>103194.89</v>
      </c>
      <c r="BF78" s="577">
        <v>45882.239999999998</v>
      </c>
      <c r="BG78" s="577">
        <v>7139.67</v>
      </c>
      <c r="BH78" s="576">
        <v>0</v>
      </c>
      <c r="BI78" s="576">
        <v>5571.97</v>
      </c>
      <c r="BJ78" s="576">
        <v>32370.43</v>
      </c>
      <c r="BK78" s="576">
        <v>2977.67</v>
      </c>
      <c r="BL78" s="576">
        <v>0</v>
      </c>
      <c r="BM78" s="576">
        <v>36280.36</v>
      </c>
      <c r="BN78" s="577">
        <f t="shared" si="14"/>
        <v>84340.1</v>
      </c>
      <c r="BO78" s="577">
        <v>49233.45</v>
      </c>
      <c r="BP78" s="577">
        <v>25548.14</v>
      </c>
      <c r="BQ78" s="577">
        <v>14543.82</v>
      </c>
      <c r="BR78" s="577">
        <v>0</v>
      </c>
      <c r="BS78" s="577">
        <v>4605.7</v>
      </c>
      <c r="BT78" s="577">
        <v>0</v>
      </c>
      <c r="BU78" s="577">
        <v>25706.3</v>
      </c>
      <c r="BV78" s="577">
        <v>0</v>
      </c>
      <c r="BW78" s="577">
        <v>37109.019999999997</v>
      </c>
      <c r="BX78" s="577">
        <v>0</v>
      </c>
      <c r="BY78" s="577">
        <v>14260</v>
      </c>
      <c r="BZ78" s="577">
        <v>0</v>
      </c>
      <c r="CA78" s="577">
        <v>0</v>
      </c>
      <c r="CB78" s="577">
        <v>0</v>
      </c>
      <c r="CC78" s="577">
        <v>0</v>
      </c>
      <c r="CD78" s="577">
        <v>14260</v>
      </c>
      <c r="CE78" s="577">
        <v>6000</v>
      </c>
      <c r="CF78" s="577">
        <v>0</v>
      </c>
      <c r="CG78" s="577">
        <v>0</v>
      </c>
      <c r="CH78" s="577">
        <v>0</v>
      </c>
      <c r="CI78" s="577">
        <v>0</v>
      </c>
      <c r="CJ78" s="576">
        <v>0</v>
      </c>
      <c r="CK78" s="576">
        <v>0</v>
      </c>
      <c r="CL78" s="576">
        <v>14260</v>
      </c>
      <c r="CM78" s="576">
        <v>0</v>
      </c>
      <c r="CN78" s="577">
        <v>0</v>
      </c>
      <c r="CO78" s="577">
        <v>-41314</v>
      </c>
      <c r="CP78" s="577">
        <v>0</v>
      </c>
      <c r="CQ78" s="577">
        <v>0</v>
      </c>
      <c r="CR78" s="577">
        <v>0</v>
      </c>
      <c r="CS78" s="577">
        <v>0</v>
      </c>
      <c r="CU78" s="495">
        <f t="shared" si="15"/>
        <v>-41314</v>
      </c>
      <c r="CV78" s="495">
        <f t="shared" si="16"/>
        <v>0</v>
      </c>
      <c r="CW78" s="495">
        <f t="shared" si="17"/>
        <v>-41314</v>
      </c>
      <c r="CX78" s="495">
        <f t="shared" si="11"/>
        <v>3559387.72</v>
      </c>
      <c r="CY78" s="495">
        <f t="shared" si="18"/>
        <v>3635194.3600000013</v>
      </c>
      <c r="CZ78" s="495">
        <f t="shared" si="12"/>
        <v>2826672.16</v>
      </c>
      <c r="DA78" s="495">
        <f t="shared" si="19"/>
        <v>-75806.640000001062</v>
      </c>
    </row>
    <row r="79" spans="1:105" ht="30">
      <c r="A79" s="576">
        <v>302</v>
      </c>
      <c r="B79" s="576">
        <v>5404</v>
      </c>
      <c r="C79" s="576" t="s">
        <v>301</v>
      </c>
      <c r="D79" s="576" t="s">
        <v>594</v>
      </c>
      <c r="E79" s="576"/>
      <c r="F79" s="576" t="s">
        <v>588</v>
      </c>
      <c r="G79" s="576">
        <v>0</v>
      </c>
      <c r="H79" s="576">
        <v>0</v>
      </c>
      <c r="I79" s="576" t="s">
        <v>853</v>
      </c>
      <c r="J79" s="576" t="s">
        <v>854</v>
      </c>
      <c r="K79" s="576" t="s">
        <v>591</v>
      </c>
      <c r="L79" s="576" t="s">
        <v>592</v>
      </c>
      <c r="M79" s="576" t="s">
        <v>591</v>
      </c>
      <c r="N79" s="576" t="s">
        <v>593</v>
      </c>
      <c r="O79" s="576" t="s">
        <v>188</v>
      </c>
      <c r="P79" s="576" t="s">
        <v>188</v>
      </c>
      <c r="Q79" s="577">
        <v>147955.10999999999</v>
      </c>
      <c r="R79" s="577">
        <v>0</v>
      </c>
      <c r="S79" s="577">
        <v>0</v>
      </c>
      <c r="T79" s="577">
        <v>4492411.83</v>
      </c>
      <c r="U79" s="577">
        <v>1542366.69</v>
      </c>
      <c r="V79" s="577">
        <v>21508.02</v>
      </c>
      <c r="W79" s="577">
        <v>0</v>
      </c>
      <c r="X79" s="577">
        <v>81870</v>
      </c>
      <c r="Y79" s="577">
        <v>0</v>
      </c>
      <c r="Z79" s="577">
        <v>0</v>
      </c>
      <c r="AA79" s="577">
        <v>0</v>
      </c>
      <c r="AB79" s="577">
        <v>21178.02</v>
      </c>
      <c r="AC79" s="577">
        <v>237176.47</v>
      </c>
      <c r="AD79" s="577">
        <v>0</v>
      </c>
      <c r="AE79" s="577">
        <v>0</v>
      </c>
      <c r="AF79" s="577">
        <v>30641.7</v>
      </c>
      <c r="AG79" s="577">
        <v>453381.52</v>
      </c>
      <c r="AH79" s="577">
        <v>0</v>
      </c>
      <c r="AI79" s="577">
        <v>0</v>
      </c>
      <c r="AJ79" s="577">
        <v>0</v>
      </c>
      <c r="AK79" s="577">
        <v>14294.25</v>
      </c>
      <c r="AL79" s="577">
        <v>0</v>
      </c>
      <c r="AM79" s="580">
        <f t="shared" si="13"/>
        <v>14294.25</v>
      </c>
      <c r="AN79" s="577">
        <v>4456059.24</v>
      </c>
      <c r="AO79" s="577">
        <v>0</v>
      </c>
      <c r="AP79" s="577">
        <v>440145.34</v>
      </c>
      <c r="AQ79" s="577">
        <v>102831.9</v>
      </c>
      <c r="AR79" s="577">
        <v>448742.63</v>
      </c>
      <c r="AS79" s="577">
        <v>88256.05</v>
      </c>
      <c r="AT79" s="577">
        <v>2322.4499999999998</v>
      </c>
      <c r="AU79" s="577">
        <v>35534.120000000003</v>
      </c>
      <c r="AV79" s="577">
        <v>27068.03</v>
      </c>
      <c r="AW79" s="577">
        <v>0</v>
      </c>
      <c r="AX79" s="577">
        <v>0</v>
      </c>
      <c r="AY79" s="577">
        <v>182183.6</v>
      </c>
      <c r="AZ79" s="577">
        <v>3950</v>
      </c>
      <c r="BA79" s="577">
        <v>114153.03</v>
      </c>
      <c r="BB79" s="577">
        <v>25125.87</v>
      </c>
      <c r="BC79" s="577">
        <v>163740</v>
      </c>
      <c r="BD79" s="577">
        <v>3238.73</v>
      </c>
      <c r="BE79" s="577">
        <v>46787.53</v>
      </c>
      <c r="BF79" s="577">
        <v>137266.84</v>
      </c>
      <c r="BG79" s="577">
        <v>84594.66</v>
      </c>
      <c r="BH79" s="576">
        <v>0</v>
      </c>
      <c r="BI79" s="576">
        <v>0</v>
      </c>
      <c r="BJ79" s="576">
        <v>0</v>
      </c>
      <c r="BK79" s="576">
        <v>0</v>
      </c>
      <c r="BL79" s="576">
        <v>0</v>
      </c>
      <c r="BM79" s="576">
        <v>0</v>
      </c>
      <c r="BN79" s="577">
        <f t="shared" si="14"/>
        <v>84594.66</v>
      </c>
      <c r="BO79" s="577">
        <v>110341.55</v>
      </c>
      <c r="BP79" s="577">
        <v>75828.75</v>
      </c>
      <c r="BQ79" s="577">
        <v>44196.73</v>
      </c>
      <c r="BR79" s="577">
        <v>6810.8</v>
      </c>
      <c r="BS79" s="577">
        <v>170015.7</v>
      </c>
      <c r="BT79" s="577">
        <v>7194</v>
      </c>
      <c r="BU79" s="577">
        <v>77284.62</v>
      </c>
      <c r="BV79" s="577">
        <v>163161.44</v>
      </c>
      <c r="BW79" s="577">
        <v>0</v>
      </c>
      <c r="BX79" s="577">
        <v>0</v>
      </c>
      <c r="BY79" s="577">
        <v>25750</v>
      </c>
      <c r="BZ79" s="577">
        <v>0</v>
      </c>
      <c r="CA79" s="577">
        <v>0</v>
      </c>
      <c r="CB79" s="577">
        <v>0</v>
      </c>
      <c r="CC79" s="577">
        <v>0</v>
      </c>
      <c r="CD79" s="577">
        <v>25750</v>
      </c>
      <c r="CE79" s="577">
        <v>6000</v>
      </c>
      <c r="CF79" s="577">
        <v>0</v>
      </c>
      <c r="CG79" s="577">
        <v>0</v>
      </c>
      <c r="CH79" s="577">
        <v>25750</v>
      </c>
      <c r="CI79" s="577">
        <v>0</v>
      </c>
      <c r="CJ79" s="576">
        <v>0</v>
      </c>
      <c r="CK79" s="576">
        <v>0</v>
      </c>
      <c r="CL79" s="576">
        <v>0</v>
      </c>
      <c r="CM79" s="576">
        <v>0</v>
      </c>
      <c r="CN79" s="577">
        <v>0</v>
      </c>
      <c r="CO79" s="577">
        <v>200</v>
      </c>
      <c r="CP79" s="577">
        <v>0</v>
      </c>
      <c r="CQ79" s="577">
        <v>0</v>
      </c>
      <c r="CR79" s="577">
        <v>0</v>
      </c>
      <c r="CS79" s="577">
        <v>0</v>
      </c>
      <c r="CU79" s="495">
        <f t="shared" si="15"/>
        <v>200</v>
      </c>
      <c r="CV79" s="495">
        <f t="shared" si="16"/>
        <v>0</v>
      </c>
      <c r="CW79" s="495">
        <f t="shared" si="17"/>
        <v>200</v>
      </c>
      <c r="CX79" s="495">
        <f t="shared" si="11"/>
        <v>6894828.4999999981</v>
      </c>
      <c r="CY79" s="495">
        <f t="shared" si="18"/>
        <v>7042583.6100000022</v>
      </c>
      <c r="CZ79" s="495">
        <f t="shared" si="12"/>
        <v>6056286.5399999991</v>
      </c>
      <c r="DA79" s="495">
        <f t="shared" si="19"/>
        <v>-147755.11000000406</v>
      </c>
    </row>
    <row r="80" spans="1:105" ht="15">
      <c r="A80" s="576">
        <v>302</v>
      </c>
      <c r="B80" s="576">
        <v>5405</v>
      </c>
      <c r="C80" s="576" t="s">
        <v>115</v>
      </c>
      <c r="D80" s="576" t="s">
        <v>594</v>
      </c>
      <c r="E80" s="576"/>
      <c r="F80" s="576" t="s">
        <v>588</v>
      </c>
      <c r="G80" s="576">
        <v>0</v>
      </c>
      <c r="H80" s="576">
        <v>0</v>
      </c>
      <c r="I80" s="576" t="s">
        <v>853</v>
      </c>
      <c r="J80" s="576" t="s">
        <v>854</v>
      </c>
      <c r="K80" s="576" t="s">
        <v>591</v>
      </c>
      <c r="L80" s="576" t="s">
        <v>592</v>
      </c>
      <c r="M80" s="576" t="s">
        <v>591</v>
      </c>
      <c r="N80" s="576" t="s">
        <v>593</v>
      </c>
      <c r="O80" s="576" t="s">
        <v>188</v>
      </c>
      <c r="P80" s="576" t="s">
        <v>188</v>
      </c>
      <c r="Q80" s="577">
        <v>1029889.3</v>
      </c>
      <c r="R80" s="577">
        <v>-4590</v>
      </c>
      <c r="S80" s="577">
        <v>0</v>
      </c>
      <c r="T80" s="577">
        <v>6479811.0899999999</v>
      </c>
      <c r="U80" s="577">
        <v>1887532.8</v>
      </c>
      <c r="V80" s="577">
        <v>266751.68</v>
      </c>
      <c r="W80" s="577">
        <v>0</v>
      </c>
      <c r="X80" s="577">
        <v>154250</v>
      </c>
      <c r="Y80" s="577">
        <v>16518.45</v>
      </c>
      <c r="Z80" s="577">
        <v>5320</v>
      </c>
      <c r="AA80" s="577">
        <v>13015</v>
      </c>
      <c r="AB80" s="577">
        <v>71326.8</v>
      </c>
      <c r="AC80" s="577">
        <v>443383.42</v>
      </c>
      <c r="AD80" s="577">
        <v>0</v>
      </c>
      <c r="AE80" s="577">
        <v>0</v>
      </c>
      <c r="AF80" s="577">
        <v>38150.01</v>
      </c>
      <c r="AG80" s="577">
        <v>6937.5</v>
      </c>
      <c r="AH80" s="577">
        <v>0</v>
      </c>
      <c r="AI80" s="577">
        <v>0</v>
      </c>
      <c r="AJ80" s="577">
        <v>0</v>
      </c>
      <c r="AK80" s="577">
        <v>21439.5</v>
      </c>
      <c r="AL80" s="577">
        <v>0</v>
      </c>
      <c r="AM80" s="580">
        <f t="shared" si="13"/>
        <v>21439.5</v>
      </c>
      <c r="AN80" s="577">
        <v>5689154.5599999996</v>
      </c>
      <c r="AO80" s="577">
        <v>0</v>
      </c>
      <c r="AP80" s="577">
        <v>814833.12</v>
      </c>
      <c r="AQ80" s="577">
        <v>137623.82999999999</v>
      </c>
      <c r="AR80" s="577">
        <v>708393.55</v>
      </c>
      <c r="AS80" s="577">
        <v>176225.1</v>
      </c>
      <c r="AT80" s="577">
        <v>0</v>
      </c>
      <c r="AU80" s="577">
        <v>70951.25</v>
      </c>
      <c r="AV80" s="577">
        <v>6140.67</v>
      </c>
      <c r="AW80" s="577">
        <v>1283.04</v>
      </c>
      <c r="AX80" s="577">
        <v>0</v>
      </c>
      <c r="AY80" s="577">
        <v>91684.32</v>
      </c>
      <c r="AZ80" s="577">
        <v>42151.3</v>
      </c>
      <c r="BA80" s="577">
        <v>155007.60999999999</v>
      </c>
      <c r="BB80" s="577">
        <v>10417.41</v>
      </c>
      <c r="BC80" s="577">
        <v>218850.26</v>
      </c>
      <c r="BD80" s="577">
        <v>31177.71</v>
      </c>
      <c r="BE80" s="577">
        <v>49470.57</v>
      </c>
      <c r="BF80" s="577">
        <v>178777.49</v>
      </c>
      <c r="BG80" s="577">
        <v>9815</v>
      </c>
      <c r="BH80" s="576">
        <v>0</v>
      </c>
      <c r="BI80" s="576">
        <v>12416.13</v>
      </c>
      <c r="BJ80" s="576">
        <v>60901.4</v>
      </c>
      <c r="BK80" s="576">
        <v>1570.6</v>
      </c>
      <c r="BL80" s="576">
        <v>25018.66</v>
      </c>
      <c r="BM80" s="576">
        <v>9669.9599999999991</v>
      </c>
      <c r="BN80" s="577">
        <f t="shared" si="14"/>
        <v>119391.75</v>
      </c>
      <c r="BO80" s="577">
        <v>150960.12</v>
      </c>
      <c r="BP80" s="577">
        <v>22627.53</v>
      </c>
      <c r="BQ80" s="577">
        <v>46102.69</v>
      </c>
      <c r="BR80" s="577">
        <v>0</v>
      </c>
      <c r="BS80" s="577">
        <v>287117.90000000002</v>
      </c>
      <c r="BT80" s="577">
        <v>81123.87</v>
      </c>
      <c r="BU80" s="577">
        <v>202004.58</v>
      </c>
      <c r="BV80" s="577">
        <v>53084.32</v>
      </c>
      <c r="BW80" s="577">
        <v>0</v>
      </c>
      <c r="BX80" s="577">
        <v>0</v>
      </c>
      <c r="BY80" s="577">
        <v>11450</v>
      </c>
      <c r="BZ80" s="577">
        <v>0</v>
      </c>
      <c r="CA80" s="577">
        <v>0</v>
      </c>
      <c r="CB80" s="577">
        <v>0</v>
      </c>
      <c r="CC80" s="577">
        <v>105281.92</v>
      </c>
      <c r="CD80" s="577">
        <v>11450</v>
      </c>
      <c r="CE80" s="577">
        <v>6000</v>
      </c>
      <c r="CF80" s="577">
        <v>0</v>
      </c>
      <c r="CG80" s="577">
        <v>0</v>
      </c>
      <c r="CH80" s="577">
        <v>48515</v>
      </c>
      <c r="CI80" s="577">
        <v>0</v>
      </c>
      <c r="CJ80" s="576">
        <v>0</v>
      </c>
      <c r="CK80" s="576">
        <v>0</v>
      </c>
      <c r="CL80" s="576">
        <v>68216.92</v>
      </c>
      <c r="CM80" s="576">
        <v>0</v>
      </c>
      <c r="CN80" s="577">
        <v>0</v>
      </c>
      <c r="CO80" s="577">
        <v>1078321</v>
      </c>
      <c r="CP80" s="577">
        <v>0</v>
      </c>
      <c r="CQ80" s="577">
        <v>0</v>
      </c>
      <c r="CR80" s="577">
        <v>-4590</v>
      </c>
      <c r="CS80" s="577">
        <v>0</v>
      </c>
      <c r="CU80" s="495">
        <f t="shared" si="15"/>
        <v>1073731</v>
      </c>
      <c r="CV80" s="495">
        <f t="shared" si="16"/>
        <v>0</v>
      </c>
      <c r="CW80" s="495">
        <f t="shared" si="17"/>
        <v>1078321</v>
      </c>
      <c r="CX80" s="495">
        <f t="shared" si="11"/>
        <v>9404436.25</v>
      </c>
      <c r="CY80" s="495">
        <f t="shared" si="18"/>
        <v>9356004.5499999989</v>
      </c>
      <c r="CZ80" s="495">
        <f t="shared" si="12"/>
        <v>8634095.5700000003</v>
      </c>
      <c r="DA80" s="495">
        <f t="shared" si="19"/>
        <v>48431.700000001118</v>
      </c>
    </row>
    <row r="81" spans="1:105" ht="15">
      <c r="A81" s="576">
        <v>302</v>
      </c>
      <c r="B81" s="576">
        <v>5407</v>
      </c>
      <c r="C81" s="576" t="s">
        <v>120</v>
      </c>
      <c r="D81" s="576" t="s">
        <v>594</v>
      </c>
      <c r="E81" s="576"/>
      <c r="F81" s="576" t="s">
        <v>588</v>
      </c>
      <c r="G81" s="576">
        <v>0</v>
      </c>
      <c r="H81" s="576">
        <v>1</v>
      </c>
      <c r="I81" s="576" t="s">
        <v>853</v>
      </c>
      <c r="J81" s="576" t="s">
        <v>854</v>
      </c>
      <c r="K81" s="576" t="s">
        <v>591</v>
      </c>
      <c r="L81" s="576" t="s">
        <v>592</v>
      </c>
      <c r="M81" s="576" t="s">
        <v>591</v>
      </c>
      <c r="N81" s="576" t="s">
        <v>593</v>
      </c>
      <c r="O81" s="576" t="s">
        <v>188</v>
      </c>
      <c r="P81" s="576" t="s">
        <v>188</v>
      </c>
      <c r="Q81" s="577">
        <v>516758.37</v>
      </c>
      <c r="R81" s="577">
        <v>0</v>
      </c>
      <c r="S81" s="577">
        <v>0</v>
      </c>
      <c r="T81" s="577">
        <v>8431383.7200000007</v>
      </c>
      <c r="U81" s="577">
        <v>1170324.27</v>
      </c>
      <c r="V81" s="577">
        <v>256624.01</v>
      </c>
      <c r="W81" s="577">
        <v>0</v>
      </c>
      <c r="X81" s="577">
        <v>338924</v>
      </c>
      <c r="Y81" s="577">
        <v>0</v>
      </c>
      <c r="Z81" s="577">
        <v>0</v>
      </c>
      <c r="AA81" s="577">
        <v>0</v>
      </c>
      <c r="AB81" s="577">
        <v>24897.29</v>
      </c>
      <c r="AC81" s="577">
        <v>0</v>
      </c>
      <c r="AD81" s="577">
        <v>0</v>
      </c>
      <c r="AE81" s="577">
        <v>0</v>
      </c>
      <c r="AF81" s="577">
        <v>64762.79</v>
      </c>
      <c r="AG81" s="577">
        <v>95542.080000000002</v>
      </c>
      <c r="AH81" s="577">
        <v>0</v>
      </c>
      <c r="AI81" s="577">
        <v>0</v>
      </c>
      <c r="AJ81" s="577">
        <v>0</v>
      </c>
      <c r="AK81" s="577">
        <v>42585.75</v>
      </c>
      <c r="AL81" s="577">
        <v>0</v>
      </c>
      <c r="AM81" s="580">
        <f t="shared" si="13"/>
        <v>42585.75</v>
      </c>
      <c r="AN81" s="577">
        <v>5835223.21</v>
      </c>
      <c r="AO81" s="577">
        <v>0</v>
      </c>
      <c r="AP81" s="577">
        <v>1308769.72</v>
      </c>
      <c r="AQ81" s="577">
        <v>156360.82</v>
      </c>
      <c r="AR81" s="577">
        <v>467254.56</v>
      </c>
      <c r="AS81" s="577">
        <v>0</v>
      </c>
      <c r="AT81" s="577">
        <v>65364.49</v>
      </c>
      <c r="AU81" s="577">
        <v>180223.09</v>
      </c>
      <c r="AV81" s="577">
        <v>11055.57</v>
      </c>
      <c r="AW81" s="577">
        <v>1557</v>
      </c>
      <c r="AX81" s="577">
        <v>4800</v>
      </c>
      <c r="AY81" s="577">
        <v>106107.11</v>
      </c>
      <c r="AZ81" s="577">
        <v>16245</v>
      </c>
      <c r="BA81" s="577">
        <v>199589.08</v>
      </c>
      <c r="BB81" s="577">
        <v>14029.9</v>
      </c>
      <c r="BC81" s="577">
        <v>331468.81</v>
      </c>
      <c r="BD81" s="577">
        <v>43730</v>
      </c>
      <c r="BE81" s="577">
        <v>89868.44</v>
      </c>
      <c r="BF81" s="577">
        <v>230767.85</v>
      </c>
      <c r="BG81" s="577">
        <v>11488</v>
      </c>
      <c r="BH81" s="576">
        <v>0</v>
      </c>
      <c r="BI81" s="576">
        <v>16215.64</v>
      </c>
      <c r="BJ81" s="576">
        <v>60962.32</v>
      </c>
      <c r="BK81" s="576">
        <v>14624.01</v>
      </c>
      <c r="BL81" s="576">
        <v>0</v>
      </c>
      <c r="BM81" s="576">
        <v>9567</v>
      </c>
      <c r="BN81" s="577">
        <f t="shared" si="14"/>
        <v>112856.96999999999</v>
      </c>
      <c r="BO81" s="577">
        <v>200861.43</v>
      </c>
      <c r="BP81" s="577">
        <v>193477.86</v>
      </c>
      <c r="BQ81" s="577">
        <v>47761.19</v>
      </c>
      <c r="BR81" s="577">
        <v>2168.04</v>
      </c>
      <c r="BS81" s="577">
        <v>155769.54</v>
      </c>
      <c r="BT81" s="577">
        <v>275047.53000000003</v>
      </c>
      <c r="BU81" s="577">
        <v>382276.04</v>
      </c>
      <c r="BV81" s="577">
        <v>131195.03</v>
      </c>
      <c r="BW81" s="577">
        <v>0</v>
      </c>
      <c r="BX81" s="577">
        <v>0</v>
      </c>
      <c r="BY81" s="577">
        <v>0</v>
      </c>
      <c r="BZ81" s="577">
        <v>0</v>
      </c>
      <c r="CA81" s="577">
        <v>0</v>
      </c>
      <c r="CB81" s="577">
        <v>0</v>
      </c>
      <c r="CC81" s="577">
        <v>0</v>
      </c>
      <c r="CD81" s="577">
        <v>0</v>
      </c>
      <c r="CE81" s="577">
        <v>6000</v>
      </c>
      <c r="CF81" s="577">
        <v>0</v>
      </c>
      <c r="CG81" s="577">
        <v>0</v>
      </c>
      <c r="CH81" s="577">
        <v>0</v>
      </c>
      <c r="CI81" s="577">
        <v>0</v>
      </c>
      <c r="CJ81" s="576">
        <v>0</v>
      </c>
      <c r="CK81" s="576">
        <v>0</v>
      </c>
      <c r="CL81" s="576">
        <v>0</v>
      </c>
      <c r="CM81" s="576">
        <v>0</v>
      </c>
      <c r="CN81" s="577">
        <v>377974</v>
      </c>
      <c r="CO81" s="577">
        <v>0</v>
      </c>
      <c r="CP81" s="577">
        <v>0</v>
      </c>
      <c r="CQ81" s="577">
        <v>0</v>
      </c>
      <c r="CR81" s="577">
        <v>0</v>
      </c>
      <c r="CS81" s="577">
        <v>0</v>
      </c>
      <c r="CU81" s="495">
        <f t="shared" si="15"/>
        <v>377974</v>
      </c>
      <c r="CV81" s="495">
        <f t="shared" si="16"/>
        <v>0</v>
      </c>
      <c r="CW81" s="495">
        <f t="shared" si="17"/>
        <v>377974</v>
      </c>
      <c r="CX81" s="495">
        <f t="shared" si="11"/>
        <v>10425043.909999998</v>
      </c>
      <c r="CY81" s="495">
        <f t="shared" si="18"/>
        <v>10563828.279999996</v>
      </c>
      <c r="CZ81" s="495">
        <f t="shared" si="12"/>
        <v>9858332</v>
      </c>
      <c r="DA81" s="495">
        <f t="shared" si="19"/>
        <v>-138784.36999999732</v>
      </c>
    </row>
    <row r="82" spans="1:105" ht="15">
      <c r="A82" s="576">
        <v>302</v>
      </c>
      <c r="B82" s="576">
        <v>5427</v>
      </c>
      <c r="C82" s="576" t="s">
        <v>315</v>
      </c>
      <c r="D82" s="576" t="s">
        <v>594</v>
      </c>
      <c r="E82" s="576"/>
      <c r="F82" s="576" t="s">
        <v>588</v>
      </c>
      <c r="G82" s="576">
        <v>0</v>
      </c>
      <c r="H82" s="576">
        <v>2</v>
      </c>
      <c r="I82" s="576" t="s">
        <v>853</v>
      </c>
      <c r="J82" s="576" t="s">
        <v>854</v>
      </c>
      <c r="K82" s="576" t="s">
        <v>591</v>
      </c>
      <c r="L82" s="576" t="s">
        <v>592</v>
      </c>
      <c r="M82" s="576" t="s">
        <v>591</v>
      </c>
      <c r="N82" s="576" t="s">
        <v>593</v>
      </c>
      <c r="O82" s="576" t="s">
        <v>188</v>
      </c>
      <c r="P82" s="576" t="s">
        <v>188</v>
      </c>
      <c r="Q82" s="577">
        <v>61322.02</v>
      </c>
      <c r="R82" s="577">
        <v>0</v>
      </c>
      <c r="S82" s="577">
        <v>0</v>
      </c>
      <c r="T82" s="577">
        <v>7814301.3600000003</v>
      </c>
      <c r="U82" s="577">
        <v>1997203.27</v>
      </c>
      <c r="V82" s="577">
        <v>1597048.12</v>
      </c>
      <c r="W82" s="577">
        <v>0</v>
      </c>
      <c r="X82" s="577">
        <v>63250</v>
      </c>
      <c r="Y82" s="577">
        <v>181962.7</v>
      </c>
      <c r="Z82" s="577">
        <v>17407.29</v>
      </c>
      <c r="AA82" s="577">
        <v>34527.629999999997</v>
      </c>
      <c r="AB82" s="577">
        <v>0</v>
      </c>
      <c r="AC82" s="577">
        <v>38708.94</v>
      </c>
      <c r="AD82" s="577">
        <v>0</v>
      </c>
      <c r="AE82" s="577">
        <v>0</v>
      </c>
      <c r="AF82" s="577">
        <v>1396318.95</v>
      </c>
      <c r="AG82" s="577">
        <v>1977352</v>
      </c>
      <c r="AH82" s="577">
        <v>0</v>
      </c>
      <c r="AI82" s="577">
        <v>0</v>
      </c>
      <c r="AJ82" s="577">
        <v>0</v>
      </c>
      <c r="AK82" s="577">
        <v>18228.25</v>
      </c>
      <c r="AL82" s="577">
        <v>0</v>
      </c>
      <c r="AM82" s="580">
        <f t="shared" si="13"/>
        <v>18228.25</v>
      </c>
      <c r="AN82" s="577">
        <v>8222247.4900000002</v>
      </c>
      <c r="AO82" s="577">
        <v>17998.900000000001</v>
      </c>
      <c r="AP82" s="577">
        <v>2066949.14</v>
      </c>
      <c r="AQ82" s="577">
        <v>193199.82</v>
      </c>
      <c r="AR82" s="577">
        <v>931301.31</v>
      </c>
      <c r="AS82" s="577">
        <v>0</v>
      </c>
      <c r="AT82" s="577">
        <v>174539.23</v>
      </c>
      <c r="AU82" s="577">
        <v>104438.96</v>
      </c>
      <c r="AV82" s="577">
        <v>29522.76</v>
      </c>
      <c r="AW82" s="577">
        <v>0</v>
      </c>
      <c r="AX82" s="577">
        <v>0</v>
      </c>
      <c r="AY82" s="577">
        <v>228262.04</v>
      </c>
      <c r="AZ82" s="577">
        <v>27363.4</v>
      </c>
      <c r="BA82" s="577">
        <v>203318.7</v>
      </c>
      <c r="BB82" s="577">
        <v>16196.53</v>
      </c>
      <c r="BC82" s="577">
        <v>192074.16</v>
      </c>
      <c r="BD82" s="577">
        <v>10712</v>
      </c>
      <c r="BE82" s="577">
        <v>186447.94</v>
      </c>
      <c r="BF82" s="577">
        <v>374048.99</v>
      </c>
      <c r="BG82" s="577">
        <v>100000</v>
      </c>
      <c r="BH82" s="576">
        <v>0</v>
      </c>
      <c r="BI82" s="576">
        <v>67560</v>
      </c>
      <c r="BJ82" s="576">
        <v>0</v>
      </c>
      <c r="BK82" s="576">
        <v>0</v>
      </c>
      <c r="BL82" s="576">
        <v>0</v>
      </c>
      <c r="BM82" s="576">
        <v>0</v>
      </c>
      <c r="BN82" s="577">
        <f t="shared" si="14"/>
        <v>167560</v>
      </c>
      <c r="BO82" s="577">
        <v>262758.27</v>
      </c>
      <c r="BP82" s="577">
        <v>72392.31</v>
      </c>
      <c r="BQ82" s="577">
        <v>39477.040000000001</v>
      </c>
      <c r="BR82" s="577">
        <v>0</v>
      </c>
      <c r="BS82" s="577">
        <v>35218.46</v>
      </c>
      <c r="BT82" s="577">
        <v>123274.53</v>
      </c>
      <c r="BU82" s="577">
        <v>426831.29</v>
      </c>
      <c r="BV82" s="577">
        <v>1029145.26</v>
      </c>
      <c r="BW82" s="577">
        <v>0</v>
      </c>
      <c r="BX82" s="577">
        <v>0</v>
      </c>
      <c r="BY82" s="577">
        <v>0</v>
      </c>
      <c r="BZ82" s="577">
        <v>0</v>
      </c>
      <c r="CA82" s="577">
        <v>0</v>
      </c>
      <c r="CB82" s="577">
        <v>0</v>
      </c>
      <c r="CC82" s="577">
        <v>93239.99</v>
      </c>
      <c r="CD82" s="577">
        <v>0</v>
      </c>
      <c r="CE82" s="577">
        <v>6000</v>
      </c>
      <c r="CF82" s="577">
        <v>0</v>
      </c>
      <c r="CG82" s="577">
        <v>93239.99</v>
      </c>
      <c r="CH82" s="577">
        <v>0</v>
      </c>
      <c r="CI82" s="577">
        <v>0</v>
      </c>
      <c r="CJ82" s="576">
        <v>0</v>
      </c>
      <c r="CK82" s="576">
        <v>0</v>
      </c>
      <c r="CL82" s="576">
        <v>0</v>
      </c>
      <c r="CM82" s="576">
        <v>0</v>
      </c>
      <c r="CN82" s="577">
        <v>0</v>
      </c>
      <c r="CO82" s="577">
        <v>62352</v>
      </c>
      <c r="CP82" s="577">
        <v>0</v>
      </c>
      <c r="CQ82" s="577">
        <v>0</v>
      </c>
      <c r="CR82" s="577">
        <v>0</v>
      </c>
      <c r="CS82" s="577">
        <v>0</v>
      </c>
      <c r="CU82" s="495">
        <f t="shared" si="15"/>
        <v>62352</v>
      </c>
      <c r="CV82" s="495">
        <f t="shared" si="16"/>
        <v>0</v>
      </c>
      <c r="CW82" s="495">
        <f t="shared" si="17"/>
        <v>62352</v>
      </c>
      <c r="CX82" s="495">
        <f t="shared" si="11"/>
        <v>15136308.509999998</v>
      </c>
      <c r="CY82" s="495">
        <f t="shared" si="18"/>
        <v>15135278.529999999</v>
      </c>
      <c r="CZ82" s="495">
        <f t="shared" si="12"/>
        <v>11408552.75</v>
      </c>
      <c r="DA82" s="495">
        <f t="shared" si="19"/>
        <v>1029.9799999985844</v>
      </c>
    </row>
    <row r="83" spans="1:105" ht="30">
      <c r="A83" s="576">
        <v>302</v>
      </c>
      <c r="B83" s="576">
        <v>5948</v>
      </c>
      <c r="C83" s="576" t="s">
        <v>277</v>
      </c>
      <c r="D83" s="576" t="s">
        <v>594</v>
      </c>
      <c r="E83" s="576"/>
      <c r="F83" s="576" t="s">
        <v>588</v>
      </c>
      <c r="G83" s="576">
        <v>0</v>
      </c>
      <c r="H83" s="576">
        <v>0</v>
      </c>
      <c r="I83" s="576" t="s">
        <v>853</v>
      </c>
      <c r="J83" s="576" t="s">
        <v>854</v>
      </c>
      <c r="K83" s="576" t="s">
        <v>591</v>
      </c>
      <c r="L83" s="576" t="s">
        <v>592</v>
      </c>
      <c r="M83" s="576" t="s">
        <v>591</v>
      </c>
      <c r="N83" s="576" t="s">
        <v>593</v>
      </c>
      <c r="O83" s="576" t="s">
        <v>188</v>
      </c>
      <c r="P83" s="576" t="s">
        <v>188</v>
      </c>
      <c r="Q83" s="577">
        <v>6252.53</v>
      </c>
      <c r="R83" s="577">
        <v>0</v>
      </c>
      <c r="S83" s="577">
        <v>0</v>
      </c>
      <c r="T83" s="577">
        <v>1105353.6299999999</v>
      </c>
      <c r="U83" s="577">
        <v>0</v>
      </c>
      <c r="V83" s="577">
        <v>50284.36</v>
      </c>
      <c r="W83" s="577">
        <v>0</v>
      </c>
      <c r="X83" s="577">
        <v>7400</v>
      </c>
      <c r="Y83" s="577">
        <v>58763.94</v>
      </c>
      <c r="Z83" s="577">
        <v>90640.12</v>
      </c>
      <c r="AA83" s="577">
        <v>0</v>
      </c>
      <c r="AB83" s="577">
        <v>110942.86</v>
      </c>
      <c r="AC83" s="577">
        <v>0</v>
      </c>
      <c r="AD83" s="577">
        <v>2895</v>
      </c>
      <c r="AE83" s="577">
        <v>0</v>
      </c>
      <c r="AF83" s="577">
        <v>46506.57</v>
      </c>
      <c r="AG83" s="577">
        <v>428363.25</v>
      </c>
      <c r="AH83" s="577">
        <v>0</v>
      </c>
      <c r="AI83" s="577">
        <v>0</v>
      </c>
      <c r="AJ83" s="577">
        <v>0</v>
      </c>
      <c r="AK83" s="577">
        <v>0</v>
      </c>
      <c r="AL83" s="577">
        <v>115810.26</v>
      </c>
      <c r="AM83" s="580">
        <f t="shared" si="13"/>
        <v>115810.26</v>
      </c>
      <c r="AN83" s="577">
        <v>908374.58</v>
      </c>
      <c r="AO83" s="577">
        <v>3026.17</v>
      </c>
      <c r="AP83" s="577">
        <v>321423.90999999997</v>
      </c>
      <c r="AQ83" s="577">
        <v>0</v>
      </c>
      <c r="AR83" s="577">
        <v>90619.96</v>
      </c>
      <c r="AS83" s="577">
        <v>0</v>
      </c>
      <c r="AT83" s="577">
        <v>25277.11</v>
      </c>
      <c r="AU83" s="577">
        <v>855.07</v>
      </c>
      <c r="AV83" s="577">
        <v>6587.14</v>
      </c>
      <c r="AW83" s="577">
        <v>0</v>
      </c>
      <c r="AX83" s="577">
        <v>8782.2900000000009</v>
      </c>
      <c r="AY83" s="577">
        <v>36740.94</v>
      </c>
      <c r="AZ83" s="577">
        <v>0</v>
      </c>
      <c r="BA83" s="577">
        <v>60328.29</v>
      </c>
      <c r="BB83" s="577">
        <v>9243.7900000000009</v>
      </c>
      <c r="BC83" s="577">
        <v>30453.94</v>
      </c>
      <c r="BD83" s="577">
        <v>16972</v>
      </c>
      <c r="BE83" s="577">
        <v>99447.52</v>
      </c>
      <c r="BF83" s="577">
        <v>88621.4</v>
      </c>
      <c r="BG83" s="577">
        <v>15597.76</v>
      </c>
      <c r="BH83" s="576">
        <v>0</v>
      </c>
      <c r="BI83" s="576">
        <v>0</v>
      </c>
      <c r="BJ83" s="576">
        <v>0</v>
      </c>
      <c r="BK83" s="576">
        <v>0</v>
      </c>
      <c r="BL83" s="576">
        <v>0</v>
      </c>
      <c r="BM83" s="576">
        <v>0</v>
      </c>
      <c r="BN83" s="577">
        <f t="shared" si="14"/>
        <v>15597.76</v>
      </c>
      <c r="BO83" s="577">
        <v>0</v>
      </c>
      <c r="BP83" s="577">
        <v>22326.39</v>
      </c>
      <c r="BQ83" s="577">
        <v>8541.77</v>
      </c>
      <c r="BR83" s="577">
        <v>1876.63</v>
      </c>
      <c r="BS83" s="577">
        <v>120402.17</v>
      </c>
      <c r="BT83" s="577">
        <v>0</v>
      </c>
      <c r="BU83" s="577">
        <v>24080.81</v>
      </c>
      <c r="BV83" s="577">
        <v>35254.620000000003</v>
      </c>
      <c r="BW83" s="577">
        <v>0</v>
      </c>
      <c r="BX83" s="577">
        <v>0</v>
      </c>
      <c r="BY83" s="577">
        <v>0</v>
      </c>
      <c r="BZ83" s="577">
        <v>0</v>
      </c>
      <c r="CA83" s="577">
        <v>0</v>
      </c>
      <c r="CB83" s="577">
        <v>0</v>
      </c>
      <c r="CC83" s="577">
        <v>0</v>
      </c>
      <c r="CD83" s="577">
        <v>0</v>
      </c>
      <c r="CE83" s="577">
        <v>6000</v>
      </c>
      <c r="CF83" s="577">
        <v>0</v>
      </c>
      <c r="CG83" s="577">
        <v>0</v>
      </c>
      <c r="CH83" s="577">
        <v>0</v>
      </c>
      <c r="CI83" s="577">
        <v>0</v>
      </c>
      <c r="CJ83" s="576">
        <v>0</v>
      </c>
      <c r="CK83" s="576">
        <v>0</v>
      </c>
      <c r="CL83" s="576">
        <v>0</v>
      </c>
      <c r="CM83" s="576">
        <v>0</v>
      </c>
      <c r="CN83" s="577">
        <v>0</v>
      </c>
      <c r="CO83" s="577">
        <v>88378.26</v>
      </c>
      <c r="CP83" s="577">
        <v>0</v>
      </c>
      <c r="CQ83" s="577">
        <v>0</v>
      </c>
      <c r="CR83" s="577">
        <v>0</v>
      </c>
      <c r="CS83" s="577">
        <v>0</v>
      </c>
      <c r="CU83" s="495">
        <f t="shared" si="15"/>
        <v>88378.26</v>
      </c>
      <c r="CV83" s="495">
        <f t="shared" si="16"/>
        <v>0</v>
      </c>
      <c r="CW83" s="495">
        <f t="shared" si="17"/>
        <v>88378.26</v>
      </c>
      <c r="CX83" s="495">
        <f t="shared" si="11"/>
        <v>2016959.99</v>
      </c>
      <c r="CY83" s="495">
        <f t="shared" si="18"/>
        <v>1934834.2599999998</v>
      </c>
      <c r="CZ83" s="495">
        <f t="shared" si="12"/>
        <v>1155637.99</v>
      </c>
      <c r="DA83" s="495">
        <f t="shared" si="19"/>
        <v>82125.730000000214</v>
      </c>
    </row>
    <row r="84" spans="1:105" ht="15">
      <c r="A84" s="576">
        <v>302</v>
      </c>
      <c r="B84" s="576">
        <v>5949</v>
      </c>
      <c r="C84" s="576" t="s">
        <v>76</v>
      </c>
      <c r="D84" s="576" t="s">
        <v>594</v>
      </c>
      <c r="E84" s="576"/>
      <c r="F84" s="576" t="s">
        <v>588</v>
      </c>
      <c r="G84" s="576">
        <v>0</v>
      </c>
      <c r="H84" s="576">
        <v>1</v>
      </c>
      <c r="I84" s="576" t="s">
        <v>853</v>
      </c>
      <c r="J84" s="576" t="s">
        <v>854</v>
      </c>
      <c r="K84" s="576" t="s">
        <v>591</v>
      </c>
      <c r="L84" s="576" t="s">
        <v>592</v>
      </c>
      <c r="M84" s="576" t="s">
        <v>591</v>
      </c>
      <c r="N84" s="576" t="s">
        <v>593</v>
      </c>
      <c r="O84" s="576" t="s">
        <v>188</v>
      </c>
      <c r="P84" s="576" t="s">
        <v>188</v>
      </c>
      <c r="Q84" s="577">
        <v>-19873.349999999999</v>
      </c>
      <c r="R84" s="577">
        <v>0</v>
      </c>
      <c r="S84" s="577">
        <v>0</v>
      </c>
      <c r="T84" s="577">
        <v>1815628.64</v>
      </c>
      <c r="U84" s="577">
        <v>0</v>
      </c>
      <c r="V84" s="577">
        <v>62731</v>
      </c>
      <c r="W84" s="577">
        <v>0</v>
      </c>
      <c r="X84" s="577">
        <v>17760</v>
      </c>
      <c r="Y84" s="577">
        <v>6944.42</v>
      </c>
      <c r="Z84" s="577">
        <v>140291.9</v>
      </c>
      <c r="AA84" s="577">
        <v>0</v>
      </c>
      <c r="AB84" s="577">
        <v>4782.6000000000004</v>
      </c>
      <c r="AC84" s="577">
        <v>0</v>
      </c>
      <c r="AD84" s="577">
        <v>0</v>
      </c>
      <c r="AE84" s="577">
        <v>28297.51</v>
      </c>
      <c r="AF84" s="577">
        <v>19339</v>
      </c>
      <c r="AG84" s="577">
        <v>1077428.75</v>
      </c>
      <c r="AH84" s="577">
        <v>0</v>
      </c>
      <c r="AI84" s="577">
        <v>0</v>
      </c>
      <c r="AJ84" s="577">
        <v>0</v>
      </c>
      <c r="AK84" s="577">
        <v>65430</v>
      </c>
      <c r="AL84" s="577">
        <v>0</v>
      </c>
      <c r="AM84" s="580">
        <f t="shared" si="13"/>
        <v>65430</v>
      </c>
      <c r="AN84" s="577">
        <v>1166875.99</v>
      </c>
      <c r="AO84" s="577">
        <v>0</v>
      </c>
      <c r="AP84" s="577">
        <v>1037728.18</v>
      </c>
      <c r="AQ84" s="577">
        <v>55845.3</v>
      </c>
      <c r="AR84" s="577">
        <v>110272.48</v>
      </c>
      <c r="AS84" s="577">
        <v>0</v>
      </c>
      <c r="AT84" s="577">
        <v>9225.48</v>
      </c>
      <c r="AU84" s="577">
        <v>65924.7</v>
      </c>
      <c r="AV84" s="577">
        <v>23924.959999999999</v>
      </c>
      <c r="AW84" s="577">
        <v>522.87</v>
      </c>
      <c r="AX84" s="577">
        <v>0</v>
      </c>
      <c r="AY84" s="577">
        <v>60016.76</v>
      </c>
      <c r="AZ84" s="577">
        <v>0</v>
      </c>
      <c r="BA84" s="577">
        <v>74539.88</v>
      </c>
      <c r="BB84" s="577">
        <v>3892.19</v>
      </c>
      <c r="BC84" s="577">
        <v>61125.06</v>
      </c>
      <c r="BD84" s="577">
        <v>38376</v>
      </c>
      <c r="BE84" s="577">
        <v>12287.34</v>
      </c>
      <c r="BF84" s="577">
        <v>174645.31</v>
      </c>
      <c r="BG84" s="577">
        <v>5034.95</v>
      </c>
      <c r="BH84" s="576">
        <v>0</v>
      </c>
      <c r="BI84" s="576">
        <v>12944.1</v>
      </c>
      <c r="BJ84" s="576">
        <v>0</v>
      </c>
      <c r="BK84" s="576">
        <v>3300</v>
      </c>
      <c r="BL84" s="576">
        <v>0</v>
      </c>
      <c r="BM84" s="576">
        <v>0</v>
      </c>
      <c r="BN84" s="577">
        <f t="shared" si="14"/>
        <v>21279.05</v>
      </c>
      <c r="BO84" s="577">
        <v>0</v>
      </c>
      <c r="BP84" s="577">
        <v>13956.5</v>
      </c>
      <c r="BQ84" s="577">
        <v>20525.22</v>
      </c>
      <c r="BR84" s="577">
        <v>2563.4899999999998</v>
      </c>
      <c r="BS84" s="577">
        <v>38266.699999999997</v>
      </c>
      <c r="BT84" s="577">
        <v>59210.58</v>
      </c>
      <c r="BU84" s="577">
        <v>31743.89</v>
      </c>
      <c r="BV84" s="577">
        <v>155632.82</v>
      </c>
      <c r="BW84" s="577">
        <v>0</v>
      </c>
      <c r="BX84" s="577">
        <v>0</v>
      </c>
      <c r="BY84" s="577">
        <v>0</v>
      </c>
      <c r="BZ84" s="577">
        <v>0</v>
      </c>
      <c r="CA84" s="577">
        <v>0</v>
      </c>
      <c r="CB84" s="577">
        <v>0</v>
      </c>
      <c r="CC84" s="577">
        <v>0</v>
      </c>
      <c r="CD84" s="577">
        <v>0</v>
      </c>
      <c r="CE84" s="577">
        <v>6000</v>
      </c>
      <c r="CF84" s="577">
        <v>0</v>
      </c>
      <c r="CG84" s="577">
        <v>0</v>
      </c>
      <c r="CH84" s="577">
        <v>0</v>
      </c>
      <c r="CI84" s="577">
        <v>0</v>
      </c>
      <c r="CJ84" s="576">
        <v>0</v>
      </c>
      <c r="CK84" s="576">
        <v>0</v>
      </c>
      <c r="CL84" s="576">
        <v>0</v>
      </c>
      <c r="CM84" s="576">
        <v>0</v>
      </c>
      <c r="CN84" s="577">
        <v>0</v>
      </c>
      <c r="CO84" s="577">
        <v>-19620.28</v>
      </c>
      <c r="CP84" s="577">
        <v>0</v>
      </c>
      <c r="CQ84" s="577">
        <v>0</v>
      </c>
      <c r="CR84" s="577">
        <v>0</v>
      </c>
      <c r="CS84" s="577">
        <v>0</v>
      </c>
      <c r="CU84" s="495">
        <f t="shared" si="15"/>
        <v>-19620.28</v>
      </c>
      <c r="CV84" s="495">
        <f t="shared" si="16"/>
        <v>0</v>
      </c>
      <c r="CW84" s="495">
        <f t="shared" si="17"/>
        <v>-19620.28</v>
      </c>
      <c r="CX84" s="495">
        <f t="shared" si="11"/>
        <v>3238633.82</v>
      </c>
      <c r="CY84" s="495">
        <f t="shared" si="18"/>
        <v>3238380.7500000005</v>
      </c>
      <c r="CZ84" s="495">
        <f t="shared" si="12"/>
        <v>1878359.64</v>
      </c>
      <c r="DA84" s="495">
        <f t="shared" si="19"/>
        <v>253.0699999993667</v>
      </c>
    </row>
    <row r="85" spans="1:105" ht="15">
      <c r="A85" s="576">
        <v>302</v>
      </c>
      <c r="B85" s="576">
        <v>7005</v>
      </c>
      <c r="C85" s="576" t="s">
        <v>125</v>
      </c>
      <c r="D85" s="576" t="s">
        <v>594</v>
      </c>
      <c r="E85" s="576"/>
      <c r="F85" s="576" t="s">
        <v>588</v>
      </c>
      <c r="G85" s="576">
        <v>0</v>
      </c>
      <c r="H85" s="576">
        <v>0</v>
      </c>
      <c r="I85" s="576" t="s">
        <v>853</v>
      </c>
      <c r="J85" s="576" t="s">
        <v>854</v>
      </c>
      <c r="K85" s="576" t="s">
        <v>591</v>
      </c>
      <c r="L85" s="576" t="s">
        <v>592</v>
      </c>
      <c r="M85" s="576" t="s">
        <v>591</v>
      </c>
      <c r="N85" s="576" t="s">
        <v>593</v>
      </c>
      <c r="O85" s="576" t="s">
        <v>591</v>
      </c>
      <c r="P85" s="576" t="s">
        <v>188</v>
      </c>
      <c r="Q85" s="577">
        <v>94261.32</v>
      </c>
      <c r="R85" s="577">
        <v>0</v>
      </c>
      <c r="S85" s="577">
        <v>0</v>
      </c>
      <c r="T85" s="577">
        <v>2150584.7400000002</v>
      </c>
      <c r="U85" s="577">
        <v>0</v>
      </c>
      <c r="V85" s="577">
        <v>2372115.2799999998</v>
      </c>
      <c r="W85" s="577">
        <v>0</v>
      </c>
      <c r="X85" s="577">
        <v>89800</v>
      </c>
      <c r="Y85" s="577">
        <v>200</v>
      </c>
      <c r="Z85" s="577">
        <v>23425.38</v>
      </c>
      <c r="AA85" s="577">
        <v>37950.589999999997</v>
      </c>
      <c r="AB85" s="577">
        <v>0</v>
      </c>
      <c r="AC85" s="577">
        <v>161.34</v>
      </c>
      <c r="AD85" s="577">
        <v>0</v>
      </c>
      <c r="AE85" s="577">
        <v>0</v>
      </c>
      <c r="AF85" s="577">
        <v>329</v>
      </c>
      <c r="AG85" s="577">
        <v>3117.65</v>
      </c>
      <c r="AH85" s="577">
        <v>0</v>
      </c>
      <c r="AI85" s="577">
        <v>0</v>
      </c>
      <c r="AJ85" s="577">
        <v>0</v>
      </c>
      <c r="AK85" s="577">
        <v>17982.939999999999</v>
      </c>
      <c r="AL85" s="577">
        <v>30902</v>
      </c>
      <c r="AM85" s="580">
        <f t="shared" si="13"/>
        <v>48884.94</v>
      </c>
      <c r="AN85" s="577">
        <v>1497740.22</v>
      </c>
      <c r="AO85" s="577">
        <v>0</v>
      </c>
      <c r="AP85" s="577">
        <v>1439402.33</v>
      </c>
      <c r="AQ85" s="577">
        <v>59519.41</v>
      </c>
      <c r="AR85" s="577">
        <v>225716.24</v>
      </c>
      <c r="AS85" s="577">
        <v>0</v>
      </c>
      <c r="AT85" s="577">
        <v>18468.25</v>
      </c>
      <c r="AU85" s="577">
        <v>28780.63</v>
      </c>
      <c r="AV85" s="577">
        <v>20143.91</v>
      </c>
      <c r="AW85" s="577">
        <v>0</v>
      </c>
      <c r="AX85" s="577">
        <v>0</v>
      </c>
      <c r="AY85" s="577">
        <v>37645.58</v>
      </c>
      <c r="AZ85" s="577">
        <v>4874.71</v>
      </c>
      <c r="BA85" s="577">
        <v>72714.48</v>
      </c>
      <c r="BB85" s="577">
        <v>12047.73</v>
      </c>
      <c r="BC85" s="577">
        <v>114658.34</v>
      </c>
      <c r="BD85" s="577">
        <v>0</v>
      </c>
      <c r="BE85" s="577">
        <v>18510.27</v>
      </c>
      <c r="BF85" s="577">
        <v>61244.41</v>
      </c>
      <c r="BG85" s="577">
        <v>13502.94</v>
      </c>
      <c r="BH85" s="576">
        <v>2577.9</v>
      </c>
      <c r="BI85" s="576">
        <v>5984.15</v>
      </c>
      <c r="BJ85" s="576">
        <v>6859.71</v>
      </c>
      <c r="BK85" s="576">
        <v>250.99</v>
      </c>
      <c r="BL85" s="576">
        <v>10292.02</v>
      </c>
      <c r="BM85" s="576">
        <v>15087.73</v>
      </c>
      <c r="BN85" s="577">
        <f t="shared" si="14"/>
        <v>54555.44</v>
      </c>
      <c r="BO85" s="577">
        <v>0</v>
      </c>
      <c r="BP85" s="577">
        <v>1626.99</v>
      </c>
      <c r="BQ85" s="577">
        <v>8240</v>
      </c>
      <c r="BR85" s="577">
        <v>3387.65</v>
      </c>
      <c r="BS85" s="577">
        <v>65814.69</v>
      </c>
      <c r="BT85" s="577">
        <v>12879.33</v>
      </c>
      <c r="BU85" s="577">
        <v>911762.08</v>
      </c>
      <c r="BV85" s="577">
        <v>39734</v>
      </c>
      <c r="BW85" s="577">
        <v>0</v>
      </c>
      <c r="BX85" s="577">
        <v>0</v>
      </c>
      <c r="BY85" s="577">
        <v>0</v>
      </c>
      <c r="BZ85" s="577">
        <v>0</v>
      </c>
      <c r="CA85" s="577">
        <v>0</v>
      </c>
      <c r="CB85" s="577">
        <v>108165.03</v>
      </c>
      <c r="CC85" s="577">
        <v>0</v>
      </c>
      <c r="CD85" s="577">
        <v>0</v>
      </c>
      <c r="CE85" s="577">
        <v>6000</v>
      </c>
      <c r="CF85" s="577">
        <v>0</v>
      </c>
      <c r="CG85" s="577">
        <v>81590.22</v>
      </c>
      <c r="CH85" s="577">
        <v>0</v>
      </c>
      <c r="CI85" s="577">
        <v>16068.81</v>
      </c>
      <c r="CJ85" s="576">
        <v>0</v>
      </c>
      <c r="CK85" s="576">
        <v>0</v>
      </c>
      <c r="CL85" s="576">
        <v>0</v>
      </c>
      <c r="CM85" s="576">
        <v>0</v>
      </c>
      <c r="CN85" s="577">
        <v>111363.55</v>
      </c>
      <c r="CO85" s="577">
        <v>0</v>
      </c>
      <c r="CP85" s="577">
        <v>10506</v>
      </c>
      <c r="CQ85" s="577">
        <v>0</v>
      </c>
      <c r="CR85" s="577">
        <v>0</v>
      </c>
      <c r="CS85" s="577">
        <v>0</v>
      </c>
      <c r="CU85" s="495">
        <f t="shared" si="15"/>
        <v>111363.55</v>
      </c>
      <c r="CV85" s="495">
        <f t="shared" si="16"/>
        <v>10506</v>
      </c>
      <c r="CW85" s="495">
        <f t="shared" si="17"/>
        <v>111363.55</v>
      </c>
      <c r="CX85" s="495">
        <f t="shared" si="11"/>
        <v>4726568.92</v>
      </c>
      <c r="CY85" s="495">
        <f t="shared" si="18"/>
        <v>4709466.6899999995</v>
      </c>
      <c r="CZ85" s="495">
        <f t="shared" si="12"/>
        <v>4522700.0199999996</v>
      </c>
      <c r="DA85" s="495">
        <f t="shared" si="19"/>
        <v>17102.230000000447</v>
      </c>
    </row>
    <row r="86" spans="1:105" ht="30">
      <c r="A86" s="576">
        <v>302</v>
      </c>
      <c r="B86" s="576">
        <v>7009</v>
      </c>
      <c r="C86" s="576" t="s">
        <v>430</v>
      </c>
      <c r="D86" s="576" t="s">
        <v>594</v>
      </c>
      <c r="E86" s="576"/>
      <c r="F86" s="576" t="s">
        <v>588</v>
      </c>
      <c r="G86" s="576">
        <v>0</v>
      </c>
      <c r="H86" s="576">
        <v>1</v>
      </c>
      <c r="I86" s="576" t="s">
        <v>853</v>
      </c>
      <c r="J86" s="576" t="s">
        <v>854</v>
      </c>
      <c r="K86" s="576" t="s">
        <v>591</v>
      </c>
      <c r="L86" s="576" t="s">
        <v>592</v>
      </c>
      <c r="M86" s="576" t="s">
        <v>591</v>
      </c>
      <c r="N86" s="576" t="s">
        <v>593</v>
      </c>
      <c r="O86" s="576" t="s">
        <v>591</v>
      </c>
      <c r="P86" s="576" t="s">
        <v>188</v>
      </c>
      <c r="Q86" s="577">
        <v>63894.73</v>
      </c>
      <c r="R86" s="577">
        <v>0</v>
      </c>
      <c r="S86" s="577">
        <v>0.03</v>
      </c>
      <c r="T86" s="577">
        <v>1907021.37</v>
      </c>
      <c r="U86" s="577">
        <v>0</v>
      </c>
      <c r="V86" s="577">
        <v>3021243.33</v>
      </c>
      <c r="W86" s="577">
        <v>0</v>
      </c>
      <c r="X86" s="577">
        <v>104890.58</v>
      </c>
      <c r="Y86" s="577">
        <v>1200</v>
      </c>
      <c r="Z86" s="577">
        <v>27078.080000000002</v>
      </c>
      <c r="AA86" s="577">
        <v>8744.06</v>
      </c>
      <c r="AB86" s="577">
        <v>723165.84</v>
      </c>
      <c r="AC86" s="577">
        <v>0</v>
      </c>
      <c r="AD86" s="577">
        <v>0</v>
      </c>
      <c r="AE86" s="577">
        <v>2137</v>
      </c>
      <c r="AF86" s="577">
        <v>714.05</v>
      </c>
      <c r="AG86" s="577">
        <v>7943.7</v>
      </c>
      <c r="AH86" s="577">
        <v>0</v>
      </c>
      <c r="AI86" s="577">
        <v>0</v>
      </c>
      <c r="AJ86" s="577">
        <v>0</v>
      </c>
      <c r="AK86" s="577">
        <v>14716.56</v>
      </c>
      <c r="AL86" s="577">
        <v>29315</v>
      </c>
      <c r="AM86" s="580">
        <f t="shared" si="13"/>
        <v>44031.56</v>
      </c>
      <c r="AN86" s="577">
        <v>2215290.7599999998</v>
      </c>
      <c r="AO86" s="577">
        <v>4310.46</v>
      </c>
      <c r="AP86" s="577">
        <v>2146419.85</v>
      </c>
      <c r="AQ86" s="577">
        <v>44520.45</v>
      </c>
      <c r="AR86" s="577">
        <v>119790.51</v>
      </c>
      <c r="AS86" s="577">
        <v>0</v>
      </c>
      <c r="AT86" s="577">
        <v>125144.16</v>
      </c>
      <c r="AU86" s="577">
        <v>29579.18</v>
      </c>
      <c r="AV86" s="577">
        <v>18047.89</v>
      </c>
      <c r="AW86" s="577">
        <v>0</v>
      </c>
      <c r="AX86" s="577">
        <v>0</v>
      </c>
      <c r="AY86" s="577">
        <v>49973.760000000002</v>
      </c>
      <c r="AZ86" s="577">
        <v>745.66</v>
      </c>
      <c r="BA86" s="577">
        <v>33907.07</v>
      </c>
      <c r="BB86" s="577">
        <v>5365.39</v>
      </c>
      <c r="BC86" s="577">
        <v>53791.199999999997</v>
      </c>
      <c r="BD86" s="577">
        <v>0</v>
      </c>
      <c r="BE86" s="577">
        <v>31917.279999999999</v>
      </c>
      <c r="BF86" s="577">
        <v>59988.639999999999</v>
      </c>
      <c r="BG86" s="577">
        <v>4729.79</v>
      </c>
      <c r="BH86" s="576">
        <v>4393.3999999999996</v>
      </c>
      <c r="BI86" s="576">
        <v>3396.78</v>
      </c>
      <c r="BJ86" s="576">
        <v>10576.81</v>
      </c>
      <c r="BK86" s="576">
        <v>16787.310000000001</v>
      </c>
      <c r="BL86" s="576">
        <v>4655.71</v>
      </c>
      <c r="BM86" s="576">
        <v>12638.22</v>
      </c>
      <c r="BN86" s="577">
        <f t="shared" si="14"/>
        <v>57178.02</v>
      </c>
      <c r="BO86" s="577">
        <v>0</v>
      </c>
      <c r="BP86" s="577">
        <v>18695.98</v>
      </c>
      <c r="BQ86" s="577">
        <v>11707.84</v>
      </c>
      <c r="BR86" s="577">
        <v>72818.3</v>
      </c>
      <c r="BS86" s="577">
        <v>37313.29</v>
      </c>
      <c r="BT86" s="577">
        <v>519</v>
      </c>
      <c r="BU86" s="577">
        <v>623824.05000000005</v>
      </c>
      <c r="BV86" s="577">
        <v>48468.56</v>
      </c>
      <c r="BW86" s="577">
        <v>0</v>
      </c>
      <c r="BX86" s="577">
        <v>0</v>
      </c>
      <c r="BY86" s="577">
        <v>0</v>
      </c>
      <c r="BZ86" s="577">
        <v>0</v>
      </c>
      <c r="CA86" s="577">
        <v>0</v>
      </c>
      <c r="CB86" s="577">
        <v>11948.13</v>
      </c>
      <c r="CC86" s="577">
        <v>10000</v>
      </c>
      <c r="CD86" s="577">
        <v>0</v>
      </c>
      <c r="CE86" s="577">
        <v>6000</v>
      </c>
      <c r="CF86" s="577">
        <v>0</v>
      </c>
      <c r="CG86" s="577">
        <v>5818.82</v>
      </c>
      <c r="CH86" s="577">
        <v>8333.34</v>
      </c>
      <c r="CI86" s="577">
        <v>0</v>
      </c>
      <c r="CJ86" s="576">
        <v>0</v>
      </c>
      <c r="CK86" s="576">
        <v>0</v>
      </c>
      <c r="CL86" s="576">
        <v>0</v>
      </c>
      <c r="CM86" s="576">
        <v>0</v>
      </c>
      <c r="CN86" s="577">
        <v>52255</v>
      </c>
      <c r="CO86" s="577">
        <v>50492</v>
      </c>
      <c r="CP86" s="577">
        <v>6129</v>
      </c>
      <c r="CQ86" s="577">
        <v>1667</v>
      </c>
      <c r="CR86" s="577">
        <v>0</v>
      </c>
      <c r="CS86" s="577">
        <v>0</v>
      </c>
      <c r="CU86" s="495">
        <f t="shared" si="15"/>
        <v>102747</v>
      </c>
      <c r="CV86" s="495">
        <f t="shared" si="16"/>
        <v>7796</v>
      </c>
      <c r="CW86" s="495">
        <f t="shared" si="17"/>
        <v>102747</v>
      </c>
      <c r="CX86" s="495">
        <f t="shared" si="11"/>
        <v>5848169.5699999994</v>
      </c>
      <c r="CY86" s="495">
        <f t="shared" si="18"/>
        <v>5809317.2999999989</v>
      </c>
      <c r="CZ86" s="495">
        <f t="shared" si="12"/>
        <v>4928264.7</v>
      </c>
      <c r="DA86" s="495">
        <f t="shared" si="19"/>
        <v>38852.270000000484</v>
      </c>
    </row>
    <row r="87" spans="1:105" ht="15">
      <c r="A87" s="576">
        <v>302</v>
      </c>
      <c r="B87" s="576">
        <v>7010</v>
      </c>
      <c r="C87" s="576" t="s">
        <v>124</v>
      </c>
      <c r="D87" s="576" t="s">
        <v>594</v>
      </c>
      <c r="E87" s="576"/>
      <c r="F87" s="576" t="s">
        <v>588</v>
      </c>
      <c r="G87" s="576">
        <v>0</v>
      </c>
      <c r="H87" s="576">
        <v>1</v>
      </c>
      <c r="I87" s="576" t="s">
        <v>853</v>
      </c>
      <c r="J87" s="576" t="s">
        <v>854</v>
      </c>
      <c r="K87" s="576" t="s">
        <v>591</v>
      </c>
      <c r="L87" s="576" t="s">
        <v>592</v>
      </c>
      <c r="M87" s="576" t="s">
        <v>591</v>
      </c>
      <c r="N87" s="576" t="s">
        <v>593</v>
      </c>
      <c r="O87" s="576" t="s">
        <v>591</v>
      </c>
      <c r="P87" s="576" t="s">
        <v>188</v>
      </c>
      <c r="Q87" s="577">
        <v>440173.32</v>
      </c>
      <c r="R87" s="577">
        <v>0</v>
      </c>
      <c r="S87" s="577">
        <v>38662.19</v>
      </c>
      <c r="T87" s="577">
        <v>1165601.22</v>
      </c>
      <c r="U87" s="577">
        <v>410000</v>
      </c>
      <c r="V87" s="577">
        <v>2800622.77</v>
      </c>
      <c r="W87" s="577">
        <v>0</v>
      </c>
      <c r="X87" s="577">
        <v>36748</v>
      </c>
      <c r="Y87" s="577">
        <v>80679.81</v>
      </c>
      <c r="Z87" s="577">
        <v>26651.07</v>
      </c>
      <c r="AA87" s="577">
        <v>948.66</v>
      </c>
      <c r="AB87" s="577">
        <v>90</v>
      </c>
      <c r="AC87" s="577">
        <v>14644.7</v>
      </c>
      <c r="AD87" s="577">
        <v>0</v>
      </c>
      <c r="AE87" s="577">
        <v>40</v>
      </c>
      <c r="AF87" s="577">
        <v>784.4</v>
      </c>
      <c r="AG87" s="577">
        <v>5836.81</v>
      </c>
      <c r="AH87" s="577">
        <v>0</v>
      </c>
      <c r="AI87" s="577">
        <v>0</v>
      </c>
      <c r="AJ87" s="577">
        <v>0</v>
      </c>
      <c r="AK87" s="577">
        <v>24198.38</v>
      </c>
      <c r="AL87" s="577">
        <v>0</v>
      </c>
      <c r="AM87" s="580">
        <f t="shared" si="13"/>
        <v>24198.38</v>
      </c>
      <c r="AN87" s="577">
        <v>1622628.96</v>
      </c>
      <c r="AO87" s="577">
        <v>0</v>
      </c>
      <c r="AP87" s="577">
        <v>1900070.68</v>
      </c>
      <c r="AQ87" s="577">
        <v>97758.32</v>
      </c>
      <c r="AR87" s="577">
        <v>175504.7</v>
      </c>
      <c r="AS87" s="577">
        <v>0</v>
      </c>
      <c r="AT87" s="577">
        <v>78787.98</v>
      </c>
      <c r="AU87" s="577">
        <v>21171.279999999999</v>
      </c>
      <c r="AV87" s="577">
        <v>15296.99</v>
      </c>
      <c r="AW87" s="577">
        <v>0</v>
      </c>
      <c r="AX87" s="577">
        <v>0</v>
      </c>
      <c r="AY87" s="577">
        <v>72708.59</v>
      </c>
      <c r="AZ87" s="577">
        <v>15600</v>
      </c>
      <c r="BA87" s="577">
        <v>5660.03</v>
      </c>
      <c r="BB87" s="577">
        <v>6386.84</v>
      </c>
      <c r="BC87" s="577">
        <v>46101.2</v>
      </c>
      <c r="BD87" s="577">
        <v>0</v>
      </c>
      <c r="BE87" s="577">
        <v>21573.11</v>
      </c>
      <c r="BF87" s="577">
        <v>52016.32</v>
      </c>
      <c r="BG87" s="577">
        <v>8334</v>
      </c>
      <c r="BH87" s="576">
        <v>0</v>
      </c>
      <c r="BI87" s="576">
        <v>3712.45</v>
      </c>
      <c r="BJ87" s="576">
        <v>7566.5</v>
      </c>
      <c r="BK87" s="576">
        <v>774.67</v>
      </c>
      <c r="BL87" s="576">
        <v>3050.39</v>
      </c>
      <c r="BM87" s="576">
        <v>0</v>
      </c>
      <c r="BN87" s="577">
        <f t="shared" si="14"/>
        <v>23438.01</v>
      </c>
      <c r="BO87" s="577">
        <v>1128</v>
      </c>
      <c r="BP87" s="577">
        <v>6801.54</v>
      </c>
      <c r="BQ87" s="577">
        <v>9804.94</v>
      </c>
      <c r="BR87" s="577">
        <v>79256.17</v>
      </c>
      <c r="BS87" s="577">
        <v>38066.74</v>
      </c>
      <c r="BT87" s="577">
        <v>48092</v>
      </c>
      <c r="BU87" s="577">
        <v>247694.95</v>
      </c>
      <c r="BV87" s="577">
        <v>44562.79</v>
      </c>
      <c r="BW87" s="577">
        <v>0</v>
      </c>
      <c r="BX87" s="577">
        <v>0</v>
      </c>
      <c r="BY87" s="577">
        <v>0</v>
      </c>
      <c r="BZ87" s="577">
        <v>0</v>
      </c>
      <c r="CA87" s="577">
        <v>0</v>
      </c>
      <c r="CB87" s="577">
        <v>9771.25</v>
      </c>
      <c r="CC87" s="577">
        <v>0</v>
      </c>
      <c r="CD87" s="577">
        <v>0</v>
      </c>
      <c r="CE87" s="577">
        <v>6000</v>
      </c>
      <c r="CF87" s="577">
        <v>0</v>
      </c>
      <c r="CG87" s="577">
        <v>5467.64</v>
      </c>
      <c r="CH87" s="577">
        <v>7101.8</v>
      </c>
      <c r="CI87" s="577">
        <v>0</v>
      </c>
      <c r="CJ87" s="576">
        <v>0</v>
      </c>
      <c r="CK87" s="576">
        <v>0</v>
      </c>
      <c r="CL87" s="576">
        <v>0</v>
      </c>
      <c r="CM87" s="576">
        <v>0</v>
      </c>
      <c r="CN87" s="577">
        <v>5605</v>
      </c>
      <c r="CO87" s="577">
        <v>371304</v>
      </c>
      <c r="CP87" s="577">
        <v>35864</v>
      </c>
      <c r="CQ87" s="577">
        <v>0</v>
      </c>
      <c r="CR87" s="577">
        <v>0</v>
      </c>
      <c r="CS87" s="577">
        <v>0</v>
      </c>
      <c r="CU87" s="495">
        <f t="shared" si="15"/>
        <v>376909</v>
      </c>
      <c r="CV87" s="495">
        <f t="shared" si="16"/>
        <v>35864</v>
      </c>
      <c r="CW87" s="495">
        <f t="shared" si="17"/>
        <v>376909</v>
      </c>
      <c r="CX87" s="495">
        <f t="shared" si="11"/>
        <v>4566845.82</v>
      </c>
      <c r="CY87" s="495">
        <f t="shared" si="18"/>
        <v>4630110.1399999997</v>
      </c>
      <c r="CZ87" s="495">
        <f t="shared" si="12"/>
        <v>4376223.99</v>
      </c>
      <c r="DA87" s="495">
        <f t="shared" si="19"/>
        <v>-63264.319999999367</v>
      </c>
    </row>
    <row r="88" spans="1:105">
      <c r="Q88" s="578">
        <f t="shared" ref="Q88:S88" si="20">SUM(Q4:Q87)</f>
        <v>6626354.0300000021</v>
      </c>
      <c r="R88" s="578">
        <f t="shared" si="20"/>
        <v>126259.97999999998</v>
      </c>
      <c r="S88" s="578">
        <f t="shared" si="20"/>
        <v>835580.58000000007</v>
      </c>
      <c r="T88" s="578">
        <f>SUM(T4:T87)</f>
        <v>193351937.78999999</v>
      </c>
      <c r="U88" s="578">
        <f t="shared" ref="U88:CF88" si="21">SUM(U4:U87)</f>
        <v>8180387.0599999987</v>
      </c>
      <c r="V88" s="578">
        <f t="shared" si="21"/>
        <v>24263605.309999999</v>
      </c>
      <c r="W88" s="578">
        <f t="shared" si="21"/>
        <v>0</v>
      </c>
      <c r="X88" s="578">
        <f t="shared" si="21"/>
        <v>8679044.5999999996</v>
      </c>
      <c r="Y88" s="578">
        <f t="shared" si="21"/>
        <v>1189795.3700000001</v>
      </c>
      <c r="Z88" s="578">
        <f t="shared" si="21"/>
        <v>6609154.0300000003</v>
      </c>
      <c r="AA88" s="578">
        <f t="shared" si="21"/>
        <v>2304694.85</v>
      </c>
      <c r="AB88" s="578">
        <f t="shared" si="21"/>
        <v>4172435.2099999995</v>
      </c>
      <c r="AC88" s="578">
        <f t="shared" si="21"/>
        <v>1420928.35</v>
      </c>
      <c r="AD88" s="578">
        <f t="shared" si="21"/>
        <v>64048.959999999999</v>
      </c>
      <c r="AE88" s="578">
        <f t="shared" si="21"/>
        <v>103898.48999999999</v>
      </c>
      <c r="AF88" s="578">
        <f t="shared" si="21"/>
        <v>6151212.2399999993</v>
      </c>
      <c r="AG88" s="578">
        <f t="shared" si="21"/>
        <v>8524355.4399999995</v>
      </c>
      <c r="AH88" s="578">
        <f t="shared" si="21"/>
        <v>0</v>
      </c>
      <c r="AI88" s="578">
        <f t="shared" si="21"/>
        <v>785181.92</v>
      </c>
      <c r="AJ88" s="578">
        <f t="shared" si="21"/>
        <v>5608.99</v>
      </c>
      <c r="AK88" s="578">
        <f t="shared" si="21"/>
        <v>704999.54000000015</v>
      </c>
      <c r="AL88" s="578">
        <f t="shared" si="21"/>
        <v>5023773.3199999984</v>
      </c>
      <c r="AM88" s="578">
        <f t="shared" si="21"/>
        <v>5728772.8599999975</v>
      </c>
      <c r="AN88" s="578">
        <f t="shared" si="21"/>
        <v>125220771.38999997</v>
      </c>
      <c r="AO88" s="578">
        <f t="shared" si="21"/>
        <v>368327.36000000004</v>
      </c>
      <c r="AP88" s="578">
        <f t="shared" si="21"/>
        <v>52028548.670000017</v>
      </c>
      <c r="AQ88" s="578">
        <f t="shared" si="21"/>
        <v>5584330.910000002</v>
      </c>
      <c r="AR88" s="578">
        <f t="shared" si="21"/>
        <v>12204797.970000003</v>
      </c>
      <c r="AS88" s="578">
        <f t="shared" si="21"/>
        <v>563658.81000000006</v>
      </c>
      <c r="AT88" s="578">
        <f t="shared" si="21"/>
        <v>4944740.8400000026</v>
      </c>
      <c r="AU88" s="578">
        <f t="shared" si="21"/>
        <v>1610196.5</v>
      </c>
      <c r="AV88" s="578">
        <f t="shared" si="21"/>
        <v>545510.35999999987</v>
      </c>
      <c r="AW88" s="578">
        <f t="shared" si="21"/>
        <v>190076.19999999998</v>
      </c>
      <c r="AX88" s="578">
        <f t="shared" si="21"/>
        <v>60946.860000000008</v>
      </c>
      <c r="AY88" s="578">
        <f t="shared" si="21"/>
        <v>3284153.7499999991</v>
      </c>
      <c r="AZ88" s="578">
        <f t="shared" si="21"/>
        <v>480682.3600000001</v>
      </c>
      <c r="BA88" s="578">
        <f t="shared" si="21"/>
        <v>3666883.1999999988</v>
      </c>
      <c r="BB88" s="578">
        <f t="shared" si="21"/>
        <v>578777.20000000007</v>
      </c>
      <c r="BC88" s="578">
        <f t="shared" si="21"/>
        <v>5095927.9900000012</v>
      </c>
      <c r="BD88" s="578">
        <f t="shared" si="21"/>
        <v>2035870.1000000006</v>
      </c>
      <c r="BE88" s="578">
        <f t="shared" si="21"/>
        <v>2539046.0999999996</v>
      </c>
      <c r="BF88" s="578">
        <f t="shared" si="21"/>
        <v>7740112.4300000016</v>
      </c>
      <c r="BG88" s="578">
        <f t="shared" si="21"/>
        <v>1060729.6199999999</v>
      </c>
      <c r="BH88" s="578">
        <f t="shared" si="21"/>
        <v>26251.920000000006</v>
      </c>
      <c r="BI88" s="578">
        <f t="shared" si="21"/>
        <v>503437.93000000011</v>
      </c>
      <c r="BJ88" s="578">
        <f t="shared" si="21"/>
        <v>673267.17999999993</v>
      </c>
      <c r="BK88" s="578">
        <f t="shared" si="21"/>
        <v>155217.94</v>
      </c>
      <c r="BL88" s="578">
        <f t="shared" si="21"/>
        <v>144645.54</v>
      </c>
      <c r="BM88" s="578">
        <f t="shared" si="21"/>
        <v>488645.28999999992</v>
      </c>
      <c r="BN88" s="578">
        <f t="shared" si="21"/>
        <v>3052195.42</v>
      </c>
      <c r="BO88" s="578">
        <f t="shared" si="21"/>
        <v>968843.91999999993</v>
      </c>
      <c r="BP88" s="578">
        <f t="shared" si="21"/>
        <v>1488591.44</v>
      </c>
      <c r="BQ88" s="578">
        <f t="shared" si="21"/>
        <v>1198314.3899999997</v>
      </c>
      <c r="BR88" s="578">
        <f t="shared" si="21"/>
        <v>1137250.05</v>
      </c>
      <c r="BS88" s="578">
        <f t="shared" si="21"/>
        <v>10242534.349999998</v>
      </c>
      <c r="BT88" s="578">
        <f t="shared" si="21"/>
        <v>5050301.5900000026</v>
      </c>
      <c r="BU88" s="578">
        <f t="shared" si="21"/>
        <v>15824188.820000002</v>
      </c>
      <c r="BV88" s="578">
        <f t="shared" si="21"/>
        <v>4546032.9700000007</v>
      </c>
      <c r="BW88" s="578">
        <f t="shared" si="21"/>
        <v>135663.91</v>
      </c>
      <c r="BX88" s="578">
        <f t="shared" si="21"/>
        <v>0</v>
      </c>
      <c r="BY88" s="578">
        <f t="shared" si="21"/>
        <v>350808.12</v>
      </c>
      <c r="BZ88" s="578">
        <f t="shared" si="21"/>
        <v>519908.4</v>
      </c>
      <c r="CA88" s="578">
        <f t="shared" si="21"/>
        <v>114250.17000000001</v>
      </c>
      <c r="CB88" s="578">
        <f t="shared" si="21"/>
        <v>574771.31000000006</v>
      </c>
      <c r="CC88" s="578">
        <f t="shared" si="21"/>
        <v>375288.69999999995</v>
      </c>
      <c r="CD88" s="578">
        <f t="shared" si="21"/>
        <v>350808.22</v>
      </c>
      <c r="CE88" s="578">
        <f t="shared" si="21"/>
        <v>504000</v>
      </c>
      <c r="CF88" s="578">
        <f t="shared" si="21"/>
        <v>0</v>
      </c>
      <c r="CG88" s="578">
        <f t="shared" ref="CG88:DA88" si="22">SUM(CG4:CG87)</f>
        <v>835588.61</v>
      </c>
      <c r="CH88" s="578">
        <f t="shared" si="22"/>
        <v>213277.56</v>
      </c>
      <c r="CI88" s="578">
        <f t="shared" si="22"/>
        <v>114385.75</v>
      </c>
      <c r="CJ88" s="578">
        <f t="shared" si="22"/>
        <v>0</v>
      </c>
      <c r="CK88" s="578">
        <f t="shared" si="22"/>
        <v>0</v>
      </c>
      <c r="CL88" s="578">
        <f t="shared" si="22"/>
        <v>210419.52999999997</v>
      </c>
      <c r="CM88" s="578">
        <f t="shared" si="22"/>
        <v>59233.86</v>
      </c>
      <c r="CN88" s="578">
        <f t="shared" si="22"/>
        <v>1247334.4200000002</v>
      </c>
      <c r="CO88" s="578">
        <f>SUM(CO4:CO87)</f>
        <v>3385206.19</v>
      </c>
      <c r="CP88" s="578">
        <f t="shared" si="22"/>
        <v>682989.50000000012</v>
      </c>
      <c r="CQ88" s="578">
        <f t="shared" si="22"/>
        <v>20554</v>
      </c>
      <c r="CR88" s="578">
        <f t="shared" si="22"/>
        <v>282892.32</v>
      </c>
      <c r="CS88" s="578">
        <f t="shared" si="22"/>
        <v>0</v>
      </c>
      <c r="CT88" s="578">
        <f t="shared" si="22"/>
        <v>0</v>
      </c>
      <c r="CU88" s="578">
        <f t="shared" si="22"/>
        <v>4915432.93</v>
      </c>
      <c r="CV88" s="578">
        <f t="shared" si="22"/>
        <v>703543.50000000012</v>
      </c>
      <c r="CW88" s="578">
        <f t="shared" si="22"/>
        <v>4632540.6099999994</v>
      </c>
      <c r="CX88" s="578">
        <f t="shared" si="22"/>
        <v>270744270.55999994</v>
      </c>
      <c r="CY88" s="578">
        <f t="shared" si="22"/>
        <v>272738083.97999996</v>
      </c>
      <c r="CZ88" s="578">
        <f t="shared" si="22"/>
        <v>225795930.16000003</v>
      </c>
      <c r="DA88" s="578">
        <f t="shared" si="22"/>
        <v>-1993813.4200000034</v>
      </c>
    </row>
  </sheetData>
  <autoFilter ref="A3:DA88" xr:uid="{6E0625D8-3B86-4924-9C05-EE33D9A34277}">
    <filterColumn colId="75" showButton="0"/>
  </autoFilter>
  <mergeCells count="1">
    <mergeCell ref="A1:BX1"/>
  </mergeCells>
  <pageMargins left="0.98425196850393704" right="0.98425196850393704" top="0.98425196850393704" bottom="0.98425196850393704" header="0.98425196850393704" footer="0.98425196850393704"/>
  <pageSetup paperSize="9"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6112D-EA46-45A3-9D7D-7934D914FC0A}">
  <sheetPr filterMode="1"/>
  <dimension ref="A1:S130"/>
  <sheetViews>
    <sheetView workbookViewId="0">
      <selection activeCell="CN88" sqref="CN88:CO88"/>
    </sheetView>
  </sheetViews>
  <sheetFormatPr defaultRowHeight="13.2"/>
  <cols>
    <col min="1" max="1" width="8.88671875" bestFit="1" customWidth="1"/>
    <col min="2" max="2" width="10.33203125" bestFit="1" customWidth="1"/>
    <col min="3" max="5" width="8.21875" bestFit="1" customWidth="1"/>
    <col min="6" max="6" width="52" bestFit="1" customWidth="1"/>
    <col min="7" max="7" width="18.77734375" bestFit="1" customWidth="1"/>
    <col min="8" max="8" width="24.109375" bestFit="1" customWidth="1"/>
    <col min="9" max="9" width="7.77734375" bestFit="1" customWidth="1"/>
    <col min="10" max="10" width="8.21875" bestFit="1" customWidth="1"/>
    <col min="11" max="11" width="12.77734375" bestFit="1" customWidth="1"/>
    <col min="12" max="12" width="14.77734375" bestFit="1" customWidth="1"/>
    <col min="13" max="13" width="12" bestFit="1" customWidth="1"/>
    <col min="14" max="14" width="8.88671875" bestFit="1" customWidth="1"/>
    <col min="15" max="16" width="13.33203125" customWidth="1"/>
    <col min="17" max="17" width="8.77734375" bestFit="1" customWidth="1"/>
    <col min="18" max="18" width="13.6640625" bestFit="1" customWidth="1"/>
    <col min="19" max="19" width="14.33203125" bestFit="1" customWidth="1"/>
  </cols>
  <sheetData>
    <row r="1" spans="1:19" ht="15.6">
      <c r="A1" s="650" t="s">
        <v>860</v>
      </c>
      <c r="B1" s="650"/>
      <c r="C1" s="650"/>
      <c r="D1" s="650"/>
      <c r="E1" s="650"/>
      <c r="F1" s="581"/>
      <c r="G1" s="581"/>
      <c r="H1" s="581"/>
      <c r="I1" s="581"/>
      <c r="J1" s="581"/>
      <c r="K1" s="581"/>
      <c r="L1" s="581"/>
      <c r="M1" s="581"/>
      <c r="N1" s="581"/>
      <c r="O1" s="581"/>
      <c r="P1" s="581"/>
      <c r="Q1" s="581"/>
      <c r="R1" s="581"/>
      <c r="S1" s="581"/>
    </row>
    <row r="2" spans="1:19">
      <c r="A2" s="651"/>
      <c r="B2" s="651"/>
      <c r="C2" s="651"/>
      <c r="D2" s="651"/>
      <c r="E2" s="651"/>
      <c r="F2" s="651"/>
      <c r="G2" s="651"/>
      <c r="H2" s="651"/>
      <c r="I2" s="651"/>
      <c r="J2" s="652" t="s">
        <v>702</v>
      </c>
      <c r="K2" s="652"/>
      <c r="L2" s="652"/>
      <c r="M2" s="652"/>
      <c r="N2" s="652"/>
      <c r="O2" s="652"/>
      <c r="P2" s="652"/>
      <c r="Q2" s="652"/>
      <c r="R2" s="652" t="s">
        <v>662</v>
      </c>
      <c r="S2" s="652"/>
    </row>
    <row r="3" spans="1:19">
      <c r="A3" s="651"/>
      <c r="B3" s="651"/>
      <c r="C3" s="651"/>
      <c r="D3" s="651"/>
      <c r="E3" s="651"/>
      <c r="F3" s="651"/>
      <c r="G3" s="651"/>
      <c r="H3" s="651"/>
      <c r="I3" s="651"/>
      <c r="J3" s="652" t="s">
        <v>663</v>
      </c>
      <c r="K3" s="652"/>
      <c r="L3" s="652"/>
      <c r="M3" s="652"/>
      <c r="N3" s="652" t="s">
        <v>664</v>
      </c>
      <c r="O3" s="652"/>
      <c r="P3" s="652"/>
      <c r="Q3" s="652"/>
      <c r="R3" s="583"/>
      <c r="S3" s="583"/>
    </row>
    <row r="4" spans="1:19" ht="92.4">
      <c r="A4" s="584" t="s">
        <v>703</v>
      </c>
      <c r="B4" s="584" t="s">
        <v>704</v>
      </c>
      <c r="C4" s="584" t="s">
        <v>705</v>
      </c>
      <c r="D4" s="584" t="s">
        <v>706</v>
      </c>
      <c r="E4" s="584" t="s">
        <v>707</v>
      </c>
      <c r="F4" s="584" t="s">
        <v>128</v>
      </c>
      <c r="G4" s="584" t="s">
        <v>419</v>
      </c>
      <c r="H4" s="584" t="s">
        <v>668</v>
      </c>
      <c r="I4" s="584" t="s">
        <v>708</v>
      </c>
      <c r="J4" s="584" t="s">
        <v>709</v>
      </c>
      <c r="K4" s="584" t="s">
        <v>671</v>
      </c>
      <c r="L4" s="584" t="s">
        <v>710</v>
      </c>
      <c r="M4" s="584" t="s">
        <v>711</v>
      </c>
      <c r="N4" s="584" t="s">
        <v>712</v>
      </c>
      <c r="O4" s="584" t="s">
        <v>675</v>
      </c>
      <c r="P4" s="584" t="s">
        <v>713</v>
      </c>
      <c r="Q4" s="584" t="s">
        <v>711</v>
      </c>
      <c r="R4" s="582" t="s">
        <v>678</v>
      </c>
      <c r="S4" s="582" t="s">
        <v>714</v>
      </c>
    </row>
    <row r="5" spans="1:19" hidden="1">
      <c r="A5">
        <v>101255</v>
      </c>
      <c r="B5">
        <v>3021100</v>
      </c>
      <c r="C5">
        <v>302</v>
      </c>
      <c r="D5" t="s">
        <v>431</v>
      </c>
      <c r="E5">
        <v>1100</v>
      </c>
      <c r="F5" t="s">
        <v>327</v>
      </c>
      <c r="G5" t="s">
        <v>446</v>
      </c>
      <c r="H5" t="s">
        <v>683</v>
      </c>
      <c r="I5">
        <v>45</v>
      </c>
      <c r="J5">
        <v>2</v>
      </c>
      <c r="K5">
        <v>1</v>
      </c>
      <c r="L5">
        <v>50</v>
      </c>
      <c r="M5">
        <v>1480</v>
      </c>
      <c r="N5">
        <v>43</v>
      </c>
      <c r="O5">
        <v>26</v>
      </c>
      <c r="P5">
        <v>60.47</v>
      </c>
      <c r="Q5">
        <v>27300</v>
      </c>
      <c r="R5">
        <v>27</v>
      </c>
      <c r="S5">
        <v>28780</v>
      </c>
    </row>
    <row r="6" spans="1:19" hidden="1">
      <c r="A6">
        <v>133749</v>
      </c>
      <c r="B6">
        <v>3021102</v>
      </c>
      <c r="C6">
        <v>302</v>
      </c>
      <c r="D6" t="s">
        <v>431</v>
      </c>
      <c r="E6">
        <v>1102</v>
      </c>
      <c r="F6" t="s">
        <v>348</v>
      </c>
      <c r="G6" t="s">
        <v>446</v>
      </c>
      <c r="H6" t="s">
        <v>681</v>
      </c>
      <c r="I6">
        <v>8</v>
      </c>
      <c r="J6">
        <v>0</v>
      </c>
      <c r="K6">
        <v>0</v>
      </c>
      <c r="L6">
        <v>0</v>
      </c>
      <c r="M6">
        <v>0</v>
      </c>
      <c r="N6">
        <v>8</v>
      </c>
      <c r="O6">
        <v>3</v>
      </c>
      <c r="P6">
        <v>37.5</v>
      </c>
      <c r="Q6">
        <v>3150</v>
      </c>
      <c r="R6">
        <v>3</v>
      </c>
      <c r="S6">
        <v>3150</v>
      </c>
    </row>
    <row r="7" spans="1:19" hidden="1">
      <c r="A7">
        <v>136938</v>
      </c>
      <c r="B7">
        <v>3022001</v>
      </c>
      <c r="C7">
        <v>302</v>
      </c>
      <c r="D7" t="s">
        <v>431</v>
      </c>
      <c r="E7">
        <v>2001</v>
      </c>
      <c r="F7" t="s">
        <v>355</v>
      </c>
      <c r="G7" t="s">
        <v>420</v>
      </c>
      <c r="H7" t="s">
        <v>681</v>
      </c>
      <c r="I7">
        <v>166</v>
      </c>
      <c r="J7">
        <v>166</v>
      </c>
      <c r="K7">
        <v>7</v>
      </c>
      <c r="L7">
        <v>4.22</v>
      </c>
      <c r="M7">
        <v>10360</v>
      </c>
      <c r="N7">
        <v>0</v>
      </c>
      <c r="O7">
        <v>0</v>
      </c>
      <c r="P7">
        <v>0</v>
      </c>
      <c r="Q7">
        <v>0</v>
      </c>
      <c r="R7">
        <v>7</v>
      </c>
      <c r="S7">
        <v>10360</v>
      </c>
    </row>
    <row r="8" spans="1:19" hidden="1">
      <c r="A8">
        <v>101258</v>
      </c>
      <c r="B8">
        <v>3022002</v>
      </c>
      <c r="C8">
        <v>302</v>
      </c>
      <c r="D8" t="s">
        <v>431</v>
      </c>
      <c r="E8">
        <v>2002</v>
      </c>
      <c r="F8" t="s">
        <v>258</v>
      </c>
      <c r="G8" t="s">
        <v>680</v>
      </c>
      <c r="H8" t="s">
        <v>681</v>
      </c>
      <c r="I8">
        <v>415</v>
      </c>
      <c r="J8">
        <v>415</v>
      </c>
      <c r="K8">
        <v>85</v>
      </c>
      <c r="L8">
        <v>20.48</v>
      </c>
      <c r="M8">
        <v>125800</v>
      </c>
      <c r="N8">
        <v>0</v>
      </c>
      <c r="O8">
        <v>0</v>
      </c>
      <c r="P8">
        <v>0</v>
      </c>
      <c r="Q8">
        <v>0</v>
      </c>
      <c r="R8">
        <v>85</v>
      </c>
      <c r="S8">
        <v>125800</v>
      </c>
    </row>
    <row r="9" spans="1:19" hidden="1">
      <c r="A9">
        <v>138272</v>
      </c>
      <c r="B9">
        <v>3022004</v>
      </c>
      <c r="C9">
        <v>302</v>
      </c>
      <c r="D9" t="s">
        <v>431</v>
      </c>
      <c r="E9">
        <v>2004</v>
      </c>
      <c r="F9" t="s">
        <v>356</v>
      </c>
      <c r="G9" t="s">
        <v>420</v>
      </c>
      <c r="H9" t="s">
        <v>682</v>
      </c>
      <c r="I9">
        <v>206</v>
      </c>
      <c r="J9">
        <v>206</v>
      </c>
      <c r="K9">
        <v>7</v>
      </c>
      <c r="L9">
        <v>3.4</v>
      </c>
      <c r="M9">
        <v>10360</v>
      </c>
      <c r="N9">
        <v>0</v>
      </c>
      <c r="O9">
        <v>0</v>
      </c>
      <c r="P9">
        <v>0</v>
      </c>
      <c r="Q9">
        <v>0</v>
      </c>
      <c r="R9">
        <v>7</v>
      </c>
      <c r="S9">
        <v>10360</v>
      </c>
    </row>
    <row r="10" spans="1:19" hidden="1">
      <c r="A10">
        <v>101262</v>
      </c>
      <c r="B10">
        <v>3022007</v>
      </c>
      <c r="C10">
        <v>302</v>
      </c>
      <c r="D10" t="s">
        <v>431</v>
      </c>
      <c r="E10">
        <v>2007</v>
      </c>
      <c r="F10" t="s">
        <v>42</v>
      </c>
      <c r="G10" t="s">
        <v>680</v>
      </c>
      <c r="H10" t="s">
        <v>682</v>
      </c>
      <c r="I10">
        <v>353</v>
      </c>
      <c r="J10">
        <v>353</v>
      </c>
      <c r="K10">
        <v>68</v>
      </c>
      <c r="L10">
        <v>19.260000000000002</v>
      </c>
      <c r="M10">
        <v>100640</v>
      </c>
      <c r="N10">
        <v>0</v>
      </c>
      <c r="O10">
        <v>0</v>
      </c>
      <c r="P10">
        <v>0</v>
      </c>
      <c r="Q10">
        <v>0</v>
      </c>
      <c r="R10">
        <v>68</v>
      </c>
      <c r="S10">
        <v>100640</v>
      </c>
    </row>
    <row r="11" spans="1:19" hidden="1">
      <c r="A11">
        <v>101263</v>
      </c>
      <c r="B11">
        <v>3022008</v>
      </c>
      <c r="C11">
        <v>302</v>
      </c>
      <c r="D11" t="s">
        <v>431</v>
      </c>
      <c r="E11">
        <v>2008</v>
      </c>
      <c r="F11" t="s">
        <v>261</v>
      </c>
      <c r="G11" t="s">
        <v>680</v>
      </c>
      <c r="H11" t="s">
        <v>682</v>
      </c>
      <c r="I11">
        <v>260</v>
      </c>
      <c r="J11">
        <v>260</v>
      </c>
      <c r="K11">
        <v>28</v>
      </c>
      <c r="L11">
        <v>10.77</v>
      </c>
      <c r="M11">
        <v>41440</v>
      </c>
      <c r="N11">
        <v>0</v>
      </c>
      <c r="O11">
        <v>0</v>
      </c>
      <c r="P11">
        <v>0</v>
      </c>
      <c r="Q11">
        <v>0</v>
      </c>
      <c r="R11">
        <v>28</v>
      </c>
      <c r="S11">
        <v>41440</v>
      </c>
    </row>
    <row r="12" spans="1:19" hidden="1">
      <c r="A12">
        <v>101264</v>
      </c>
      <c r="B12">
        <v>3022009</v>
      </c>
      <c r="C12">
        <v>302</v>
      </c>
      <c r="D12" t="s">
        <v>431</v>
      </c>
      <c r="E12">
        <v>2009</v>
      </c>
      <c r="F12" t="s">
        <v>262</v>
      </c>
      <c r="G12" t="s">
        <v>680</v>
      </c>
      <c r="H12" t="s">
        <v>683</v>
      </c>
      <c r="I12">
        <v>419</v>
      </c>
      <c r="J12">
        <v>419</v>
      </c>
      <c r="K12">
        <v>80</v>
      </c>
      <c r="L12">
        <v>19.09</v>
      </c>
      <c r="M12">
        <v>118400</v>
      </c>
      <c r="N12">
        <v>0</v>
      </c>
      <c r="O12">
        <v>0</v>
      </c>
      <c r="P12">
        <v>0</v>
      </c>
      <c r="Q12">
        <v>0</v>
      </c>
      <c r="R12">
        <v>80</v>
      </c>
      <c r="S12">
        <v>118400</v>
      </c>
    </row>
    <row r="13" spans="1:19" hidden="1">
      <c r="A13">
        <v>147706</v>
      </c>
      <c r="B13">
        <v>3022010</v>
      </c>
      <c r="C13">
        <v>302</v>
      </c>
      <c r="D13" t="s">
        <v>431</v>
      </c>
      <c r="E13">
        <v>2010</v>
      </c>
      <c r="F13" t="s">
        <v>511</v>
      </c>
      <c r="G13" t="s">
        <v>420</v>
      </c>
      <c r="H13" t="s">
        <v>682</v>
      </c>
      <c r="I13">
        <v>411.5</v>
      </c>
      <c r="J13">
        <v>411.5</v>
      </c>
      <c r="K13">
        <v>133</v>
      </c>
      <c r="L13">
        <v>32.32</v>
      </c>
      <c r="M13">
        <v>196840</v>
      </c>
      <c r="N13">
        <v>0</v>
      </c>
      <c r="O13">
        <v>0</v>
      </c>
      <c r="P13">
        <v>0</v>
      </c>
      <c r="Q13">
        <v>0</v>
      </c>
      <c r="R13">
        <v>133</v>
      </c>
      <c r="S13">
        <v>196840</v>
      </c>
    </row>
    <row r="14" spans="1:19" hidden="1">
      <c r="A14">
        <v>101266</v>
      </c>
      <c r="B14">
        <v>3022011</v>
      </c>
      <c r="C14">
        <v>302</v>
      </c>
      <c r="D14" t="s">
        <v>431</v>
      </c>
      <c r="E14">
        <v>2011</v>
      </c>
      <c r="F14" t="s">
        <v>47</v>
      </c>
      <c r="G14" t="s">
        <v>680</v>
      </c>
      <c r="H14" t="s">
        <v>683</v>
      </c>
      <c r="I14">
        <v>205</v>
      </c>
      <c r="J14">
        <v>205</v>
      </c>
      <c r="K14">
        <v>39</v>
      </c>
      <c r="L14">
        <v>19.02</v>
      </c>
      <c r="M14">
        <v>57720</v>
      </c>
      <c r="N14">
        <v>0</v>
      </c>
      <c r="O14">
        <v>0</v>
      </c>
      <c r="P14">
        <v>0</v>
      </c>
      <c r="Q14">
        <v>0</v>
      </c>
      <c r="R14">
        <v>39</v>
      </c>
      <c r="S14">
        <v>57720</v>
      </c>
    </row>
    <row r="15" spans="1:19" hidden="1">
      <c r="A15">
        <v>101269</v>
      </c>
      <c r="B15">
        <v>3022014</v>
      </c>
      <c r="C15">
        <v>302</v>
      </c>
      <c r="D15" t="s">
        <v>431</v>
      </c>
      <c r="E15">
        <v>2014</v>
      </c>
      <c r="F15" t="s">
        <v>266</v>
      </c>
      <c r="G15" t="s">
        <v>680</v>
      </c>
      <c r="H15" t="s">
        <v>681</v>
      </c>
      <c r="I15">
        <v>627</v>
      </c>
      <c r="J15">
        <v>627</v>
      </c>
      <c r="K15">
        <v>176</v>
      </c>
      <c r="L15">
        <v>28.07</v>
      </c>
      <c r="M15">
        <v>260480</v>
      </c>
      <c r="N15">
        <v>0</v>
      </c>
      <c r="O15">
        <v>0</v>
      </c>
      <c r="P15">
        <v>0</v>
      </c>
      <c r="Q15">
        <v>0</v>
      </c>
      <c r="R15">
        <v>176</v>
      </c>
      <c r="S15">
        <v>260480</v>
      </c>
    </row>
    <row r="16" spans="1:19" hidden="1">
      <c r="A16">
        <v>101270</v>
      </c>
      <c r="B16">
        <v>3022015</v>
      </c>
      <c r="C16">
        <v>302</v>
      </c>
      <c r="D16" t="s">
        <v>431</v>
      </c>
      <c r="E16">
        <v>2015</v>
      </c>
      <c r="F16" t="s">
        <v>267</v>
      </c>
      <c r="G16" t="s">
        <v>680</v>
      </c>
      <c r="H16" t="s">
        <v>861</v>
      </c>
      <c r="I16">
        <v>193</v>
      </c>
      <c r="J16">
        <v>193</v>
      </c>
      <c r="K16">
        <v>69</v>
      </c>
      <c r="L16">
        <v>35.75</v>
      </c>
      <c r="M16">
        <v>102120</v>
      </c>
      <c r="N16">
        <v>0</v>
      </c>
      <c r="O16">
        <v>0</v>
      </c>
      <c r="P16">
        <v>0</v>
      </c>
      <c r="Q16">
        <v>0</v>
      </c>
      <c r="R16">
        <v>69</v>
      </c>
      <c r="S16">
        <v>102120</v>
      </c>
    </row>
    <row r="17" spans="1:19" hidden="1">
      <c r="A17">
        <v>101271</v>
      </c>
      <c r="B17">
        <v>3022016</v>
      </c>
      <c r="C17">
        <v>302</v>
      </c>
      <c r="D17" t="s">
        <v>431</v>
      </c>
      <c r="E17">
        <v>2016</v>
      </c>
      <c r="F17" t="s">
        <v>52</v>
      </c>
      <c r="G17" t="s">
        <v>680</v>
      </c>
      <c r="H17" t="s">
        <v>683</v>
      </c>
      <c r="I17">
        <v>211</v>
      </c>
      <c r="J17">
        <v>211</v>
      </c>
      <c r="K17">
        <v>27</v>
      </c>
      <c r="L17">
        <v>12.8</v>
      </c>
      <c r="M17">
        <v>39960</v>
      </c>
      <c r="N17">
        <v>0</v>
      </c>
      <c r="O17">
        <v>0</v>
      </c>
      <c r="P17">
        <v>0</v>
      </c>
      <c r="Q17">
        <v>0</v>
      </c>
      <c r="R17">
        <v>27</v>
      </c>
      <c r="S17">
        <v>39960</v>
      </c>
    </row>
    <row r="18" spans="1:19" hidden="1">
      <c r="A18">
        <v>101272</v>
      </c>
      <c r="B18">
        <v>3022017</v>
      </c>
      <c r="C18">
        <v>302</v>
      </c>
      <c r="D18" t="s">
        <v>431</v>
      </c>
      <c r="E18">
        <v>2017</v>
      </c>
      <c r="F18" t="s">
        <v>268</v>
      </c>
      <c r="G18" t="s">
        <v>680</v>
      </c>
      <c r="H18" t="s">
        <v>683</v>
      </c>
      <c r="I18">
        <v>415</v>
      </c>
      <c r="J18">
        <v>415</v>
      </c>
      <c r="K18">
        <v>78</v>
      </c>
      <c r="L18">
        <v>18.8</v>
      </c>
      <c r="M18">
        <v>115440</v>
      </c>
      <c r="N18">
        <v>0</v>
      </c>
      <c r="O18">
        <v>0</v>
      </c>
      <c r="P18">
        <v>0</v>
      </c>
      <c r="Q18">
        <v>0</v>
      </c>
      <c r="R18">
        <v>78</v>
      </c>
      <c r="S18">
        <v>115440</v>
      </c>
    </row>
    <row r="19" spans="1:19" hidden="1">
      <c r="A19">
        <v>139489</v>
      </c>
      <c r="B19">
        <v>3022018</v>
      </c>
      <c r="C19">
        <v>302</v>
      </c>
      <c r="D19" t="s">
        <v>431</v>
      </c>
      <c r="E19">
        <v>2018</v>
      </c>
      <c r="F19" t="s">
        <v>56</v>
      </c>
      <c r="G19" t="s">
        <v>420</v>
      </c>
      <c r="H19" t="s">
        <v>681</v>
      </c>
      <c r="I19">
        <v>293</v>
      </c>
      <c r="J19">
        <v>293</v>
      </c>
      <c r="K19">
        <v>102</v>
      </c>
      <c r="L19">
        <v>34.81</v>
      </c>
      <c r="M19">
        <v>150960</v>
      </c>
      <c r="N19">
        <v>0</v>
      </c>
      <c r="O19">
        <v>0</v>
      </c>
      <c r="P19">
        <v>0</v>
      </c>
      <c r="Q19">
        <v>0</v>
      </c>
      <c r="R19">
        <v>102</v>
      </c>
      <c r="S19">
        <v>150960</v>
      </c>
    </row>
    <row r="20" spans="1:19" hidden="1">
      <c r="A20">
        <v>101274</v>
      </c>
      <c r="B20">
        <v>3022019</v>
      </c>
      <c r="C20">
        <v>302</v>
      </c>
      <c r="D20" t="s">
        <v>431</v>
      </c>
      <c r="E20">
        <v>2019</v>
      </c>
      <c r="F20" t="s">
        <v>55</v>
      </c>
      <c r="G20" t="s">
        <v>680</v>
      </c>
      <c r="H20" t="s">
        <v>681</v>
      </c>
      <c r="I20">
        <v>169</v>
      </c>
      <c r="J20">
        <v>169</v>
      </c>
      <c r="K20">
        <v>40</v>
      </c>
      <c r="L20">
        <v>23.67</v>
      </c>
      <c r="M20">
        <v>59200</v>
      </c>
      <c r="N20">
        <v>0</v>
      </c>
      <c r="O20">
        <v>0</v>
      </c>
      <c r="P20">
        <v>0</v>
      </c>
      <c r="Q20">
        <v>0</v>
      </c>
      <c r="R20">
        <v>40</v>
      </c>
      <c r="S20">
        <v>59200</v>
      </c>
    </row>
    <row r="21" spans="1:19" hidden="1">
      <c r="A21">
        <v>139562</v>
      </c>
      <c r="B21">
        <v>3022020</v>
      </c>
      <c r="C21">
        <v>302</v>
      </c>
      <c r="D21" t="s">
        <v>431</v>
      </c>
      <c r="E21">
        <v>2020</v>
      </c>
      <c r="F21" t="s">
        <v>361</v>
      </c>
      <c r="G21" t="s">
        <v>420</v>
      </c>
      <c r="H21" t="s">
        <v>683</v>
      </c>
      <c r="I21">
        <v>193</v>
      </c>
      <c r="J21">
        <v>193</v>
      </c>
      <c r="K21">
        <v>9</v>
      </c>
      <c r="L21">
        <v>4.66</v>
      </c>
      <c r="M21">
        <v>13320</v>
      </c>
      <c r="N21">
        <v>0</v>
      </c>
      <c r="O21">
        <v>0</v>
      </c>
      <c r="P21">
        <v>0</v>
      </c>
      <c r="Q21">
        <v>0</v>
      </c>
      <c r="R21">
        <v>9</v>
      </c>
      <c r="S21">
        <v>13320</v>
      </c>
    </row>
    <row r="22" spans="1:19" hidden="1">
      <c r="A22">
        <v>150999</v>
      </c>
      <c r="B22">
        <v>3022021</v>
      </c>
      <c r="C22">
        <v>302</v>
      </c>
      <c r="D22" t="s">
        <v>431</v>
      </c>
      <c r="E22">
        <v>2021</v>
      </c>
      <c r="F22" t="s">
        <v>474</v>
      </c>
      <c r="G22" t="s">
        <v>420</v>
      </c>
      <c r="H22" t="s">
        <v>681</v>
      </c>
      <c r="I22">
        <v>372</v>
      </c>
      <c r="J22">
        <v>372</v>
      </c>
      <c r="K22">
        <v>117</v>
      </c>
      <c r="L22">
        <v>31.45</v>
      </c>
      <c r="M22">
        <v>173160</v>
      </c>
      <c r="N22">
        <v>0</v>
      </c>
      <c r="O22">
        <v>0</v>
      </c>
      <c r="P22">
        <v>0</v>
      </c>
      <c r="Q22">
        <v>0</v>
      </c>
      <c r="R22">
        <v>117</v>
      </c>
      <c r="S22">
        <v>173160</v>
      </c>
    </row>
    <row r="23" spans="1:19" hidden="1">
      <c r="A23">
        <v>101277</v>
      </c>
      <c r="B23">
        <v>3022023</v>
      </c>
      <c r="C23">
        <v>302</v>
      </c>
      <c r="D23" t="s">
        <v>431</v>
      </c>
      <c r="E23">
        <v>2023</v>
      </c>
      <c r="F23" t="s">
        <v>412</v>
      </c>
      <c r="G23" t="s">
        <v>680</v>
      </c>
      <c r="H23" t="s">
        <v>681</v>
      </c>
      <c r="I23">
        <v>411</v>
      </c>
      <c r="J23">
        <v>411</v>
      </c>
      <c r="K23">
        <v>147</v>
      </c>
      <c r="L23">
        <v>35.770000000000003</v>
      </c>
      <c r="M23">
        <v>217560</v>
      </c>
      <c r="N23">
        <v>0</v>
      </c>
      <c r="O23">
        <v>0</v>
      </c>
      <c r="P23">
        <v>0</v>
      </c>
      <c r="Q23">
        <v>0</v>
      </c>
      <c r="R23">
        <v>147</v>
      </c>
      <c r="S23">
        <v>217560</v>
      </c>
    </row>
    <row r="24" spans="1:19" hidden="1">
      <c r="A24">
        <v>101278</v>
      </c>
      <c r="B24">
        <v>3022024</v>
      </c>
      <c r="C24">
        <v>302</v>
      </c>
      <c r="D24" t="s">
        <v>431</v>
      </c>
      <c r="E24">
        <v>2024</v>
      </c>
      <c r="F24" t="s">
        <v>421</v>
      </c>
      <c r="G24" t="s">
        <v>680</v>
      </c>
      <c r="H24" t="s">
        <v>683</v>
      </c>
      <c r="I24">
        <v>206</v>
      </c>
      <c r="J24">
        <v>206</v>
      </c>
      <c r="K24">
        <v>78</v>
      </c>
      <c r="L24">
        <v>37.86</v>
      </c>
      <c r="M24">
        <v>115440</v>
      </c>
      <c r="N24">
        <v>0</v>
      </c>
      <c r="O24">
        <v>0</v>
      </c>
      <c r="P24">
        <v>0</v>
      </c>
      <c r="Q24">
        <v>0</v>
      </c>
      <c r="R24">
        <v>78</v>
      </c>
      <c r="S24">
        <v>115440</v>
      </c>
    </row>
    <row r="25" spans="1:19" hidden="1">
      <c r="A25">
        <v>101279</v>
      </c>
      <c r="B25">
        <v>3022025</v>
      </c>
      <c r="C25">
        <v>302</v>
      </c>
      <c r="D25" t="s">
        <v>431</v>
      </c>
      <c r="E25">
        <v>2025</v>
      </c>
      <c r="F25" t="s">
        <v>62</v>
      </c>
      <c r="G25" t="s">
        <v>680</v>
      </c>
      <c r="H25" t="s">
        <v>683</v>
      </c>
      <c r="I25">
        <v>313</v>
      </c>
      <c r="J25">
        <v>313</v>
      </c>
      <c r="K25">
        <v>6</v>
      </c>
      <c r="L25">
        <v>1.92</v>
      </c>
      <c r="M25">
        <v>8880</v>
      </c>
      <c r="N25">
        <v>0</v>
      </c>
      <c r="O25">
        <v>0</v>
      </c>
      <c r="P25">
        <v>0</v>
      </c>
      <c r="Q25">
        <v>0</v>
      </c>
      <c r="R25">
        <v>6</v>
      </c>
      <c r="S25">
        <v>8880</v>
      </c>
    </row>
    <row r="26" spans="1:19" hidden="1">
      <c r="A26">
        <v>101280</v>
      </c>
      <c r="B26">
        <v>3022026</v>
      </c>
      <c r="C26">
        <v>302</v>
      </c>
      <c r="D26" t="s">
        <v>431</v>
      </c>
      <c r="E26">
        <v>2026</v>
      </c>
      <c r="F26" t="s">
        <v>270</v>
      </c>
      <c r="G26" t="s">
        <v>680</v>
      </c>
      <c r="H26" t="s">
        <v>683</v>
      </c>
      <c r="I26">
        <v>440</v>
      </c>
      <c r="J26">
        <v>440</v>
      </c>
      <c r="K26">
        <v>65</v>
      </c>
      <c r="L26">
        <v>14.77</v>
      </c>
      <c r="M26">
        <v>96200</v>
      </c>
      <c r="N26">
        <v>0</v>
      </c>
      <c r="O26">
        <v>0</v>
      </c>
      <c r="P26">
        <v>0</v>
      </c>
      <c r="Q26">
        <v>0</v>
      </c>
      <c r="R26">
        <v>65</v>
      </c>
      <c r="S26">
        <v>96200</v>
      </c>
    </row>
    <row r="27" spans="1:19" hidden="1">
      <c r="A27">
        <v>101281</v>
      </c>
      <c r="B27">
        <v>3022027</v>
      </c>
      <c r="C27">
        <v>302</v>
      </c>
      <c r="D27" t="s">
        <v>431</v>
      </c>
      <c r="E27">
        <v>2027</v>
      </c>
      <c r="F27" t="s">
        <v>65</v>
      </c>
      <c r="G27" t="s">
        <v>680</v>
      </c>
      <c r="H27" t="s">
        <v>682</v>
      </c>
      <c r="I27">
        <v>329</v>
      </c>
      <c r="J27">
        <v>329</v>
      </c>
      <c r="K27">
        <v>85</v>
      </c>
      <c r="L27">
        <v>25.84</v>
      </c>
      <c r="M27">
        <v>125800</v>
      </c>
      <c r="N27">
        <v>0</v>
      </c>
      <c r="O27">
        <v>0</v>
      </c>
      <c r="P27">
        <v>0</v>
      </c>
      <c r="Q27">
        <v>0</v>
      </c>
      <c r="R27">
        <v>85</v>
      </c>
      <c r="S27">
        <v>125800</v>
      </c>
    </row>
    <row r="28" spans="1:19" hidden="1">
      <c r="A28">
        <v>101282</v>
      </c>
      <c r="B28">
        <v>3022028</v>
      </c>
      <c r="C28">
        <v>302</v>
      </c>
      <c r="D28" t="s">
        <v>431</v>
      </c>
      <c r="E28">
        <v>2028</v>
      </c>
      <c r="F28" t="s">
        <v>64</v>
      </c>
      <c r="G28" t="s">
        <v>680</v>
      </c>
      <c r="H28" t="s">
        <v>682</v>
      </c>
      <c r="I28">
        <v>219</v>
      </c>
      <c r="J28">
        <v>219</v>
      </c>
      <c r="K28">
        <v>55</v>
      </c>
      <c r="L28">
        <v>25.11</v>
      </c>
      <c r="M28">
        <v>81400</v>
      </c>
      <c r="N28">
        <v>0</v>
      </c>
      <c r="O28">
        <v>0</v>
      </c>
      <c r="P28">
        <v>0</v>
      </c>
      <c r="Q28">
        <v>0</v>
      </c>
      <c r="R28">
        <v>55</v>
      </c>
      <c r="S28">
        <v>81400</v>
      </c>
    </row>
    <row r="29" spans="1:19" hidden="1">
      <c r="A29">
        <v>101283</v>
      </c>
      <c r="B29">
        <v>3022029</v>
      </c>
      <c r="C29">
        <v>302</v>
      </c>
      <c r="D29" t="s">
        <v>431</v>
      </c>
      <c r="E29">
        <v>2029</v>
      </c>
      <c r="F29" t="s">
        <v>271</v>
      </c>
      <c r="G29" t="s">
        <v>680</v>
      </c>
      <c r="H29" t="s">
        <v>681</v>
      </c>
      <c r="I29">
        <v>421</v>
      </c>
      <c r="J29">
        <v>421</v>
      </c>
      <c r="K29">
        <v>168</v>
      </c>
      <c r="L29">
        <v>39.9</v>
      </c>
      <c r="M29">
        <v>248640</v>
      </c>
      <c r="N29">
        <v>0</v>
      </c>
      <c r="O29">
        <v>0</v>
      </c>
      <c r="P29">
        <v>0</v>
      </c>
      <c r="Q29">
        <v>0</v>
      </c>
      <c r="R29">
        <v>168</v>
      </c>
      <c r="S29">
        <v>248640</v>
      </c>
    </row>
    <row r="30" spans="1:19" hidden="1">
      <c r="A30">
        <v>101285</v>
      </c>
      <c r="B30">
        <v>3022031</v>
      </c>
      <c r="C30">
        <v>302</v>
      </c>
      <c r="D30" t="s">
        <v>431</v>
      </c>
      <c r="E30">
        <v>2031</v>
      </c>
      <c r="F30" t="s">
        <v>272</v>
      </c>
      <c r="G30" t="s">
        <v>680</v>
      </c>
      <c r="H30" t="s">
        <v>861</v>
      </c>
      <c r="I30">
        <v>190</v>
      </c>
      <c r="J30">
        <v>190</v>
      </c>
      <c r="K30">
        <v>81</v>
      </c>
      <c r="L30">
        <v>42.63</v>
      </c>
      <c r="M30">
        <v>119880</v>
      </c>
      <c r="N30">
        <v>0</v>
      </c>
      <c r="O30">
        <v>0</v>
      </c>
      <c r="P30">
        <v>0</v>
      </c>
      <c r="Q30">
        <v>0</v>
      </c>
      <c r="R30">
        <v>81</v>
      </c>
      <c r="S30">
        <v>119880</v>
      </c>
    </row>
    <row r="31" spans="1:19" hidden="1">
      <c r="A31">
        <v>101286</v>
      </c>
      <c r="B31">
        <v>3022032</v>
      </c>
      <c r="C31">
        <v>302</v>
      </c>
      <c r="D31" t="s">
        <v>431</v>
      </c>
      <c r="E31">
        <v>2032</v>
      </c>
      <c r="F31" t="s">
        <v>273</v>
      </c>
      <c r="G31" t="s">
        <v>680</v>
      </c>
      <c r="H31" t="s">
        <v>861</v>
      </c>
      <c r="I31">
        <v>432</v>
      </c>
      <c r="J31">
        <v>432</v>
      </c>
      <c r="K31">
        <v>90</v>
      </c>
      <c r="L31">
        <v>20.83</v>
      </c>
      <c r="M31">
        <v>133200</v>
      </c>
      <c r="N31">
        <v>0</v>
      </c>
      <c r="O31">
        <v>0</v>
      </c>
      <c r="P31">
        <v>0</v>
      </c>
      <c r="Q31">
        <v>0</v>
      </c>
      <c r="R31">
        <v>90</v>
      </c>
      <c r="S31">
        <v>133200</v>
      </c>
    </row>
    <row r="32" spans="1:19" hidden="1">
      <c r="A32">
        <v>101289</v>
      </c>
      <c r="B32">
        <v>3022036</v>
      </c>
      <c r="C32">
        <v>302</v>
      </c>
      <c r="D32" t="s">
        <v>431</v>
      </c>
      <c r="E32">
        <v>2036</v>
      </c>
      <c r="F32" t="s">
        <v>422</v>
      </c>
      <c r="G32" t="s">
        <v>680</v>
      </c>
      <c r="H32" t="s">
        <v>683</v>
      </c>
      <c r="I32">
        <v>208</v>
      </c>
      <c r="J32">
        <v>208</v>
      </c>
      <c r="K32">
        <v>65</v>
      </c>
      <c r="L32">
        <v>31.25</v>
      </c>
      <c r="M32">
        <v>96200</v>
      </c>
      <c r="N32">
        <v>0</v>
      </c>
      <c r="O32">
        <v>0</v>
      </c>
      <c r="P32">
        <v>0</v>
      </c>
      <c r="Q32">
        <v>0</v>
      </c>
      <c r="R32">
        <v>65</v>
      </c>
      <c r="S32">
        <v>96200</v>
      </c>
    </row>
    <row r="33" spans="1:19" hidden="1">
      <c r="A33">
        <v>101290</v>
      </c>
      <c r="B33">
        <v>3022037</v>
      </c>
      <c r="C33">
        <v>302</v>
      </c>
      <c r="D33" t="s">
        <v>431</v>
      </c>
      <c r="E33">
        <v>2037</v>
      </c>
      <c r="F33" t="s">
        <v>275</v>
      </c>
      <c r="G33" t="s">
        <v>680</v>
      </c>
      <c r="H33" t="s">
        <v>682</v>
      </c>
      <c r="I33">
        <v>210</v>
      </c>
      <c r="J33">
        <v>210</v>
      </c>
      <c r="K33">
        <v>35</v>
      </c>
      <c r="L33">
        <v>16.670000000000002</v>
      </c>
      <c r="M33">
        <v>51800</v>
      </c>
      <c r="N33">
        <v>0</v>
      </c>
      <c r="O33">
        <v>0</v>
      </c>
      <c r="P33">
        <v>0</v>
      </c>
      <c r="Q33">
        <v>0</v>
      </c>
      <c r="R33">
        <v>35</v>
      </c>
      <c r="S33">
        <v>51800</v>
      </c>
    </row>
    <row r="34" spans="1:19" hidden="1">
      <c r="A34">
        <v>139633</v>
      </c>
      <c r="B34">
        <v>3022038</v>
      </c>
      <c r="C34">
        <v>302</v>
      </c>
      <c r="D34" t="s">
        <v>431</v>
      </c>
      <c r="E34">
        <v>2038</v>
      </c>
      <c r="F34" t="s">
        <v>283</v>
      </c>
      <c r="G34" t="s">
        <v>420</v>
      </c>
      <c r="H34" t="s">
        <v>681</v>
      </c>
      <c r="I34">
        <v>402</v>
      </c>
      <c r="J34">
        <v>402</v>
      </c>
      <c r="K34">
        <v>88</v>
      </c>
      <c r="L34">
        <v>21.89</v>
      </c>
      <c r="M34">
        <v>130240</v>
      </c>
      <c r="N34">
        <v>0</v>
      </c>
      <c r="O34">
        <v>0</v>
      </c>
      <c r="P34">
        <v>0</v>
      </c>
      <c r="Q34">
        <v>0</v>
      </c>
      <c r="R34">
        <v>88</v>
      </c>
      <c r="S34">
        <v>130240</v>
      </c>
    </row>
    <row r="35" spans="1:19" hidden="1">
      <c r="A35">
        <v>146662</v>
      </c>
      <c r="B35">
        <v>3022041</v>
      </c>
      <c r="C35">
        <v>302</v>
      </c>
      <c r="D35" t="s">
        <v>431</v>
      </c>
      <c r="E35">
        <v>2041</v>
      </c>
      <c r="F35" t="s">
        <v>418</v>
      </c>
      <c r="G35" t="s">
        <v>420</v>
      </c>
      <c r="H35" t="s">
        <v>682</v>
      </c>
      <c r="I35">
        <v>204</v>
      </c>
      <c r="J35">
        <v>204</v>
      </c>
      <c r="K35">
        <v>3</v>
      </c>
      <c r="L35">
        <v>1.47</v>
      </c>
      <c r="M35">
        <v>4440</v>
      </c>
      <c r="N35">
        <v>0</v>
      </c>
      <c r="O35">
        <v>0</v>
      </c>
      <c r="P35">
        <v>0</v>
      </c>
      <c r="Q35">
        <v>0</v>
      </c>
      <c r="R35">
        <v>3</v>
      </c>
      <c r="S35">
        <v>4440</v>
      </c>
    </row>
    <row r="36" spans="1:19" hidden="1">
      <c r="A36">
        <v>101293</v>
      </c>
      <c r="B36">
        <v>3022042</v>
      </c>
      <c r="C36">
        <v>302</v>
      </c>
      <c r="D36" t="s">
        <v>431</v>
      </c>
      <c r="E36">
        <v>2042</v>
      </c>
      <c r="F36" t="s">
        <v>279</v>
      </c>
      <c r="G36" t="s">
        <v>680</v>
      </c>
      <c r="H36" t="s">
        <v>683</v>
      </c>
      <c r="I36">
        <v>419</v>
      </c>
      <c r="J36">
        <v>419</v>
      </c>
      <c r="K36">
        <v>20</v>
      </c>
      <c r="L36">
        <v>4.7699999999999996</v>
      </c>
      <c r="M36">
        <v>29600</v>
      </c>
      <c r="N36">
        <v>0</v>
      </c>
      <c r="O36">
        <v>0</v>
      </c>
      <c r="P36">
        <v>0</v>
      </c>
      <c r="Q36">
        <v>0</v>
      </c>
      <c r="R36">
        <v>20</v>
      </c>
      <c r="S36">
        <v>29600</v>
      </c>
    </row>
    <row r="37" spans="1:19" hidden="1">
      <c r="A37">
        <v>101294</v>
      </c>
      <c r="B37">
        <v>3022043</v>
      </c>
      <c r="C37">
        <v>302</v>
      </c>
      <c r="D37" t="s">
        <v>431</v>
      </c>
      <c r="E37">
        <v>2043</v>
      </c>
      <c r="F37" t="s">
        <v>81</v>
      </c>
      <c r="G37" t="s">
        <v>680</v>
      </c>
      <c r="H37" t="s">
        <v>682</v>
      </c>
      <c r="I37">
        <v>450</v>
      </c>
      <c r="J37">
        <v>450</v>
      </c>
      <c r="K37">
        <v>85</v>
      </c>
      <c r="L37">
        <v>18.89</v>
      </c>
      <c r="M37">
        <v>125800</v>
      </c>
      <c r="N37">
        <v>0</v>
      </c>
      <c r="O37">
        <v>0</v>
      </c>
      <c r="P37">
        <v>0</v>
      </c>
      <c r="Q37">
        <v>0</v>
      </c>
      <c r="R37">
        <v>85</v>
      </c>
      <c r="S37">
        <v>125800</v>
      </c>
    </row>
    <row r="38" spans="1:19" hidden="1">
      <c r="A38">
        <v>101295</v>
      </c>
      <c r="B38">
        <v>3022044</v>
      </c>
      <c r="C38">
        <v>302</v>
      </c>
      <c r="D38" t="s">
        <v>431</v>
      </c>
      <c r="E38">
        <v>2044</v>
      </c>
      <c r="F38" t="s">
        <v>80</v>
      </c>
      <c r="G38" t="s">
        <v>680</v>
      </c>
      <c r="H38" t="s">
        <v>682</v>
      </c>
      <c r="I38">
        <v>315</v>
      </c>
      <c r="J38">
        <v>315</v>
      </c>
      <c r="K38">
        <v>48</v>
      </c>
      <c r="L38">
        <v>15.24</v>
      </c>
      <c r="M38">
        <v>71040</v>
      </c>
      <c r="N38">
        <v>0</v>
      </c>
      <c r="O38">
        <v>0</v>
      </c>
      <c r="P38">
        <v>0</v>
      </c>
      <c r="Q38">
        <v>0</v>
      </c>
      <c r="R38">
        <v>48</v>
      </c>
      <c r="S38">
        <v>71040</v>
      </c>
    </row>
    <row r="39" spans="1:19" hidden="1">
      <c r="A39">
        <v>101296</v>
      </c>
      <c r="B39">
        <v>3022045</v>
      </c>
      <c r="C39">
        <v>302</v>
      </c>
      <c r="D39" t="s">
        <v>431</v>
      </c>
      <c r="E39">
        <v>2045</v>
      </c>
      <c r="F39" t="s">
        <v>280</v>
      </c>
      <c r="G39" t="s">
        <v>680</v>
      </c>
      <c r="H39" t="s">
        <v>682</v>
      </c>
      <c r="I39">
        <v>210</v>
      </c>
      <c r="J39">
        <v>210</v>
      </c>
      <c r="K39">
        <v>36</v>
      </c>
      <c r="L39">
        <v>17.14</v>
      </c>
      <c r="M39">
        <v>53280</v>
      </c>
      <c r="N39">
        <v>0</v>
      </c>
      <c r="O39">
        <v>0</v>
      </c>
      <c r="P39">
        <v>0</v>
      </c>
      <c r="Q39">
        <v>0</v>
      </c>
      <c r="R39">
        <v>36</v>
      </c>
      <c r="S39">
        <v>53280</v>
      </c>
    </row>
    <row r="40" spans="1:19" hidden="1">
      <c r="A40">
        <v>139817</v>
      </c>
      <c r="B40">
        <v>3022047</v>
      </c>
      <c r="C40">
        <v>302</v>
      </c>
      <c r="D40" t="s">
        <v>431</v>
      </c>
      <c r="E40">
        <v>2047</v>
      </c>
      <c r="F40" t="s">
        <v>292</v>
      </c>
      <c r="G40" t="s">
        <v>420</v>
      </c>
      <c r="H40" t="s">
        <v>681</v>
      </c>
      <c r="I40">
        <v>420</v>
      </c>
      <c r="J40">
        <v>420</v>
      </c>
      <c r="K40">
        <v>90</v>
      </c>
      <c r="L40">
        <v>21.43</v>
      </c>
      <c r="M40">
        <v>133200</v>
      </c>
      <c r="N40">
        <v>0</v>
      </c>
      <c r="O40">
        <v>0</v>
      </c>
      <c r="P40">
        <v>0</v>
      </c>
      <c r="Q40">
        <v>0</v>
      </c>
      <c r="R40">
        <v>90</v>
      </c>
      <c r="S40">
        <v>133200</v>
      </c>
    </row>
    <row r="41" spans="1:19" hidden="1">
      <c r="A41">
        <v>140601</v>
      </c>
      <c r="B41">
        <v>3022048</v>
      </c>
      <c r="C41">
        <v>302</v>
      </c>
      <c r="D41" t="s">
        <v>431</v>
      </c>
      <c r="E41">
        <v>2048</v>
      </c>
      <c r="F41" t="s">
        <v>406</v>
      </c>
      <c r="G41" t="s">
        <v>420</v>
      </c>
      <c r="H41" t="s">
        <v>683</v>
      </c>
      <c r="I41">
        <v>404</v>
      </c>
      <c r="J41">
        <v>404</v>
      </c>
      <c r="K41">
        <v>97</v>
      </c>
      <c r="L41">
        <v>24.01</v>
      </c>
      <c r="M41">
        <v>143560</v>
      </c>
      <c r="N41">
        <v>0</v>
      </c>
      <c r="O41">
        <v>0</v>
      </c>
      <c r="P41">
        <v>0</v>
      </c>
      <c r="Q41">
        <v>0</v>
      </c>
      <c r="R41">
        <v>97</v>
      </c>
      <c r="S41">
        <v>143560</v>
      </c>
    </row>
    <row r="42" spans="1:19" hidden="1">
      <c r="A42">
        <v>142114</v>
      </c>
      <c r="B42">
        <v>3022049</v>
      </c>
      <c r="C42">
        <v>302</v>
      </c>
      <c r="D42" t="s">
        <v>431</v>
      </c>
      <c r="E42">
        <v>2049</v>
      </c>
      <c r="F42" t="s">
        <v>437</v>
      </c>
      <c r="G42" t="s">
        <v>420</v>
      </c>
      <c r="H42" t="s">
        <v>681</v>
      </c>
      <c r="I42">
        <v>406</v>
      </c>
      <c r="J42">
        <v>406</v>
      </c>
      <c r="K42">
        <v>208</v>
      </c>
      <c r="L42">
        <v>51.23</v>
      </c>
      <c r="M42">
        <v>307840</v>
      </c>
      <c r="N42">
        <v>0</v>
      </c>
      <c r="O42">
        <v>0</v>
      </c>
      <c r="P42">
        <v>0</v>
      </c>
      <c r="Q42">
        <v>0</v>
      </c>
      <c r="R42">
        <v>208</v>
      </c>
      <c r="S42">
        <v>307840</v>
      </c>
    </row>
    <row r="43" spans="1:19" hidden="1">
      <c r="A43">
        <v>142772</v>
      </c>
      <c r="B43">
        <v>3022050</v>
      </c>
      <c r="C43">
        <v>302</v>
      </c>
      <c r="D43" t="s">
        <v>431</v>
      </c>
      <c r="E43">
        <v>2050</v>
      </c>
      <c r="F43" t="s">
        <v>438</v>
      </c>
      <c r="G43" t="s">
        <v>420</v>
      </c>
      <c r="H43" t="s">
        <v>683</v>
      </c>
      <c r="I43">
        <v>421</v>
      </c>
      <c r="J43">
        <v>421</v>
      </c>
      <c r="K43">
        <v>29</v>
      </c>
      <c r="L43">
        <v>6.89</v>
      </c>
      <c r="M43">
        <v>42920</v>
      </c>
      <c r="N43">
        <v>0</v>
      </c>
      <c r="O43">
        <v>0</v>
      </c>
      <c r="P43">
        <v>0</v>
      </c>
      <c r="Q43">
        <v>0</v>
      </c>
      <c r="R43">
        <v>29</v>
      </c>
      <c r="S43">
        <v>42920</v>
      </c>
    </row>
    <row r="44" spans="1:19" hidden="1">
      <c r="A44">
        <v>144653</v>
      </c>
      <c r="B44">
        <v>3022051</v>
      </c>
      <c r="C44">
        <v>302</v>
      </c>
      <c r="D44" t="s">
        <v>431</v>
      </c>
      <c r="E44">
        <v>2051</v>
      </c>
      <c r="F44" t="s">
        <v>450</v>
      </c>
      <c r="G44" t="s">
        <v>420</v>
      </c>
      <c r="H44" t="s">
        <v>682</v>
      </c>
      <c r="I44">
        <v>398</v>
      </c>
      <c r="J44">
        <v>398</v>
      </c>
      <c r="K44">
        <v>147</v>
      </c>
      <c r="L44">
        <v>36.93</v>
      </c>
      <c r="M44">
        <v>217560</v>
      </c>
      <c r="N44">
        <v>0</v>
      </c>
      <c r="O44">
        <v>0</v>
      </c>
      <c r="P44">
        <v>0</v>
      </c>
      <c r="Q44">
        <v>0</v>
      </c>
      <c r="R44">
        <v>147</v>
      </c>
      <c r="S44">
        <v>217560</v>
      </c>
    </row>
    <row r="45" spans="1:19" hidden="1">
      <c r="A45">
        <v>146803</v>
      </c>
      <c r="B45">
        <v>3022053</v>
      </c>
      <c r="C45">
        <v>302</v>
      </c>
      <c r="D45" t="s">
        <v>431</v>
      </c>
      <c r="E45">
        <v>2053</v>
      </c>
      <c r="F45" t="s">
        <v>519</v>
      </c>
      <c r="G45" t="s">
        <v>680</v>
      </c>
      <c r="H45" t="s">
        <v>681</v>
      </c>
      <c r="I45">
        <v>207</v>
      </c>
      <c r="J45">
        <v>207</v>
      </c>
      <c r="K45">
        <v>5</v>
      </c>
      <c r="L45">
        <v>2.42</v>
      </c>
      <c r="M45">
        <v>7400</v>
      </c>
      <c r="N45">
        <v>0</v>
      </c>
      <c r="O45">
        <v>0</v>
      </c>
      <c r="P45">
        <v>0</v>
      </c>
      <c r="Q45">
        <v>0</v>
      </c>
      <c r="R45">
        <v>5</v>
      </c>
      <c r="S45">
        <v>7400</v>
      </c>
    </row>
    <row r="46" spans="1:19" hidden="1">
      <c r="A46">
        <v>101298</v>
      </c>
      <c r="B46">
        <v>3022054</v>
      </c>
      <c r="C46">
        <v>302</v>
      </c>
      <c r="D46" t="s">
        <v>431</v>
      </c>
      <c r="E46">
        <v>2054</v>
      </c>
      <c r="F46" t="s">
        <v>298</v>
      </c>
      <c r="G46" t="s">
        <v>680</v>
      </c>
      <c r="H46" t="s">
        <v>683</v>
      </c>
      <c r="I46">
        <v>204</v>
      </c>
      <c r="J46">
        <v>204</v>
      </c>
      <c r="K46">
        <v>9</v>
      </c>
      <c r="L46">
        <v>4.41</v>
      </c>
      <c r="M46">
        <v>13320</v>
      </c>
      <c r="N46">
        <v>0</v>
      </c>
      <c r="O46">
        <v>0</v>
      </c>
      <c r="P46">
        <v>0</v>
      </c>
      <c r="Q46">
        <v>0</v>
      </c>
      <c r="R46">
        <v>9</v>
      </c>
      <c r="S46">
        <v>13320</v>
      </c>
    </row>
    <row r="47" spans="1:19" hidden="1">
      <c r="A47">
        <v>101299</v>
      </c>
      <c r="B47">
        <v>3022055</v>
      </c>
      <c r="C47">
        <v>302</v>
      </c>
      <c r="D47" t="s">
        <v>431</v>
      </c>
      <c r="E47">
        <v>2055</v>
      </c>
      <c r="F47" t="s">
        <v>295</v>
      </c>
      <c r="G47" t="s">
        <v>680</v>
      </c>
      <c r="H47" t="s">
        <v>682</v>
      </c>
      <c r="I47">
        <v>196</v>
      </c>
      <c r="J47">
        <v>196</v>
      </c>
      <c r="K47">
        <v>41</v>
      </c>
      <c r="L47">
        <v>20.92</v>
      </c>
      <c r="M47">
        <v>60680</v>
      </c>
      <c r="N47">
        <v>0</v>
      </c>
      <c r="O47">
        <v>0</v>
      </c>
      <c r="P47">
        <v>0</v>
      </c>
      <c r="Q47">
        <v>0</v>
      </c>
      <c r="R47">
        <v>41</v>
      </c>
      <c r="S47">
        <v>60680</v>
      </c>
    </row>
    <row r="48" spans="1:19" hidden="1">
      <c r="A48">
        <v>101301</v>
      </c>
      <c r="B48">
        <v>3022057</v>
      </c>
      <c r="C48">
        <v>302</v>
      </c>
      <c r="D48" t="s">
        <v>431</v>
      </c>
      <c r="E48">
        <v>2057</v>
      </c>
      <c r="F48" t="s">
        <v>433</v>
      </c>
      <c r="G48" t="s">
        <v>680</v>
      </c>
      <c r="H48" t="s">
        <v>683</v>
      </c>
      <c r="I48">
        <v>455</v>
      </c>
      <c r="J48">
        <v>455</v>
      </c>
      <c r="K48">
        <v>185</v>
      </c>
      <c r="L48">
        <v>40.659999999999997</v>
      </c>
      <c r="M48">
        <v>273800</v>
      </c>
      <c r="N48">
        <v>0</v>
      </c>
      <c r="O48">
        <v>0</v>
      </c>
      <c r="P48">
        <v>0</v>
      </c>
      <c r="Q48">
        <v>0</v>
      </c>
      <c r="R48">
        <v>185</v>
      </c>
      <c r="S48">
        <v>273800</v>
      </c>
    </row>
    <row r="49" spans="1:19" hidden="1">
      <c r="A49">
        <v>101304</v>
      </c>
      <c r="B49">
        <v>3022060</v>
      </c>
      <c r="C49">
        <v>302</v>
      </c>
      <c r="D49" t="s">
        <v>431</v>
      </c>
      <c r="E49">
        <v>2060</v>
      </c>
      <c r="F49" t="s">
        <v>297</v>
      </c>
      <c r="G49" t="s">
        <v>680</v>
      </c>
      <c r="H49" t="s">
        <v>683</v>
      </c>
      <c r="I49">
        <v>418</v>
      </c>
      <c r="J49">
        <v>418</v>
      </c>
      <c r="K49">
        <v>120</v>
      </c>
      <c r="L49">
        <v>28.71</v>
      </c>
      <c r="M49">
        <v>177600</v>
      </c>
      <c r="N49">
        <v>0</v>
      </c>
      <c r="O49">
        <v>0</v>
      </c>
      <c r="P49">
        <v>0</v>
      </c>
      <c r="Q49">
        <v>0</v>
      </c>
      <c r="R49">
        <v>120</v>
      </c>
      <c r="S49">
        <v>177600</v>
      </c>
    </row>
    <row r="50" spans="1:19" hidden="1">
      <c r="A50">
        <v>150355</v>
      </c>
      <c r="B50">
        <v>3022066</v>
      </c>
      <c r="C50">
        <v>302</v>
      </c>
      <c r="D50" t="s">
        <v>431</v>
      </c>
      <c r="E50">
        <v>2066</v>
      </c>
      <c r="F50" t="s">
        <v>862</v>
      </c>
      <c r="G50" t="s">
        <v>420</v>
      </c>
      <c r="H50" t="s">
        <v>681</v>
      </c>
      <c r="I50">
        <v>374</v>
      </c>
      <c r="J50">
        <v>374</v>
      </c>
      <c r="K50">
        <v>111</v>
      </c>
      <c r="L50">
        <v>29.68</v>
      </c>
      <c r="M50">
        <v>164280</v>
      </c>
      <c r="N50">
        <v>0</v>
      </c>
      <c r="O50">
        <v>0</v>
      </c>
      <c r="P50">
        <v>0</v>
      </c>
      <c r="Q50">
        <v>0</v>
      </c>
      <c r="R50">
        <v>111</v>
      </c>
      <c r="S50">
        <v>164280</v>
      </c>
    </row>
    <row r="51" spans="1:19" hidden="1">
      <c r="A51">
        <v>101309</v>
      </c>
      <c r="B51">
        <v>3022067</v>
      </c>
      <c r="C51">
        <v>302</v>
      </c>
      <c r="D51" t="s">
        <v>431</v>
      </c>
      <c r="E51">
        <v>2067</v>
      </c>
      <c r="F51" t="s">
        <v>263</v>
      </c>
      <c r="G51" t="s">
        <v>680</v>
      </c>
      <c r="H51" t="s">
        <v>682</v>
      </c>
      <c r="I51">
        <v>218</v>
      </c>
      <c r="J51">
        <v>218</v>
      </c>
      <c r="K51">
        <v>36</v>
      </c>
      <c r="L51">
        <v>16.510000000000002</v>
      </c>
      <c r="M51">
        <v>53280</v>
      </c>
      <c r="N51">
        <v>0</v>
      </c>
      <c r="O51">
        <v>0</v>
      </c>
      <c r="P51">
        <v>0</v>
      </c>
      <c r="Q51">
        <v>0</v>
      </c>
      <c r="R51">
        <v>36</v>
      </c>
      <c r="S51">
        <v>53280</v>
      </c>
    </row>
    <row r="52" spans="1:19" hidden="1">
      <c r="A52">
        <v>101311</v>
      </c>
      <c r="B52">
        <v>3022070</v>
      </c>
      <c r="C52">
        <v>302</v>
      </c>
      <c r="D52" t="s">
        <v>431</v>
      </c>
      <c r="E52">
        <v>2070</v>
      </c>
      <c r="F52" t="s">
        <v>290</v>
      </c>
      <c r="G52" t="s">
        <v>680</v>
      </c>
      <c r="H52" t="s">
        <v>681</v>
      </c>
      <c r="I52">
        <v>211</v>
      </c>
      <c r="J52">
        <v>211</v>
      </c>
      <c r="K52">
        <v>64</v>
      </c>
      <c r="L52">
        <v>30.33</v>
      </c>
      <c r="M52">
        <v>94720</v>
      </c>
      <c r="N52">
        <v>0</v>
      </c>
      <c r="O52">
        <v>0</v>
      </c>
      <c r="P52">
        <v>0</v>
      </c>
      <c r="Q52">
        <v>0</v>
      </c>
      <c r="R52">
        <v>64</v>
      </c>
      <c r="S52">
        <v>94720</v>
      </c>
    </row>
    <row r="53" spans="1:19">
      <c r="A53">
        <v>101312</v>
      </c>
      <c r="B53">
        <v>3022071</v>
      </c>
      <c r="C53">
        <v>302</v>
      </c>
      <c r="D53" t="s">
        <v>431</v>
      </c>
      <c r="E53">
        <v>2071</v>
      </c>
      <c r="F53" t="s">
        <v>423</v>
      </c>
      <c r="G53" t="s">
        <v>680</v>
      </c>
      <c r="H53" t="s">
        <v>683</v>
      </c>
      <c r="I53">
        <v>165</v>
      </c>
      <c r="J53">
        <v>165</v>
      </c>
      <c r="K53">
        <v>56</v>
      </c>
      <c r="L53">
        <v>33.94</v>
      </c>
      <c r="M53">
        <v>82880</v>
      </c>
      <c r="N53">
        <v>0</v>
      </c>
      <c r="O53">
        <v>0</v>
      </c>
      <c r="P53">
        <v>0</v>
      </c>
      <c r="Q53">
        <v>0</v>
      </c>
      <c r="R53">
        <v>56</v>
      </c>
      <c r="S53">
        <v>82880</v>
      </c>
    </row>
    <row r="54" spans="1:19">
      <c r="A54">
        <v>101313</v>
      </c>
      <c r="B54">
        <v>3022072</v>
      </c>
      <c r="C54">
        <v>302</v>
      </c>
      <c r="D54" t="s">
        <v>431</v>
      </c>
      <c r="E54">
        <v>2072</v>
      </c>
      <c r="F54" t="s">
        <v>88</v>
      </c>
      <c r="G54" t="s">
        <v>680</v>
      </c>
      <c r="H54" t="s">
        <v>683</v>
      </c>
      <c r="I54">
        <v>261</v>
      </c>
      <c r="J54">
        <v>261</v>
      </c>
      <c r="K54">
        <v>87</v>
      </c>
      <c r="L54">
        <v>33.33</v>
      </c>
      <c r="M54">
        <v>128760</v>
      </c>
      <c r="N54">
        <v>0</v>
      </c>
      <c r="O54">
        <v>0</v>
      </c>
      <c r="P54">
        <v>0</v>
      </c>
      <c r="Q54">
        <v>0</v>
      </c>
      <c r="R54">
        <v>87</v>
      </c>
      <c r="S54">
        <v>128760</v>
      </c>
    </row>
    <row r="55" spans="1:19" hidden="1">
      <c r="A55">
        <v>101314</v>
      </c>
      <c r="B55">
        <v>3022073</v>
      </c>
      <c r="C55">
        <v>302</v>
      </c>
      <c r="D55" t="s">
        <v>431</v>
      </c>
      <c r="E55">
        <v>2073</v>
      </c>
      <c r="F55" t="s">
        <v>269</v>
      </c>
      <c r="G55" t="s">
        <v>680</v>
      </c>
      <c r="H55" t="s">
        <v>683</v>
      </c>
      <c r="I55">
        <v>631</v>
      </c>
      <c r="J55">
        <v>631</v>
      </c>
      <c r="K55">
        <v>209</v>
      </c>
      <c r="L55">
        <v>33.119999999999997</v>
      </c>
      <c r="M55">
        <v>309320</v>
      </c>
      <c r="N55">
        <v>0</v>
      </c>
      <c r="O55">
        <v>0</v>
      </c>
      <c r="P55">
        <v>0</v>
      </c>
      <c r="Q55">
        <v>0</v>
      </c>
      <c r="R55">
        <v>209</v>
      </c>
      <c r="S55">
        <v>309320</v>
      </c>
    </row>
    <row r="56" spans="1:19" hidden="1">
      <c r="A56">
        <v>131617</v>
      </c>
      <c r="B56">
        <v>3022076</v>
      </c>
      <c r="C56">
        <v>302</v>
      </c>
      <c r="D56" t="s">
        <v>431</v>
      </c>
      <c r="E56">
        <v>2076</v>
      </c>
      <c r="F56" t="s">
        <v>296</v>
      </c>
      <c r="G56" t="s">
        <v>680</v>
      </c>
      <c r="H56" t="s">
        <v>682</v>
      </c>
      <c r="I56">
        <v>262</v>
      </c>
      <c r="J56">
        <v>262</v>
      </c>
      <c r="K56">
        <v>85</v>
      </c>
      <c r="L56">
        <v>32.44</v>
      </c>
      <c r="M56">
        <v>125800</v>
      </c>
      <c r="N56">
        <v>0</v>
      </c>
      <c r="O56">
        <v>0</v>
      </c>
      <c r="P56">
        <v>0</v>
      </c>
      <c r="Q56">
        <v>0</v>
      </c>
      <c r="R56">
        <v>85</v>
      </c>
      <c r="S56">
        <v>125800</v>
      </c>
    </row>
    <row r="57" spans="1:19" hidden="1">
      <c r="A57">
        <v>131970</v>
      </c>
      <c r="B57">
        <v>3022077</v>
      </c>
      <c r="C57">
        <v>302</v>
      </c>
      <c r="D57" t="s">
        <v>431</v>
      </c>
      <c r="E57">
        <v>2077</v>
      </c>
      <c r="F57" t="s">
        <v>293</v>
      </c>
      <c r="G57" t="s">
        <v>680</v>
      </c>
      <c r="H57" t="s">
        <v>681</v>
      </c>
      <c r="I57">
        <v>840</v>
      </c>
      <c r="J57">
        <v>840</v>
      </c>
      <c r="K57">
        <v>391</v>
      </c>
      <c r="L57">
        <v>46.55</v>
      </c>
      <c r="M57">
        <v>578680</v>
      </c>
      <c r="N57">
        <v>0</v>
      </c>
      <c r="O57">
        <v>0</v>
      </c>
      <c r="P57">
        <v>0</v>
      </c>
      <c r="Q57">
        <v>0</v>
      </c>
      <c r="R57">
        <v>391</v>
      </c>
      <c r="S57">
        <v>578680</v>
      </c>
    </row>
    <row r="58" spans="1:19" hidden="1">
      <c r="A58">
        <v>133364</v>
      </c>
      <c r="B58">
        <v>3022078</v>
      </c>
      <c r="C58">
        <v>302</v>
      </c>
      <c r="D58" t="s">
        <v>431</v>
      </c>
      <c r="E58">
        <v>2078</v>
      </c>
      <c r="F58" t="s">
        <v>282</v>
      </c>
      <c r="G58" t="s">
        <v>680</v>
      </c>
      <c r="H58" t="s">
        <v>682</v>
      </c>
      <c r="I58">
        <v>356</v>
      </c>
      <c r="J58">
        <v>356</v>
      </c>
      <c r="K58">
        <v>16</v>
      </c>
      <c r="L58">
        <v>4.49</v>
      </c>
      <c r="M58">
        <v>23680</v>
      </c>
      <c r="N58">
        <v>0</v>
      </c>
      <c r="O58">
        <v>0</v>
      </c>
      <c r="P58">
        <v>0</v>
      </c>
      <c r="Q58">
        <v>0</v>
      </c>
      <c r="R58">
        <v>16</v>
      </c>
      <c r="S58">
        <v>23680</v>
      </c>
    </row>
    <row r="59" spans="1:19" hidden="1">
      <c r="A59">
        <v>133365</v>
      </c>
      <c r="B59">
        <v>3022079</v>
      </c>
      <c r="C59">
        <v>302</v>
      </c>
      <c r="D59" t="s">
        <v>431</v>
      </c>
      <c r="E59">
        <v>2079</v>
      </c>
      <c r="F59" t="s">
        <v>259</v>
      </c>
      <c r="G59" t="s">
        <v>680</v>
      </c>
      <c r="H59" t="s">
        <v>863</v>
      </c>
      <c r="I59">
        <v>414</v>
      </c>
      <c r="J59">
        <v>414</v>
      </c>
      <c r="K59">
        <v>10</v>
      </c>
      <c r="L59">
        <v>2.42</v>
      </c>
      <c r="M59">
        <v>14800</v>
      </c>
      <c r="N59">
        <v>0</v>
      </c>
      <c r="O59">
        <v>0</v>
      </c>
      <c r="P59">
        <v>0</v>
      </c>
      <c r="Q59">
        <v>0</v>
      </c>
      <c r="R59">
        <v>10</v>
      </c>
      <c r="S59">
        <v>14800</v>
      </c>
    </row>
    <row r="60" spans="1:19" hidden="1">
      <c r="A60">
        <v>101315</v>
      </c>
      <c r="B60">
        <v>3023300</v>
      </c>
      <c r="C60">
        <v>302</v>
      </c>
      <c r="D60" t="s">
        <v>431</v>
      </c>
      <c r="E60">
        <v>3300</v>
      </c>
      <c r="F60" t="s">
        <v>424</v>
      </c>
      <c r="G60" t="s">
        <v>680</v>
      </c>
      <c r="H60" t="s">
        <v>682</v>
      </c>
      <c r="I60">
        <v>161</v>
      </c>
      <c r="J60">
        <v>161</v>
      </c>
      <c r="K60">
        <v>89</v>
      </c>
      <c r="L60">
        <v>55.28</v>
      </c>
      <c r="M60">
        <v>131720</v>
      </c>
      <c r="N60">
        <v>0</v>
      </c>
      <c r="O60">
        <v>0</v>
      </c>
      <c r="P60">
        <v>0</v>
      </c>
      <c r="Q60">
        <v>0</v>
      </c>
      <c r="R60">
        <v>89</v>
      </c>
      <c r="S60">
        <v>131720</v>
      </c>
    </row>
    <row r="61" spans="1:19" hidden="1">
      <c r="A61">
        <v>101316</v>
      </c>
      <c r="B61">
        <v>3023302</v>
      </c>
      <c r="C61">
        <v>302</v>
      </c>
      <c r="D61" t="s">
        <v>431</v>
      </c>
      <c r="E61">
        <v>3302</v>
      </c>
      <c r="F61" t="s">
        <v>264</v>
      </c>
      <c r="G61" t="s">
        <v>680</v>
      </c>
      <c r="H61" t="s">
        <v>683</v>
      </c>
      <c r="I61">
        <v>203</v>
      </c>
      <c r="J61">
        <v>203</v>
      </c>
      <c r="K61">
        <v>21</v>
      </c>
      <c r="L61">
        <v>10.34</v>
      </c>
      <c r="M61">
        <v>31080</v>
      </c>
      <c r="N61">
        <v>0</v>
      </c>
      <c r="O61">
        <v>0</v>
      </c>
      <c r="P61">
        <v>0</v>
      </c>
      <c r="Q61">
        <v>0</v>
      </c>
      <c r="R61">
        <v>21</v>
      </c>
      <c r="S61">
        <v>31080</v>
      </c>
    </row>
    <row r="62" spans="1:19" hidden="1">
      <c r="A62">
        <v>101317</v>
      </c>
      <c r="B62">
        <v>3023304</v>
      </c>
      <c r="C62">
        <v>302</v>
      </c>
      <c r="D62" t="s">
        <v>431</v>
      </c>
      <c r="E62">
        <v>3304</v>
      </c>
      <c r="F62" t="s">
        <v>274</v>
      </c>
      <c r="G62" t="s">
        <v>680</v>
      </c>
      <c r="H62" t="s">
        <v>682</v>
      </c>
      <c r="I62">
        <v>202</v>
      </c>
      <c r="J62">
        <v>202</v>
      </c>
      <c r="K62">
        <v>46</v>
      </c>
      <c r="L62">
        <v>22.77</v>
      </c>
      <c r="M62">
        <v>68080</v>
      </c>
      <c r="N62">
        <v>0</v>
      </c>
      <c r="O62">
        <v>0</v>
      </c>
      <c r="P62">
        <v>0</v>
      </c>
      <c r="Q62">
        <v>0</v>
      </c>
      <c r="R62">
        <v>46</v>
      </c>
      <c r="S62">
        <v>68080</v>
      </c>
    </row>
    <row r="63" spans="1:19" hidden="1">
      <c r="A63">
        <v>101318</v>
      </c>
      <c r="B63">
        <v>3023305</v>
      </c>
      <c r="C63">
        <v>302</v>
      </c>
      <c r="D63" t="s">
        <v>431</v>
      </c>
      <c r="E63">
        <v>3305</v>
      </c>
      <c r="F63" t="s">
        <v>278</v>
      </c>
      <c r="G63" t="s">
        <v>680</v>
      </c>
      <c r="H63" t="s">
        <v>683</v>
      </c>
      <c r="I63">
        <v>149</v>
      </c>
      <c r="J63">
        <v>149</v>
      </c>
      <c r="K63">
        <v>24</v>
      </c>
      <c r="L63">
        <v>16.11</v>
      </c>
      <c r="M63">
        <v>35520</v>
      </c>
      <c r="N63">
        <v>0</v>
      </c>
      <c r="O63">
        <v>0</v>
      </c>
      <c r="P63">
        <v>0</v>
      </c>
      <c r="Q63">
        <v>0</v>
      </c>
      <c r="R63">
        <v>24</v>
      </c>
      <c r="S63">
        <v>35520</v>
      </c>
    </row>
    <row r="64" spans="1:19" hidden="1">
      <c r="A64">
        <v>101319</v>
      </c>
      <c r="B64">
        <v>3023307</v>
      </c>
      <c r="C64">
        <v>302</v>
      </c>
      <c r="D64" t="s">
        <v>431</v>
      </c>
      <c r="E64">
        <v>3307</v>
      </c>
      <c r="F64" t="s">
        <v>425</v>
      </c>
      <c r="G64" t="s">
        <v>680</v>
      </c>
      <c r="H64" t="s">
        <v>861</v>
      </c>
      <c r="I64">
        <v>211</v>
      </c>
      <c r="J64">
        <v>211</v>
      </c>
      <c r="K64">
        <v>28</v>
      </c>
      <c r="L64">
        <v>13.27</v>
      </c>
      <c r="M64">
        <v>41440</v>
      </c>
      <c r="N64">
        <v>0</v>
      </c>
      <c r="O64">
        <v>0</v>
      </c>
      <c r="P64">
        <v>0</v>
      </c>
      <c r="Q64">
        <v>0</v>
      </c>
      <c r="R64">
        <v>28</v>
      </c>
      <c r="S64">
        <v>41440</v>
      </c>
    </row>
    <row r="65" spans="1:19" hidden="1">
      <c r="A65">
        <v>101321</v>
      </c>
      <c r="B65">
        <v>3023309</v>
      </c>
      <c r="C65">
        <v>302</v>
      </c>
      <c r="D65" t="s">
        <v>431</v>
      </c>
      <c r="E65">
        <v>3309</v>
      </c>
      <c r="F65" t="s">
        <v>634</v>
      </c>
      <c r="G65" t="s">
        <v>680</v>
      </c>
      <c r="H65" t="s">
        <v>683</v>
      </c>
      <c r="I65">
        <v>206</v>
      </c>
      <c r="J65">
        <v>206</v>
      </c>
      <c r="K65">
        <v>22</v>
      </c>
      <c r="L65">
        <v>10.68</v>
      </c>
      <c r="M65">
        <v>32560</v>
      </c>
      <c r="N65">
        <v>0</v>
      </c>
      <c r="O65">
        <v>0</v>
      </c>
      <c r="P65">
        <v>0</v>
      </c>
      <c r="Q65">
        <v>0</v>
      </c>
      <c r="R65">
        <v>22</v>
      </c>
      <c r="S65">
        <v>32560</v>
      </c>
    </row>
    <row r="66" spans="1:19" hidden="1">
      <c r="A66">
        <v>101323</v>
      </c>
      <c r="B66">
        <v>3023311</v>
      </c>
      <c r="C66">
        <v>302</v>
      </c>
      <c r="D66" t="s">
        <v>431</v>
      </c>
      <c r="E66">
        <v>3311</v>
      </c>
      <c r="F66" t="s">
        <v>427</v>
      </c>
      <c r="G66" t="s">
        <v>680</v>
      </c>
      <c r="H66" t="s">
        <v>682</v>
      </c>
      <c r="I66">
        <v>410</v>
      </c>
      <c r="J66">
        <v>410</v>
      </c>
      <c r="K66">
        <v>59</v>
      </c>
      <c r="L66">
        <v>14.39</v>
      </c>
      <c r="M66">
        <v>87320</v>
      </c>
      <c r="N66">
        <v>0</v>
      </c>
      <c r="O66">
        <v>0</v>
      </c>
      <c r="P66">
        <v>0</v>
      </c>
      <c r="Q66">
        <v>0</v>
      </c>
      <c r="R66">
        <v>59</v>
      </c>
      <c r="S66">
        <v>87320</v>
      </c>
    </row>
    <row r="67" spans="1:19" hidden="1">
      <c r="A67">
        <v>101324</v>
      </c>
      <c r="B67">
        <v>3023312</v>
      </c>
      <c r="C67">
        <v>302</v>
      </c>
      <c r="D67" t="s">
        <v>431</v>
      </c>
      <c r="E67">
        <v>3312</v>
      </c>
      <c r="F67" t="s">
        <v>288</v>
      </c>
      <c r="G67" t="s">
        <v>680</v>
      </c>
      <c r="H67" t="s">
        <v>683</v>
      </c>
      <c r="I67">
        <v>209</v>
      </c>
      <c r="J67">
        <v>209</v>
      </c>
      <c r="K67">
        <v>24</v>
      </c>
      <c r="L67">
        <v>11.48</v>
      </c>
      <c r="M67">
        <v>35520</v>
      </c>
      <c r="N67">
        <v>0</v>
      </c>
      <c r="O67">
        <v>0</v>
      </c>
      <c r="P67">
        <v>0</v>
      </c>
      <c r="Q67">
        <v>0</v>
      </c>
      <c r="R67">
        <v>24</v>
      </c>
      <c r="S67">
        <v>35520</v>
      </c>
    </row>
    <row r="68" spans="1:19" hidden="1">
      <c r="A68">
        <v>101325</v>
      </c>
      <c r="B68">
        <v>3023313</v>
      </c>
      <c r="C68">
        <v>302</v>
      </c>
      <c r="D68" t="s">
        <v>431</v>
      </c>
      <c r="E68">
        <v>3313</v>
      </c>
      <c r="F68" t="s">
        <v>289</v>
      </c>
      <c r="G68" t="s">
        <v>680</v>
      </c>
      <c r="H68" t="s">
        <v>683</v>
      </c>
      <c r="I68">
        <v>193</v>
      </c>
      <c r="J68">
        <v>193</v>
      </c>
      <c r="K68">
        <v>49</v>
      </c>
      <c r="L68">
        <v>25.39</v>
      </c>
      <c r="M68">
        <v>72520</v>
      </c>
      <c r="N68">
        <v>0</v>
      </c>
      <c r="O68">
        <v>0</v>
      </c>
      <c r="P68">
        <v>0</v>
      </c>
      <c r="Q68">
        <v>0</v>
      </c>
      <c r="R68">
        <v>49</v>
      </c>
      <c r="S68">
        <v>72520</v>
      </c>
    </row>
    <row r="69" spans="1:19" hidden="1">
      <c r="A69">
        <v>101326</v>
      </c>
      <c r="B69">
        <v>3023314</v>
      </c>
      <c r="C69">
        <v>302</v>
      </c>
      <c r="D69" t="s">
        <v>431</v>
      </c>
      <c r="E69">
        <v>3314</v>
      </c>
      <c r="F69" t="s">
        <v>338</v>
      </c>
      <c r="G69" t="s">
        <v>680</v>
      </c>
      <c r="H69" t="s">
        <v>681</v>
      </c>
      <c r="I69">
        <v>206</v>
      </c>
      <c r="J69">
        <v>206</v>
      </c>
      <c r="K69">
        <v>42</v>
      </c>
      <c r="L69">
        <v>20.39</v>
      </c>
      <c r="M69">
        <v>62160</v>
      </c>
      <c r="N69">
        <v>0</v>
      </c>
      <c r="O69">
        <v>0</v>
      </c>
      <c r="P69">
        <v>0</v>
      </c>
      <c r="Q69">
        <v>0</v>
      </c>
      <c r="R69">
        <v>42</v>
      </c>
      <c r="S69">
        <v>62160</v>
      </c>
    </row>
    <row r="70" spans="1:19" hidden="1">
      <c r="A70">
        <v>101327</v>
      </c>
      <c r="B70">
        <v>3023315</v>
      </c>
      <c r="C70">
        <v>302</v>
      </c>
      <c r="D70" t="s">
        <v>431</v>
      </c>
      <c r="E70">
        <v>3315</v>
      </c>
      <c r="F70" t="s">
        <v>428</v>
      </c>
      <c r="G70" t="s">
        <v>680</v>
      </c>
      <c r="H70" t="s">
        <v>683</v>
      </c>
      <c r="I70">
        <v>202</v>
      </c>
      <c r="J70">
        <v>202</v>
      </c>
      <c r="K70">
        <v>10</v>
      </c>
      <c r="L70">
        <v>4.95</v>
      </c>
      <c r="M70">
        <v>14800</v>
      </c>
      <c r="N70">
        <v>0</v>
      </c>
      <c r="O70">
        <v>0</v>
      </c>
      <c r="P70">
        <v>0</v>
      </c>
      <c r="Q70">
        <v>0</v>
      </c>
      <c r="R70">
        <v>10</v>
      </c>
      <c r="S70">
        <v>14800</v>
      </c>
    </row>
    <row r="71" spans="1:19" hidden="1">
      <c r="A71">
        <v>101328</v>
      </c>
      <c r="B71">
        <v>3023316</v>
      </c>
      <c r="C71">
        <v>302</v>
      </c>
      <c r="D71" t="s">
        <v>431</v>
      </c>
      <c r="E71">
        <v>3316</v>
      </c>
      <c r="F71" t="s">
        <v>294</v>
      </c>
      <c r="G71" t="s">
        <v>680</v>
      </c>
      <c r="H71" t="s">
        <v>683</v>
      </c>
      <c r="I71">
        <v>208</v>
      </c>
      <c r="J71">
        <v>208</v>
      </c>
      <c r="K71">
        <v>19</v>
      </c>
      <c r="L71">
        <v>9.1300000000000008</v>
      </c>
      <c r="M71">
        <v>28120</v>
      </c>
      <c r="N71">
        <v>0</v>
      </c>
      <c r="O71">
        <v>0</v>
      </c>
      <c r="P71">
        <v>0</v>
      </c>
      <c r="Q71">
        <v>0</v>
      </c>
      <c r="R71">
        <v>19</v>
      </c>
      <c r="S71">
        <v>28120</v>
      </c>
    </row>
    <row r="72" spans="1:19" hidden="1">
      <c r="A72">
        <v>101329</v>
      </c>
      <c r="B72">
        <v>3023317</v>
      </c>
      <c r="C72">
        <v>302</v>
      </c>
      <c r="D72" t="s">
        <v>431</v>
      </c>
      <c r="E72">
        <v>3317</v>
      </c>
      <c r="F72" t="s">
        <v>257</v>
      </c>
      <c r="G72" t="s">
        <v>680</v>
      </c>
      <c r="H72" t="s">
        <v>683</v>
      </c>
      <c r="I72">
        <v>206</v>
      </c>
      <c r="J72">
        <v>206</v>
      </c>
      <c r="K72">
        <v>50</v>
      </c>
      <c r="L72">
        <v>24.27</v>
      </c>
      <c r="M72">
        <v>74000</v>
      </c>
      <c r="N72">
        <v>0</v>
      </c>
      <c r="O72">
        <v>0</v>
      </c>
      <c r="P72">
        <v>0</v>
      </c>
      <c r="Q72">
        <v>0</v>
      </c>
      <c r="R72">
        <v>50</v>
      </c>
      <c r="S72">
        <v>74000</v>
      </c>
    </row>
    <row r="73" spans="1:19" hidden="1">
      <c r="A73">
        <v>101330</v>
      </c>
      <c r="B73">
        <v>3023500</v>
      </c>
      <c r="C73">
        <v>302</v>
      </c>
      <c r="D73" t="s">
        <v>431</v>
      </c>
      <c r="E73">
        <v>3500</v>
      </c>
      <c r="F73" t="s">
        <v>382</v>
      </c>
      <c r="G73" t="s">
        <v>680</v>
      </c>
      <c r="H73" t="s">
        <v>681</v>
      </c>
      <c r="I73">
        <v>162</v>
      </c>
      <c r="J73">
        <v>162</v>
      </c>
      <c r="K73">
        <v>38</v>
      </c>
      <c r="L73">
        <v>23.46</v>
      </c>
      <c r="M73">
        <v>56240</v>
      </c>
      <c r="N73">
        <v>0</v>
      </c>
      <c r="O73">
        <v>0</v>
      </c>
      <c r="P73">
        <v>0</v>
      </c>
      <c r="Q73">
        <v>0</v>
      </c>
      <c r="R73">
        <v>38</v>
      </c>
      <c r="S73">
        <v>56240</v>
      </c>
    </row>
    <row r="74" spans="1:19" hidden="1">
      <c r="A74">
        <v>101331</v>
      </c>
      <c r="B74">
        <v>3023501</v>
      </c>
      <c r="C74">
        <v>302</v>
      </c>
      <c r="D74" t="s">
        <v>431</v>
      </c>
      <c r="E74">
        <v>3501</v>
      </c>
      <c r="F74" t="s">
        <v>85</v>
      </c>
      <c r="G74" t="s">
        <v>680</v>
      </c>
      <c r="H74" t="s">
        <v>682</v>
      </c>
      <c r="I74">
        <v>199</v>
      </c>
      <c r="J74">
        <v>199</v>
      </c>
      <c r="K74">
        <v>38</v>
      </c>
      <c r="L74">
        <v>19.100000000000001</v>
      </c>
      <c r="M74">
        <v>56240</v>
      </c>
      <c r="N74">
        <v>0</v>
      </c>
      <c r="O74">
        <v>0</v>
      </c>
      <c r="P74">
        <v>0</v>
      </c>
      <c r="Q74">
        <v>0</v>
      </c>
      <c r="R74">
        <v>38</v>
      </c>
      <c r="S74">
        <v>56240</v>
      </c>
    </row>
    <row r="75" spans="1:19" hidden="1">
      <c r="A75">
        <v>101332</v>
      </c>
      <c r="B75">
        <v>3023502</v>
      </c>
      <c r="C75">
        <v>302</v>
      </c>
      <c r="D75" t="s">
        <v>431</v>
      </c>
      <c r="E75">
        <v>3502</v>
      </c>
      <c r="F75" t="s">
        <v>633</v>
      </c>
      <c r="G75" t="s">
        <v>680</v>
      </c>
      <c r="H75" t="s">
        <v>682</v>
      </c>
      <c r="I75">
        <v>403</v>
      </c>
      <c r="J75">
        <v>403</v>
      </c>
      <c r="K75">
        <v>102</v>
      </c>
      <c r="L75">
        <v>25.31</v>
      </c>
      <c r="M75">
        <v>150960</v>
      </c>
      <c r="N75">
        <v>0</v>
      </c>
      <c r="O75">
        <v>0</v>
      </c>
      <c r="P75">
        <v>0</v>
      </c>
      <c r="Q75">
        <v>0</v>
      </c>
      <c r="R75">
        <v>102</v>
      </c>
      <c r="S75">
        <v>150960</v>
      </c>
    </row>
    <row r="76" spans="1:19" hidden="1">
      <c r="A76">
        <v>101333</v>
      </c>
      <c r="B76">
        <v>3023504</v>
      </c>
      <c r="C76">
        <v>302</v>
      </c>
      <c r="D76" t="s">
        <v>431</v>
      </c>
      <c r="E76">
        <v>3504</v>
      </c>
      <c r="F76" t="s">
        <v>287</v>
      </c>
      <c r="G76" t="s">
        <v>680</v>
      </c>
      <c r="H76" t="s">
        <v>683</v>
      </c>
      <c r="I76">
        <v>421</v>
      </c>
      <c r="J76">
        <v>421</v>
      </c>
      <c r="K76">
        <v>27</v>
      </c>
      <c r="L76">
        <v>6.41</v>
      </c>
      <c r="M76">
        <v>39960</v>
      </c>
      <c r="N76">
        <v>0</v>
      </c>
      <c r="O76">
        <v>0</v>
      </c>
      <c r="P76">
        <v>0</v>
      </c>
      <c r="Q76">
        <v>0</v>
      </c>
      <c r="R76">
        <v>27</v>
      </c>
      <c r="S76">
        <v>39960</v>
      </c>
    </row>
    <row r="77" spans="1:19" hidden="1">
      <c r="A77">
        <v>101334</v>
      </c>
      <c r="B77">
        <v>3023506</v>
      </c>
      <c r="C77">
        <v>302</v>
      </c>
      <c r="D77" t="s">
        <v>431</v>
      </c>
      <c r="E77">
        <v>3506</v>
      </c>
      <c r="F77" t="s">
        <v>386</v>
      </c>
      <c r="G77" t="s">
        <v>680</v>
      </c>
      <c r="H77" t="s">
        <v>681</v>
      </c>
      <c r="I77">
        <v>281</v>
      </c>
      <c r="J77">
        <v>281</v>
      </c>
      <c r="K77">
        <v>26</v>
      </c>
      <c r="L77">
        <v>9.25</v>
      </c>
      <c r="M77">
        <v>38480</v>
      </c>
      <c r="N77">
        <v>0</v>
      </c>
      <c r="O77">
        <v>0</v>
      </c>
      <c r="P77">
        <v>0</v>
      </c>
      <c r="Q77">
        <v>0</v>
      </c>
      <c r="R77">
        <v>26</v>
      </c>
      <c r="S77">
        <v>38480</v>
      </c>
    </row>
    <row r="78" spans="1:19" hidden="1">
      <c r="A78">
        <v>101335</v>
      </c>
      <c r="B78">
        <v>3023507</v>
      </c>
      <c r="C78">
        <v>302</v>
      </c>
      <c r="D78" t="s">
        <v>431</v>
      </c>
      <c r="E78">
        <v>3507</v>
      </c>
      <c r="F78" t="s">
        <v>429</v>
      </c>
      <c r="G78" t="s">
        <v>680</v>
      </c>
      <c r="H78" t="s">
        <v>682</v>
      </c>
      <c r="I78">
        <v>160</v>
      </c>
      <c r="J78">
        <v>160</v>
      </c>
      <c r="K78">
        <v>33</v>
      </c>
      <c r="L78">
        <v>20.63</v>
      </c>
      <c r="M78">
        <v>48840</v>
      </c>
      <c r="N78">
        <v>0</v>
      </c>
      <c r="O78">
        <v>0</v>
      </c>
      <c r="P78">
        <v>0</v>
      </c>
      <c r="Q78">
        <v>0</v>
      </c>
      <c r="R78">
        <v>33</v>
      </c>
      <c r="S78">
        <v>48840</v>
      </c>
    </row>
    <row r="79" spans="1:19" hidden="1">
      <c r="A79">
        <v>101337</v>
      </c>
      <c r="B79">
        <v>3023509</v>
      </c>
      <c r="C79">
        <v>302</v>
      </c>
      <c r="D79" t="s">
        <v>431</v>
      </c>
      <c r="E79">
        <v>3509</v>
      </c>
      <c r="F79" t="s">
        <v>414</v>
      </c>
      <c r="G79" t="s">
        <v>680</v>
      </c>
      <c r="H79" t="s">
        <v>681</v>
      </c>
      <c r="I79">
        <v>443</v>
      </c>
      <c r="J79">
        <v>443</v>
      </c>
      <c r="K79">
        <v>104</v>
      </c>
      <c r="L79">
        <v>23.48</v>
      </c>
      <c r="M79">
        <v>153920</v>
      </c>
      <c r="N79">
        <v>0</v>
      </c>
      <c r="O79">
        <v>0</v>
      </c>
      <c r="P79">
        <v>0</v>
      </c>
      <c r="Q79">
        <v>0</v>
      </c>
      <c r="R79">
        <v>104</v>
      </c>
      <c r="S79">
        <v>153920</v>
      </c>
    </row>
    <row r="80" spans="1:19" hidden="1">
      <c r="A80">
        <v>101338</v>
      </c>
      <c r="B80">
        <v>3023510</v>
      </c>
      <c r="C80">
        <v>302</v>
      </c>
      <c r="D80" t="s">
        <v>431</v>
      </c>
      <c r="E80">
        <v>3510</v>
      </c>
      <c r="F80" t="s">
        <v>285</v>
      </c>
      <c r="G80" t="s">
        <v>680</v>
      </c>
      <c r="H80" t="s">
        <v>683</v>
      </c>
      <c r="I80">
        <v>407</v>
      </c>
      <c r="J80">
        <v>407</v>
      </c>
      <c r="K80">
        <v>54</v>
      </c>
      <c r="L80">
        <v>13.27</v>
      </c>
      <c r="M80">
        <v>79920</v>
      </c>
      <c r="N80">
        <v>0</v>
      </c>
      <c r="O80">
        <v>0</v>
      </c>
      <c r="P80">
        <v>0</v>
      </c>
      <c r="Q80">
        <v>0</v>
      </c>
      <c r="R80">
        <v>54</v>
      </c>
      <c r="S80">
        <v>79920</v>
      </c>
    </row>
    <row r="81" spans="1:19" hidden="1">
      <c r="A81">
        <v>101339</v>
      </c>
      <c r="B81">
        <v>3023511</v>
      </c>
      <c r="C81">
        <v>302</v>
      </c>
      <c r="D81" t="s">
        <v>431</v>
      </c>
      <c r="E81">
        <v>3511</v>
      </c>
      <c r="F81" t="s">
        <v>439</v>
      </c>
      <c r="G81" t="s">
        <v>680</v>
      </c>
      <c r="H81" t="s">
        <v>681</v>
      </c>
      <c r="I81">
        <v>414</v>
      </c>
      <c r="J81">
        <v>414</v>
      </c>
      <c r="K81">
        <v>79</v>
      </c>
      <c r="L81">
        <v>19.079999999999998</v>
      </c>
      <c r="M81">
        <v>116920</v>
      </c>
      <c r="N81">
        <v>0</v>
      </c>
      <c r="O81">
        <v>0</v>
      </c>
      <c r="P81">
        <v>0</v>
      </c>
      <c r="Q81">
        <v>0</v>
      </c>
      <c r="R81">
        <v>79</v>
      </c>
      <c r="S81">
        <v>116920</v>
      </c>
    </row>
    <row r="82" spans="1:19" hidden="1">
      <c r="A82">
        <v>101340</v>
      </c>
      <c r="B82">
        <v>3023512</v>
      </c>
      <c r="C82">
        <v>302</v>
      </c>
      <c r="D82" t="s">
        <v>431</v>
      </c>
      <c r="E82">
        <v>3512</v>
      </c>
      <c r="F82" t="s">
        <v>284</v>
      </c>
      <c r="G82" t="s">
        <v>680</v>
      </c>
      <c r="H82" t="s">
        <v>683</v>
      </c>
      <c r="I82">
        <v>360</v>
      </c>
      <c r="J82">
        <v>360</v>
      </c>
      <c r="K82">
        <v>5</v>
      </c>
      <c r="L82">
        <v>1.39</v>
      </c>
      <c r="M82">
        <v>7400</v>
      </c>
      <c r="N82">
        <v>0</v>
      </c>
      <c r="O82">
        <v>0</v>
      </c>
      <c r="P82">
        <v>0</v>
      </c>
      <c r="Q82">
        <v>0</v>
      </c>
      <c r="R82">
        <v>5</v>
      </c>
      <c r="S82">
        <v>7400</v>
      </c>
    </row>
    <row r="83" spans="1:19" hidden="1">
      <c r="A83">
        <v>101341</v>
      </c>
      <c r="B83">
        <v>3023513</v>
      </c>
      <c r="C83">
        <v>302</v>
      </c>
      <c r="D83" t="s">
        <v>431</v>
      </c>
      <c r="E83">
        <v>3513</v>
      </c>
      <c r="F83" t="s">
        <v>733</v>
      </c>
      <c r="G83" t="s">
        <v>680</v>
      </c>
      <c r="H83" t="s">
        <v>682</v>
      </c>
      <c r="I83">
        <v>377</v>
      </c>
      <c r="J83">
        <v>377</v>
      </c>
      <c r="K83">
        <v>7</v>
      </c>
      <c r="L83">
        <v>1.86</v>
      </c>
      <c r="M83">
        <v>10360</v>
      </c>
      <c r="N83">
        <v>0</v>
      </c>
      <c r="O83">
        <v>0</v>
      </c>
      <c r="P83">
        <v>0</v>
      </c>
      <c r="Q83">
        <v>0</v>
      </c>
      <c r="R83">
        <v>7</v>
      </c>
      <c r="S83">
        <v>10360</v>
      </c>
    </row>
    <row r="84" spans="1:19" hidden="1">
      <c r="A84">
        <v>101342</v>
      </c>
      <c r="B84">
        <v>3023514</v>
      </c>
      <c r="C84">
        <v>302</v>
      </c>
      <c r="D84" t="s">
        <v>431</v>
      </c>
      <c r="E84">
        <v>3514</v>
      </c>
      <c r="F84" t="s">
        <v>291</v>
      </c>
      <c r="G84" t="s">
        <v>680</v>
      </c>
      <c r="H84" t="s">
        <v>681</v>
      </c>
      <c r="I84">
        <v>181.5</v>
      </c>
      <c r="J84">
        <v>181.5</v>
      </c>
      <c r="K84">
        <v>48</v>
      </c>
      <c r="L84">
        <v>26.45</v>
      </c>
      <c r="M84">
        <v>71040</v>
      </c>
      <c r="N84">
        <v>0</v>
      </c>
      <c r="O84">
        <v>0</v>
      </c>
      <c r="P84">
        <v>0</v>
      </c>
      <c r="Q84">
        <v>0</v>
      </c>
      <c r="R84">
        <v>48</v>
      </c>
      <c r="S84">
        <v>71040</v>
      </c>
    </row>
    <row r="85" spans="1:19" hidden="1">
      <c r="A85">
        <v>137303</v>
      </c>
      <c r="B85">
        <v>3023515</v>
      </c>
      <c r="C85">
        <v>302</v>
      </c>
      <c r="D85" t="s">
        <v>431</v>
      </c>
      <c r="E85">
        <v>3515</v>
      </c>
      <c r="F85" t="s">
        <v>392</v>
      </c>
      <c r="G85" t="s">
        <v>420</v>
      </c>
      <c r="H85" t="s">
        <v>681</v>
      </c>
      <c r="I85">
        <v>204</v>
      </c>
      <c r="J85">
        <v>204</v>
      </c>
      <c r="K85">
        <v>2</v>
      </c>
      <c r="L85">
        <v>0.98</v>
      </c>
      <c r="M85">
        <v>2960</v>
      </c>
      <c r="N85">
        <v>0</v>
      </c>
      <c r="O85">
        <v>0</v>
      </c>
      <c r="P85">
        <v>0</v>
      </c>
      <c r="Q85">
        <v>0</v>
      </c>
      <c r="R85">
        <v>2</v>
      </c>
      <c r="S85">
        <v>2960</v>
      </c>
    </row>
    <row r="86" spans="1:19" hidden="1">
      <c r="A86">
        <v>130998</v>
      </c>
      <c r="B86">
        <v>3023516</v>
      </c>
      <c r="C86">
        <v>302</v>
      </c>
      <c r="D86" t="s">
        <v>431</v>
      </c>
      <c r="E86">
        <v>3516</v>
      </c>
      <c r="F86" t="s">
        <v>68</v>
      </c>
      <c r="G86" t="s">
        <v>680</v>
      </c>
      <c r="H86" t="s">
        <v>681</v>
      </c>
      <c r="I86">
        <v>194</v>
      </c>
      <c r="J86">
        <v>194</v>
      </c>
      <c r="K86">
        <v>35</v>
      </c>
      <c r="L86">
        <v>18.04</v>
      </c>
      <c r="M86">
        <v>51800</v>
      </c>
      <c r="N86">
        <v>0</v>
      </c>
      <c r="O86">
        <v>0</v>
      </c>
      <c r="P86">
        <v>0</v>
      </c>
      <c r="Q86">
        <v>0</v>
      </c>
      <c r="R86">
        <v>35</v>
      </c>
      <c r="S86">
        <v>51800</v>
      </c>
    </row>
    <row r="87" spans="1:19" hidden="1">
      <c r="A87">
        <v>134677</v>
      </c>
      <c r="B87">
        <v>3023518</v>
      </c>
      <c r="C87">
        <v>302</v>
      </c>
      <c r="D87" t="s">
        <v>431</v>
      </c>
      <c r="E87">
        <v>3518</v>
      </c>
      <c r="F87" t="s">
        <v>112</v>
      </c>
      <c r="G87" t="s">
        <v>680</v>
      </c>
      <c r="H87" t="s">
        <v>681</v>
      </c>
      <c r="I87">
        <v>398</v>
      </c>
      <c r="J87">
        <v>398</v>
      </c>
      <c r="K87">
        <v>128</v>
      </c>
      <c r="L87">
        <v>32.159999999999997</v>
      </c>
      <c r="M87">
        <v>189440</v>
      </c>
      <c r="N87">
        <v>0</v>
      </c>
      <c r="O87">
        <v>0</v>
      </c>
      <c r="P87">
        <v>0</v>
      </c>
      <c r="Q87">
        <v>0</v>
      </c>
      <c r="R87">
        <v>128</v>
      </c>
      <c r="S87">
        <v>189440</v>
      </c>
    </row>
    <row r="88" spans="1:19" hidden="1">
      <c r="A88">
        <v>140236</v>
      </c>
      <c r="B88">
        <v>3023519</v>
      </c>
      <c r="C88">
        <v>302</v>
      </c>
      <c r="D88" t="s">
        <v>431</v>
      </c>
      <c r="E88">
        <v>3519</v>
      </c>
      <c r="F88" t="s">
        <v>40</v>
      </c>
      <c r="G88" t="s">
        <v>420</v>
      </c>
      <c r="H88" t="s">
        <v>683</v>
      </c>
      <c r="I88">
        <v>643</v>
      </c>
      <c r="J88">
        <v>643</v>
      </c>
      <c r="K88">
        <v>231</v>
      </c>
      <c r="L88">
        <v>35.93</v>
      </c>
      <c r="M88">
        <v>341880</v>
      </c>
      <c r="N88">
        <v>0</v>
      </c>
      <c r="O88">
        <v>0</v>
      </c>
      <c r="P88">
        <v>0</v>
      </c>
      <c r="Q88">
        <v>0</v>
      </c>
      <c r="R88">
        <v>231</v>
      </c>
      <c r="S88">
        <v>341880</v>
      </c>
    </row>
    <row r="89" spans="1:19" hidden="1">
      <c r="A89">
        <v>135086</v>
      </c>
      <c r="B89">
        <v>3023520</v>
      </c>
      <c r="C89">
        <v>302</v>
      </c>
      <c r="D89" t="s">
        <v>431</v>
      </c>
      <c r="E89">
        <v>3520</v>
      </c>
      <c r="F89" t="s">
        <v>256</v>
      </c>
      <c r="G89" t="s">
        <v>680</v>
      </c>
      <c r="H89" t="s">
        <v>682</v>
      </c>
      <c r="I89">
        <v>421</v>
      </c>
      <c r="J89">
        <v>421</v>
      </c>
      <c r="K89">
        <v>3</v>
      </c>
      <c r="L89">
        <v>0.71</v>
      </c>
      <c r="M89">
        <v>4440</v>
      </c>
      <c r="N89">
        <v>0</v>
      </c>
      <c r="O89">
        <v>0</v>
      </c>
      <c r="P89">
        <v>0</v>
      </c>
      <c r="Q89">
        <v>0</v>
      </c>
      <c r="R89">
        <v>3</v>
      </c>
      <c r="S89">
        <v>4440</v>
      </c>
    </row>
    <row r="90" spans="1:19" hidden="1">
      <c r="A90">
        <v>103119</v>
      </c>
      <c r="B90">
        <v>3023521</v>
      </c>
      <c r="C90">
        <v>302</v>
      </c>
      <c r="D90" t="s">
        <v>431</v>
      </c>
      <c r="E90">
        <v>3521</v>
      </c>
      <c r="F90" t="s">
        <v>440</v>
      </c>
      <c r="G90" t="s">
        <v>680</v>
      </c>
      <c r="H90" t="s">
        <v>681</v>
      </c>
      <c r="I90">
        <v>1492</v>
      </c>
      <c r="J90">
        <v>602</v>
      </c>
      <c r="K90">
        <v>138</v>
      </c>
      <c r="L90">
        <v>22.92</v>
      </c>
      <c r="M90">
        <v>204240</v>
      </c>
      <c r="N90">
        <v>890</v>
      </c>
      <c r="O90">
        <v>281</v>
      </c>
      <c r="P90">
        <v>31.57</v>
      </c>
      <c r="Q90">
        <v>295050</v>
      </c>
      <c r="R90">
        <v>419</v>
      </c>
      <c r="S90">
        <v>499290</v>
      </c>
    </row>
    <row r="91" spans="1:19" hidden="1">
      <c r="A91">
        <v>142636</v>
      </c>
      <c r="B91">
        <v>3023522</v>
      </c>
      <c r="C91">
        <v>302</v>
      </c>
      <c r="D91" t="s">
        <v>431</v>
      </c>
      <c r="E91">
        <v>3522</v>
      </c>
      <c r="F91" t="s">
        <v>265</v>
      </c>
      <c r="G91" t="s">
        <v>420</v>
      </c>
      <c r="H91" t="s">
        <v>682</v>
      </c>
      <c r="I91">
        <v>268</v>
      </c>
      <c r="J91">
        <v>268</v>
      </c>
      <c r="K91">
        <v>124</v>
      </c>
      <c r="L91">
        <v>46.27</v>
      </c>
      <c r="M91">
        <v>183520</v>
      </c>
      <c r="N91">
        <v>0</v>
      </c>
      <c r="O91">
        <v>0</v>
      </c>
      <c r="P91">
        <v>0</v>
      </c>
      <c r="Q91">
        <v>0</v>
      </c>
      <c r="R91">
        <v>124</v>
      </c>
      <c r="S91">
        <v>183520</v>
      </c>
    </row>
    <row r="92" spans="1:19" hidden="1">
      <c r="A92">
        <v>135226</v>
      </c>
      <c r="B92">
        <v>3023523</v>
      </c>
      <c r="C92">
        <v>302</v>
      </c>
      <c r="D92" t="s">
        <v>431</v>
      </c>
      <c r="E92">
        <v>3523</v>
      </c>
      <c r="F92" t="s">
        <v>276</v>
      </c>
      <c r="G92" t="s">
        <v>680</v>
      </c>
      <c r="H92" t="s">
        <v>682</v>
      </c>
      <c r="I92">
        <v>621</v>
      </c>
      <c r="J92">
        <v>621</v>
      </c>
      <c r="K92">
        <v>191</v>
      </c>
      <c r="L92">
        <v>30.76</v>
      </c>
      <c r="M92">
        <v>282680</v>
      </c>
      <c r="N92">
        <v>0</v>
      </c>
      <c r="O92">
        <v>0</v>
      </c>
      <c r="P92">
        <v>0</v>
      </c>
      <c r="Q92">
        <v>0</v>
      </c>
      <c r="R92">
        <v>191</v>
      </c>
      <c r="S92">
        <v>282680</v>
      </c>
    </row>
    <row r="93" spans="1:19" hidden="1">
      <c r="A93">
        <v>136402</v>
      </c>
      <c r="B93">
        <v>3023524</v>
      </c>
      <c r="C93">
        <v>302</v>
      </c>
      <c r="D93" t="s">
        <v>431</v>
      </c>
      <c r="E93">
        <v>3524</v>
      </c>
      <c r="F93" t="s">
        <v>393</v>
      </c>
      <c r="G93" t="s">
        <v>680</v>
      </c>
      <c r="H93" t="s">
        <v>681</v>
      </c>
      <c r="I93">
        <v>207</v>
      </c>
      <c r="J93">
        <v>207</v>
      </c>
      <c r="K93">
        <v>10</v>
      </c>
      <c r="L93">
        <v>4.83</v>
      </c>
      <c r="M93">
        <v>14800</v>
      </c>
      <c r="N93">
        <v>0</v>
      </c>
      <c r="O93">
        <v>0</v>
      </c>
      <c r="P93">
        <v>0</v>
      </c>
      <c r="Q93">
        <v>0</v>
      </c>
      <c r="R93">
        <v>10</v>
      </c>
      <c r="S93">
        <v>14800</v>
      </c>
    </row>
    <row r="94" spans="1:19" hidden="1">
      <c r="A94">
        <v>139410</v>
      </c>
      <c r="B94">
        <v>3024000</v>
      </c>
      <c r="C94">
        <v>302</v>
      </c>
      <c r="D94" t="s">
        <v>431</v>
      </c>
      <c r="E94">
        <v>4000</v>
      </c>
      <c r="F94" t="s">
        <v>394</v>
      </c>
      <c r="G94" t="s">
        <v>420</v>
      </c>
      <c r="H94" t="s">
        <v>683</v>
      </c>
      <c r="I94">
        <v>525.5</v>
      </c>
      <c r="J94">
        <v>0</v>
      </c>
      <c r="K94">
        <v>0</v>
      </c>
      <c r="L94">
        <v>0</v>
      </c>
      <c r="M94">
        <v>0</v>
      </c>
      <c r="N94">
        <v>525.5</v>
      </c>
      <c r="O94">
        <v>120</v>
      </c>
      <c r="P94">
        <v>22.84</v>
      </c>
      <c r="Q94">
        <v>126000</v>
      </c>
      <c r="R94">
        <v>120</v>
      </c>
      <c r="S94">
        <v>126000</v>
      </c>
    </row>
    <row r="95" spans="1:19" hidden="1">
      <c r="A95">
        <v>139594</v>
      </c>
      <c r="B95">
        <v>3024001</v>
      </c>
      <c r="C95">
        <v>302</v>
      </c>
      <c r="D95" t="s">
        <v>431</v>
      </c>
      <c r="E95">
        <v>4001</v>
      </c>
      <c r="F95" t="s">
        <v>395</v>
      </c>
      <c r="G95" t="s">
        <v>420</v>
      </c>
      <c r="H95" t="s">
        <v>682</v>
      </c>
      <c r="I95">
        <v>810</v>
      </c>
      <c r="J95">
        <v>0</v>
      </c>
      <c r="K95">
        <v>0</v>
      </c>
      <c r="L95">
        <v>0</v>
      </c>
      <c r="M95">
        <v>0</v>
      </c>
      <c r="N95">
        <v>810</v>
      </c>
      <c r="O95">
        <v>133</v>
      </c>
      <c r="P95">
        <v>16.420000000000002</v>
      </c>
      <c r="Q95">
        <v>139650</v>
      </c>
      <c r="R95">
        <v>133</v>
      </c>
      <c r="S95">
        <v>139650</v>
      </c>
    </row>
    <row r="96" spans="1:19" hidden="1">
      <c r="A96">
        <v>101345</v>
      </c>
      <c r="B96">
        <v>3024003</v>
      </c>
      <c r="C96">
        <v>302</v>
      </c>
      <c r="D96" t="s">
        <v>431</v>
      </c>
      <c r="E96">
        <v>4003</v>
      </c>
      <c r="F96" t="s">
        <v>116</v>
      </c>
      <c r="G96" t="s">
        <v>680</v>
      </c>
      <c r="H96" t="s">
        <v>861</v>
      </c>
      <c r="I96">
        <v>724</v>
      </c>
      <c r="J96">
        <v>0</v>
      </c>
      <c r="K96">
        <v>0</v>
      </c>
      <c r="L96">
        <v>0</v>
      </c>
      <c r="M96">
        <v>0</v>
      </c>
      <c r="N96">
        <v>724</v>
      </c>
      <c r="O96">
        <v>292</v>
      </c>
      <c r="P96">
        <v>40.33</v>
      </c>
      <c r="Q96">
        <v>306600</v>
      </c>
      <c r="R96">
        <v>292</v>
      </c>
      <c r="S96">
        <v>306600</v>
      </c>
    </row>
    <row r="97" spans="1:19" hidden="1">
      <c r="A97">
        <v>142627</v>
      </c>
      <c r="B97">
        <v>3024004</v>
      </c>
      <c r="C97">
        <v>302</v>
      </c>
      <c r="D97" t="s">
        <v>431</v>
      </c>
      <c r="E97">
        <v>4004</v>
      </c>
      <c r="F97" t="s">
        <v>432</v>
      </c>
      <c r="G97" t="s">
        <v>680</v>
      </c>
      <c r="H97" t="s">
        <v>863</v>
      </c>
      <c r="I97">
        <v>314</v>
      </c>
      <c r="J97">
        <v>0</v>
      </c>
      <c r="K97">
        <v>0</v>
      </c>
      <c r="L97">
        <v>0</v>
      </c>
      <c r="M97">
        <v>0</v>
      </c>
      <c r="N97">
        <v>314</v>
      </c>
      <c r="O97">
        <v>10</v>
      </c>
      <c r="P97">
        <v>3.18</v>
      </c>
      <c r="Q97">
        <v>10500</v>
      </c>
      <c r="R97">
        <v>10</v>
      </c>
      <c r="S97">
        <v>10500</v>
      </c>
    </row>
    <row r="98" spans="1:19" hidden="1">
      <c r="A98">
        <v>144502</v>
      </c>
      <c r="B98">
        <v>3024010</v>
      </c>
      <c r="C98">
        <v>302</v>
      </c>
      <c r="D98" t="s">
        <v>431</v>
      </c>
      <c r="E98">
        <v>4010</v>
      </c>
      <c r="F98" t="s">
        <v>318</v>
      </c>
      <c r="G98" t="s">
        <v>420</v>
      </c>
      <c r="H98" t="s">
        <v>683</v>
      </c>
      <c r="I98">
        <v>852.5</v>
      </c>
      <c r="J98">
        <v>0</v>
      </c>
      <c r="K98">
        <v>0</v>
      </c>
      <c r="L98">
        <v>0</v>
      </c>
      <c r="M98">
        <v>0</v>
      </c>
      <c r="N98">
        <v>852.5</v>
      </c>
      <c r="O98">
        <v>243</v>
      </c>
      <c r="P98">
        <v>28.5</v>
      </c>
      <c r="Q98">
        <v>255150</v>
      </c>
      <c r="R98">
        <v>243</v>
      </c>
      <c r="S98">
        <v>255150</v>
      </c>
    </row>
    <row r="99" spans="1:19" hidden="1">
      <c r="A99">
        <v>145921</v>
      </c>
      <c r="B99">
        <v>3024011</v>
      </c>
      <c r="C99">
        <v>302</v>
      </c>
      <c r="D99" t="s">
        <v>431</v>
      </c>
      <c r="E99">
        <v>4011</v>
      </c>
      <c r="F99" t="s">
        <v>465</v>
      </c>
      <c r="G99" t="s">
        <v>420</v>
      </c>
      <c r="H99" t="s">
        <v>681</v>
      </c>
      <c r="I99">
        <v>869</v>
      </c>
      <c r="J99">
        <v>0</v>
      </c>
      <c r="K99">
        <v>0</v>
      </c>
      <c r="L99">
        <v>0</v>
      </c>
      <c r="M99">
        <v>0</v>
      </c>
      <c r="N99">
        <v>869</v>
      </c>
      <c r="O99">
        <v>486.5</v>
      </c>
      <c r="P99">
        <v>55.98</v>
      </c>
      <c r="Q99">
        <v>510825</v>
      </c>
      <c r="R99">
        <v>486.5</v>
      </c>
      <c r="S99">
        <v>510825</v>
      </c>
    </row>
    <row r="100" spans="1:19" hidden="1">
      <c r="A100">
        <v>137361</v>
      </c>
      <c r="B100">
        <v>3024012</v>
      </c>
      <c r="C100">
        <v>302</v>
      </c>
      <c r="D100" t="s">
        <v>431</v>
      </c>
      <c r="E100">
        <v>4012</v>
      </c>
      <c r="F100" t="s">
        <v>123</v>
      </c>
      <c r="G100" t="s">
        <v>420</v>
      </c>
      <c r="H100" t="s">
        <v>682</v>
      </c>
      <c r="I100">
        <v>577.5</v>
      </c>
      <c r="J100">
        <v>0</v>
      </c>
      <c r="K100">
        <v>0</v>
      </c>
      <c r="L100">
        <v>0</v>
      </c>
      <c r="M100">
        <v>0</v>
      </c>
      <c r="N100">
        <v>577.5</v>
      </c>
      <c r="O100">
        <v>306</v>
      </c>
      <c r="P100">
        <v>52.99</v>
      </c>
      <c r="Q100">
        <v>321300</v>
      </c>
      <c r="R100">
        <v>306</v>
      </c>
      <c r="S100">
        <v>321300</v>
      </c>
    </row>
    <row r="101" spans="1:19" hidden="1">
      <c r="A101">
        <v>147061</v>
      </c>
      <c r="B101">
        <v>3024013</v>
      </c>
      <c r="C101">
        <v>302</v>
      </c>
      <c r="D101" t="s">
        <v>431</v>
      </c>
      <c r="E101">
        <v>4013</v>
      </c>
      <c r="F101" t="s">
        <v>514</v>
      </c>
      <c r="G101" t="s">
        <v>420</v>
      </c>
      <c r="H101" t="s">
        <v>683</v>
      </c>
      <c r="I101">
        <v>899</v>
      </c>
      <c r="J101">
        <v>0</v>
      </c>
      <c r="K101">
        <v>0</v>
      </c>
      <c r="L101">
        <v>0</v>
      </c>
      <c r="M101">
        <v>0</v>
      </c>
      <c r="N101">
        <v>899</v>
      </c>
      <c r="O101">
        <v>330.5</v>
      </c>
      <c r="P101">
        <v>36.76</v>
      </c>
      <c r="Q101">
        <v>347025</v>
      </c>
      <c r="R101">
        <v>330.5</v>
      </c>
      <c r="S101">
        <v>347025</v>
      </c>
    </row>
    <row r="102" spans="1:19" hidden="1">
      <c r="A102">
        <v>147238</v>
      </c>
      <c r="B102">
        <v>3024014</v>
      </c>
      <c r="C102">
        <v>302</v>
      </c>
      <c r="D102" t="s">
        <v>431</v>
      </c>
      <c r="E102">
        <v>4014</v>
      </c>
      <c r="F102" t="s">
        <v>479</v>
      </c>
      <c r="G102" t="s">
        <v>420</v>
      </c>
      <c r="H102" t="s">
        <v>681</v>
      </c>
      <c r="I102">
        <v>424.5</v>
      </c>
      <c r="J102">
        <v>0</v>
      </c>
      <c r="K102">
        <v>0</v>
      </c>
      <c r="L102">
        <v>0</v>
      </c>
      <c r="M102">
        <v>0</v>
      </c>
      <c r="N102">
        <v>424.5</v>
      </c>
      <c r="O102">
        <v>32</v>
      </c>
      <c r="P102">
        <v>7.54</v>
      </c>
      <c r="Q102">
        <v>33600</v>
      </c>
      <c r="R102">
        <v>32</v>
      </c>
      <c r="S102">
        <v>33600</v>
      </c>
    </row>
    <row r="103" spans="1:19" hidden="1">
      <c r="A103">
        <v>137131</v>
      </c>
      <c r="B103">
        <v>3024208</v>
      </c>
      <c r="C103">
        <v>302</v>
      </c>
      <c r="D103" t="s">
        <v>431</v>
      </c>
      <c r="E103">
        <v>4208</v>
      </c>
      <c r="F103" t="s">
        <v>118</v>
      </c>
      <c r="G103" t="s">
        <v>420</v>
      </c>
      <c r="H103" t="s">
        <v>683</v>
      </c>
      <c r="I103">
        <v>1013.5</v>
      </c>
      <c r="J103">
        <v>0</v>
      </c>
      <c r="K103">
        <v>0</v>
      </c>
      <c r="L103">
        <v>0</v>
      </c>
      <c r="M103">
        <v>0</v>
      </c>
      <c r="N103">
        <v>1013.5</v>
      </c>
      <c r="O103">
        <v>212.5</v>
      </c>
      <c r="P103">
        <v>20.97</v>
      </c>
      <c r="Q103">
        <v>223125</v>
      </c>
      <c r="R103">
        <v>212.5</v>
      </c>
      <c r="S103">
        <v>223125</v>
      </c>
    </row>
    <row r="104" spans="1:19" hidden="1">
      <c r="A104">
        <v>138685</v>
      </c>
      <c r="B104">
        <v>3024210</v>
      </c>
      <c r="C104">
        <v>302</v>
      </c>
      <c r="D104" t="s">
        <v>431</v>
      </c>
      <c r="E104">
        <v>4210</v>
      </c>
      <c r="F104" t="s">
        <v>51</v>
      </c>
      <c r="G104" t="s">
        <v>420</v>
      </c>
      <c r="H104" t="s">
        <v>681</v>
      </c>
      <c r="I104">
        <v>797.5</v>
      </c>
      <c r="J104">
        <v>0</v>
      </c>
      <c r="K104">
        <v>0</v>
      </c>
      <c r="L104">
        <v>0</v>
      </c>
      <c r="M104">
        <v>0</v>
      </c>
      <c r="N104">
        <v>797.5</v>
      </c>
      <c r="O104">
        <v>330</v>
      </c>
      <c r="P104">
        <v>41.38</v>
      </c>
      <c r="Q104">
        <v>346500</v>
      </c>
      <c r="R104">
        <v>330</v>
      </c>
      <c r="S104">
        <v>346500</v>
      </c>
    </row>
    <row r="105" spans="1:19" hidden="1">
      <c r="A105">
        <v>137388</v>
      </c>
      <c r="B105">
        <v>3024211</v>
      </c>
      <c r="C105">
        <v>302</v>
      </c>
      <c r="D105" t="s">
        <v>431</v>
      </c>
      <c r="E105">
        <v>4211</v>
      </c>
      <c r="F105" t="s">
        <v>300</v>
      </c>
      <c r="G105" t="s">
        <v>420</v>
      </c>
      <c r="H105" t="s">
        <v>682</v>
      </c>
      <c r="I105">
        <v>845.5</v>
      </c>
      <c r="J105">
        <v>0</v>
      </c>
      <c r="K105">
        <v>0</v>
      </c>
      <c r="L105">
        <v>0</v>
      </c>
      <c r="M105">
        <v>0</v>
      </c>
      <c r="N105">
        <v>845.5</v>
      </c>
      <c r="O105">
        <v>271.5</v>
      </c>
      <c r="P105">
        <v>32.11</v>
      </c>
      <c r="Q105">
        <v>285075</v>
      </c>
      <c r="R105">
        <v>271.5</v>
      </c>
      <c r="S105">
        <v>285075</v>
      </c>
    </row>
    <row r="106" spans="1:19" hidden="1">
      <c r="A106">
        <v>136658</v>
      </c>
      <c r="B106">
        <v>3024212</v>
      </c>
      <c r="C106">
        <v>302</v>
      </c>
      <c r="D106" t="s">
        <v>431</v>
      </c>
      <c r="E106">
        <v>4212</v>
      </c>
      <c r="F106" t="s">
        <v>397</v>
      </c>
      <c r="G106" t="s">
        <v>420</v>
      </c>
      <c r="H106" t="s">
        <v>683</v>
      </c>
      <c r="I106">
        <v>1104</v>
      </c>
      <c r="J106">
        <v>0</v>
      </c>
      <c r="K106">
        <v>0</v>
      </c>
      <c r="L106">
        <v>0</v>
      </c>
      <c r="M106">
        <v>0</v>
      </c>
      <c r="N106">
        <v>1104</v>
      </c>
      <c r="O106">
        <v>236</v>
      </c>
      <c r="P106">
        <v>21.38</v>
      </c>
      <c r="Q106">
        <v>247800</v>
      </c>
      <c r="R106">
        <v>236</v>
      </c>
      <c r="S106">
        <v>247800</v>
      </c>
    </row>
    <row r="107" spans="1:19" hidden="1">
      <c r="A107">
        <v>136418</v>
      </c>
      <c r="B107">
        <v>3024215</v>
      </c>
      <c r="C107">
        <v>302</v>
      </c>
      <c r="D107" t="s">
        <v>431</v>
      </c>
      <c r="E107">
        <v>4215</v>
      </c>
      <c r="F107" t="s">
        <v>398</v>
      </c>
      <c r="G107" t="s">
        <v>420</v>
      </c>
      <c r="H107" t="s">
        <v>682</v>
      </c>
      <c r="I107">
        <v>1047</v>
      </c>
      <c r="J107">
        <v>0</v>
      </c>
      <c r="K107">
        <v>0</v>
      </c>
      <c r="L107">
        <v>0</v>
      </c>
      <c r="M107">
        <v>0</v>
      </c>
      <c r="N107">
        <v>1047</v>
      </c>
      <c r="O107">
        <v>309.5</v>
      </c>
      <c r="P107">
        <v>29.56</v>
      </c>
      <c r="Q107">
        <v>324975</v>
      </c>
      <c r="R107">
        <v>309.5</v>
      </c>
      <c r="S107">
        <v>324975</v>
      </c>
    </row>
    <row r="108" spans="1:19" hidden="1">
      <c r="A108">
        <v>138051</v>
      </c>
      <c r="B108">
        <v>3024752</v>
      </c>
      <c r="C108">
        <v>302</v>
      </c>
      <c r="D108" t="s">
        <v>431</v>
      </c>
      <c r="E108">
        <v>4752</v>
      </c>
      <c r="F108" t="s">
        <v>302</v>
      </c>
      <c r="G108" t="s">
        <v>420</v>
      </c>
      <c r="H108" t="s">
        <v>682</v>
      </c>
      <c r="I108">
        <v>520</v>
      </c>
      <c r="J108">
        <v>0</v>
      </c>
      <c r="K108">
        <v>0</v>
      </c>
      <c r="L108">
        <v>0</v>
      </c>
      <c r="M108">
        <v>0</v>
      </c>
      <c r="N108">
        <v>520</v>
      </c>
      <c r="O108">
        <v>30</v>
      </c>
      <c r="P108">
        <v>5.77</v>
      </c>
      <c r="Q108">
        <v>31500</v>
      </c>
      <c r="R108">
        <v>30</v>
      </c>
      <c r="S108">
        <v>31500</v>
      </c>
    </row>
    <row r="109" spans="1:19" hidden="1">
      <c r="A109">
        <v>151014</v>
      </c>
      <c r="B109">
        <v>3025201</v>
      </c>
      <c r="C109">
        <v>302</v>
      </c>
      <c r="D109" t="s">
        <v>431</v>
      </c>
      <c r="E109">
        <v>5201</v>
      </c>
      <c r="F109" t="s">
        <v>281</v>
      </c>
      <c r="G109" t="s">
        <v>420</v>
      </c>
      <c r="H109" t="s">
        <v>864</v>
      </c>
      <c r="I109">
        <v>386</v>
      </c>
      <c r="J109">
        <v>386</v>
      </c>
      <c r="K109">
        <v>97</v>
      </c>
      <c r="L109">
        <v>25.13</v>
      </c>
      <c r="M109">
        <v>143560</v>
      </c>
      <c r="N109">
        <v>0</v>
      </c>
      <c r="O109">
        <v>0</v>
      </c>
      <c r="P109">
        <v>0</v>
      </c>
      <c r="Q109">
        <v>0</v>
      </c>
      <c r="R109">
        <v>97</v>
      </c>
      <c r="S109">
        <v>143560</v>
      </c>
    </row>
    <row r="110" spans="1:19" hidden="1">
      <c r="A110">
        <v>137645</v>
      </c>
      <c r="B110">
        <v>3025400</v>
      </c>
      <c r="C110">
        <v>302</v>
      </c>
      <c r="D110" t="s">
        <v>431</v>
      </c>
      <c r="E110">
        <v>5400</v>
      </c>
      <c r="F110" t="s">
        <v>117</v>
      </c>
      <c r="G110" t="s">
        <v>420</v>
      </c>
      <c r="H110" t="s">
        <v>681</v>
      </c>
      <c r="I110">
        <v>1034</v>
      </c>
      <c r="J110">
        <v>0</v>
      </c>
      <c r="K110">
        <v>0</v>
      </c>
      <c r="L110">
        <v>0</v>
      </c>
      <c r="M110">
        <v>0</v>
      </c>
      <c r="N110">
        <v>1034</v>
      </c>
      <c r="O110">
        <v>417</v>
      </c>
      <c r="P110">
        <v>40.33</v>
      </c>
      <c r="Q110">
        <v>437850</v>
      </c>
      <c r="R110">
        <v>417</v>
      </c>
      <c r="S110">
        <v>437850</v>
      </c>
    </row>
    <row r="111" spans="1:19" hidden="1">
      <c r="A111">
        <v>136290</v>
      </c>
      <c r="B111">
        <v>3025401</v>
      </c>
      <c r="C111">
        <v>302</v>
      </c>
      <c r="D111" t="s">
        <v>431</v>
      </c>
      <c r="E111">
        <v>5401</v>
      </c>
      <c r="F111" t="s">
        <v>119</v>
      </c>
      <c r="G111" t="s">
        <v>420</v>
      </c>
      <c r="H111" t="s">
        <v>683</v>
      </c>
      <c r="I111">
        <v>958</v>
      </c>
      <c r="J111">
        <v>0</v>
      </c>
      <c r="K111">
        <v>0</v>
      </c>
      <c r="L111">
        <v>0</v>
      </c>
      <c r="M111">
        <v>0</v>
      </c>
      <c r="N111">
        <v>958</v>
      </c>
      <c r="O111">
        <v>38</v>
      </c>
      <c r="P111">
        <v>3.97</v>
      </c>
      <c r="Q111">
        <v>39900</v>
      </c>
      <c r="R111">
        <v>38</v>
      </c>
      <c r="S111">
        <v>39900</v>
      </c>
    </row>
    <row r="112" spans="1:19" hidden="1">
      <c r="A112">
        <v>137386</v>
      </c>
      <c r="B112">
        <v>3025402</v>
      </c>
      <c r="C112">
        <v>302</v>
      </c>
      <c r="D112" t="s">
        <v>431</v>
      </c>
      <c r="E112">
        <v>5402</v>
      </c>
      <c r="F112" t="s">
        <v>319</v>
      </c>
      <c r="G112" t="s">
        <v>420</v>
      </c>
      <c r="H112" t="s">
        <v>683</v>
      </c>
      <c r="I112">
        <v>1246.5</v>
      </c>
      <c r="J112">
        <v>0</v>
      </c>
      <c r="K112">
        <v>0</v>
      </c>
      <c r="L112">
        <v>0</v>
      </c>
      <c r="M112">
        <v>0</v>
      </c>
      <c r="N112">
        <v>1246.5</v>
      </c>
      <c r="O112">
        <v>280.5</v>
      </c>
      <c r="P112">
        <v>22.5</v>
      </c>
      <c r="Q112">
        <v>294525</v>
      </c>
      <c r="R112">
        <v>280.5</v>
      </c>
      <c r="S112">
        <v>294525</v>
      </c>
    </row>
    <row r="113" spans="1:19" hidden="1">
      <c r="A113">
        <v>101361</v>
      </c>
      <c r="B113">
        <v>3025404</v>
      </c>
      <c r="C113">
        <v>302</v>
      </c>
      <c r="D113" t="s">
        <v>431</v>
      </c>
      <c r="E113">
        <v>5404</v>
      </c>
      <c r="F113" t="s">
        <v>301</v>
      </c>
      <c r="G113" t="s">
        <v>680</v>
      </c>
      <c r="H113" t="s">
        <v>682</v>
      </c>
      <c r="I113">
        <v>639</v>
      </c>
      <c r="J113">
        <v>0</v>
      </c>
      <c r="K113">
        <v>0</v>
      </c>
      <c r="L113">
        <v>0</v>
      </c>
      <c r="M113">
        <v>0</v>
      </c>
      <c r="N113">
        <v>639</v>
      </c>
      <c r="O113">
        <v>77</v>
      </c>
      <c r="P113">
        <v>12.05</v>
      </c>
      <c r="Q113">
        <v>80850</v>
      </c>
      <c r="R113">
        <v>77</v>
      </c>
      <c r="S113">
        <v>80850</v>
      </c>
    </row>
    <row r="114" spans="1:19" hidden="1">
      <c r="A114">
        <v>101362</v>
      </c>
      <c r="B114">
        <v>3025405</v>
      </c>
      <c r="C114">
        <v>302</v>
      </c>
      <c r="D114" t="s">
        <v>431</v>
      </c>
      <c r="E114">
        <v>5405</v>
      </c>
      <c r="F114" t="s">
        <v>115</v>
      </c>
      <c r="G114" t="s">
        <v>680</v>
      </c>
      <c r="H114" t="s">
        <v>683</v>
      </c>
      <c r="I114">
        <v>891</v>
      </c>
      <c r="J114">
        <v>0</v>
      </c>
      <c r="K114">
        <v>0</v>
      </c>
      <c r="L114">
        <v>0</v>
      </c>
      <c r="M114">
        <v>0</v>
      </c>
      <c r="N114">
        <v>891</v>
      </c>
      <c r="O114">
        <v>136</v>
      </c>
      <c r="P114">
        <v>15.26</v>
      </c>
      <c r="Q114">
        <v>142800</v>
      </c>
      <c r="R114">
        <v>136</v>
      </c>
      <c r="S114">
        <v>142800</v>
      </c>
    </row>
    <row r="115" spans="1:19" hidden="1">
      <c r="A115">
        <v>136308</v>
      </c>
      <c r="B115">
        <v>3025406</v>
      </c>
      <c r="C115">
        <v>302</v>
      </c>
      <c r="D115" t="s">
        <v>431</v>
      </c>
      <c r="E115">
        <v>5406</v>
      </c>
      <c r="F115" t="s">
        <v>320</v>
      </c>
      <c r="G115" t="s">
        <v>420</v>
      </c>
      <c r="H115" t="s">
        <v>683</v>
      </c>
      <c r="I115">
        <v>1302</v>
      </c>
      <c r="J115">
        <v>0</v>
      </c>
      <c r="K115">
        <v>0</v>
      </c>
      <c r="L115">
        <v>0</v>
      </c>
      <c r="M115">
        <v>0</v>
      </c>
      <c r="N115">
        <v>1302</v>
      </c>
      <c r="O115">
        <v>146</v>
      </c>
      <c r="P115">
        <v>11.21</v>
      </c>
      <c r="Q115">
        <v>153300</v>
      </c>
      <c r="R115">
        <v>146</v>
      </c>
      <c r="S115">
        <v>153300</v>
      </c>
    </row>
    <row r="116" spans="1:19" hidden="1">
      <c r="A116">
        <v>101364</v>
      </c>
      <c r="B116">
        <v>3025407</v>
      </c>
      <c r="C116">
        <v>302</v>
      </c>
      <c r="D116" t="s">
        <v>431</v>
      </c>
      <c r="E116">
        <v>5407</v>
      </c>
      <c r="F116" t="s">
        <v>120</v>
      </c>
      <c r="G116" t="s">
        <v>680</v>
      </c>
      <c r="H116" t="s">
        <v>681</v>
      </c>
      <c r="I116">
        <v>1081</v>
      </c>
      <c r="J116">
        <v>0</v>
      </c>
      <c r="K116">
        <v>0</v>
      </c>
      <c r="L116">
        <v>0</v>
      </c>
      <c r="M116">
        <v>0</v>
      </c>
      <c r="N116">
        <v>1081</v>
      </c>
      <c r="O116">
        <v>322</v>
      </c>
      <c r="P116">
        <v>29.79</v>
      </c>
      <c r="Q116">
        <v>338100</v>
      </c>
      <c r="R116">
        <v>322</v>
      </c>
      <c r="S116">
        <v>338100</v>
      </c>
    </row>
    <row r="117" spans="1:19" hidden="1">
      <c r="A117">
        <v>143082</v>
      </c>
      <c r="B117">
        <v>3025408</v>
      </c>
      <c r="C117">
        <v>302</v>
      </c>
      <c r="D117" t="s">
        <v>431</v>
      </c>
      <c r="E117">
        <v>5408</v>
      </c>
      <c r="F117" t="s">
        <v>299</v>
      </c>
      <c r="G117" t="s">
        <v>420</v>
      </c>
      <c r="H117" t="s">
        <v>682</v>
      </c>
      <c r="I117">
        <v>754</v>
      </c>
      <c r="J117">
        <v>0</v>
      </c>
      <c r="K117">
        <v>0</v>
      </c>
      <c r="L117">
        <v>0</v>
      </c>
      <c r="M117">
        <v>0</v>
      </c>
      <c r="N117">
        <v>754</v>
      </c>
      <c r="O117">
        <v>261</v>
      </c>
      <c r="P117">
        <v>34.619999999999997</v>
      </c>
      <c r="Q117">
        <v>274050</v>
      </c>
      <c r="R117">
        <v>261</v>
      </c>
      <c r="S117">
        <v>274050</v>
      </c>
    </row>
    <row r="118" spans="1:19" hidden="1">
      <c r="A118">
        <v>137539</v>
      </c>
      <c r="B118">
        <v>3025409</v>
      </c>
      <c r="C118">
        <v>302</v>
      </c>
      <c r="D118" t="s">
        <v>431</v>
      </c>
      <c r="E118">
        <v>5409</v>
      </c>
      <c r="F118" t="s">
        <v>512</v>
      </c>
      <c r="G118" t="s">
        <v>420</v>
      </c>
      <c r="H118" t="s">
        <v>682</v>
      </c>
      <c r="I118">
        <v>575</v>
      </c>
      <c r="J118">
        <v>0</v>
      </c>
      <c r="K118">
        <v>0</v>
      </c>
      <c r="L118">
        <v>0</v>
      </c>
      <c r="M118">
        <v>0</v>
      </c>
      <c r="N118">
        <v>575</v>
      </c>
      <c r="O118">
        <v>55</v>
      </c>
      <c r="P118">
        <v>9.57</v>
      </c>
      <c r="Q118">
        <v>57750</v>
      </c>
      <c r="R118">
        <v>55</v>
      </c>
      <c r="S118">
        <v>57750</v>
      </c>
    </row>
    <row r="119" spans="1:19" hidden="1">
      <c r="A119">
        <v>135747</v>
      </c>
      <c r="B119">
        <v>3025427</v>
      </c>
      <c r="C119">
        <v>302</v>
      </c>
      <c r="D119" t="s">
        <v>431</v>
      </c>
      <c r="E119">
        <v>5427</v>
      </c>
      <c r="F119" t="s">
        <v>315</v>
      </c>
      <c r="G119" t="s">
        <v>680</v>
      </c>
      <c r="H119" t="s">
        <v>683</v>
      </c>
      <c r="I119">
        <v>987</v>
      </c>
      <c r="J119">
        <v>0</v>
      </c>
      <c r="K119">
        <v>0</v>
      </c>
      <c r="L119">
        <v>0</v>
      </c>
      <c r="M119">
        <v>0</v>
      </c>
      <c r="N119">
        <v>987</v>
      </c>
      <c r="O119">
        <v>48</v>
      </c>
      <c r="P119">
        <v>4.8600000000000003</v>
      </c>
      <c r="Q119">
        <v>50400</v>
      </c>
      <c r="R119">
        <v>48</v>
      </c>
      <c r="S119">
        <v>50400</v>
      </c>
    </row>
    <row r="120" spans="1:19" hidden="1">
      <c r="A120">
        <v>101376</v>
      </c>
      <c r="B120">
        <v>3025948</v>
      </c>
      <c r="C120">
        <v>302</v>
      </c>
      <c r="D120" t="s">
        <v>431</v>
      </c>
      <c r="E120">
        <v>5948</v>
      </c>
      <c r="F120" t="s">
        <v>277</v>
      </c>
      <c r="G120" t="s">
        <v>680</v>
      </c>
      <c r="H120" t="s">
        <v>681</v>
      </c>
      <c r="I120">
        <v>193</v>
      </c>
      <c r="J120">
        <v>193</v>
      </c>
      <c r="K120">
        <v>5</v>
      </c>
      <c r="L120">
        <v>2.59</v>
      </c>
      <c r="M120">
        <v>7400</v>
      </c>
      <c r="N120">
        <v>0</v>
      </c>
      <c r="O120">
        <v>0</v>
      </c>
      <c r="P120">
        <v>0</v>
      </c>
      <c r="Q120">
        <v>0</v>
      </c>
      <c r="R120">
        <v>5</v>
      </c>
      <c r="S120">
        <v>7400</v>
      </c>
    </row>
    <row r="121" spans="1:19" hidden="1">
      <c r="A121">
        <v>131359</v>
      </c>
      <c r="B121">
        <v>3025949</v>
      </c>
      <c r="C121">
        <v>302</v>
      </c>
      <c r="D121" t="s">
        <v>431</v>
      </c>
      <c r="E121">
        <v>5949</v>
      </c>
      <c r="F121" t="s">
        <v>76</v>
      </c>
      <c r="G121" t="s">
        <v>680</v>
      </c>
      <c r="H121" t="s">
        <v>681</v>
      </c>
      <c r="I121">
        <v>315</v>
      </c>
      <c r="J121">
        <v>315</v>
      </c>
      <c r="K121">
        <v>12</v>
      </c>
      <c r="L121">
        <v>3.81</v>
      </c>
      <c r="M121">
        <v>17760</v>
      </c>
      <c r="N121">
        <v>0</v>
      </c>
      <c r="O121">
        <v>0</v>
      </c>
      <c r="P121">
        <v>0</v>
      </c>
      <c r="Q121">
        <v>0</v>
      </c>
      <c r="R121">
        <v>12</v>
      </c>
      <c r="S121">
        <v>17760</v>
      </c>
    </row>
    <row r="122" spans="1:19" hidden="1">
      <c r="A122">
        <v>144784</v>
      </c>
      <c r="B122">
        <v>3025950</v>
      </c>
      <c r="C122">
        <v>302</v>
      </c>
      <c r="D122" t="s">
        <v>431</v>
      </c>
      <c r="E122">
        <v>5950</v>
      </c>
      <c r="F122" t="s">
        <v>451</v>
      </c>
      <c r="G122" t="s">
        <v>441</v>
      </c>
      <c r="H122" t="s">
        <v>683</v>
      </c>
      <c r="I122">
        <v>49</v>
      </c>
      <c r="J122">
        <v>0</v>
      </c>
      <c r="K122">
        <v>0</v>
      </c>
      <c r="L122">
        <v>0</v>
      </c>
      <c r="M122">
        <v>0</v>
      </c>
      <c r="N122">
        <v>49</v>
      </c>
      <c r="O122">
        <v>29</v>
      </c>
      <c r="P122">
        <v>59.18</v>
      </c>
      <c r="Q122">
        <v>30450</v>
      </c>
      <c r="R122">
        <v>29</v>
      </c>
      <c r="S122">
        <v>30450</v>
      </c>
    </row>
    <row r="123" spans="1:19" hidden="1">
      <c r="A123">
        <v>144752</v>
      </c>
      <c r="B123">
        <v>3026085</v>
      </c>
      <c r="C123">
        <v>302</v>
      </c>
      <c r="D123" t="s">
        <v>431</v>
      </c>
      <c r="E123">
        <v>6085</v>
      </c>
      <c r="F123" t="s">
        <v>480</v>
      </c>
      <c r="G123" t="s">
        <v>441</v>
      </c>
      <c r="H123" t="s">
        <v>681</v>
      </c>
      <c r="I123">
        <v>63</v>
      </c>
      <c r="J123">
        <v>32</v>
      </c>
      <c r="K123">
        <v>10</v>
      </c>
      <c r="L123">
        <v>31.25</v>
      </c>
      <c r="M123">
        <v>14800</v>
      </c>
      <c r="N123">
        <v>31</v>
      </c>
      <c r="O123">
        <v>6</v>
      </c>
      <c r="P123">
        <v>19.350000000000001</v>
      </c>
      <c r="Q123">
        <v>6300</v>
      </c>
      <c r="R123">
        <v>16</v>
      </c>
      <c r="S123">
        <v>21100</v>
      </c>
    </row>
    <row r="124" spans="1:19" hidden="1">
      <c r="A124">
        <v>134798</v>
      </c>
      <c r="B124">
        <v>3026905</v>
      </c>
      <c r="C124">
        <v>302</v>
      </c>
      <c r="D124" t="s">
        <v>431</v>
      </c>
      <c r="E124">
        <v>6905</v>
      </c>
      <c r="F124" t="s">
        <v>325</v>
      </c>
      <c r="G124" t="s">
        <v>420</v>
      </c>
      <c r="H124" t="s">
        <v>681</v>
      </c>
      <c r="I124">
        <v>1403</v>
      </c>
      <c r="J124">
        <v>360.5</v>
      </c>
      <c r="K124">
        <v>160</v>
      </c>
      <c r="L124">
        <v>44.38</v>
      </c>
      <c r="M124">
        <v>236800</v>
      </c>
      <c r="N124">
        <v>1042.5</v>
      </c>
      <c r="O124">
        <v>455.5</v>
      </c>
      <c r="P124">
        <v>43.69</v>
      </c>
      <c r="Q124">
        <v>478275</v>
      </c>
      <c r="R124">
        <v>615.5</v>
      </c>
      <c r="S124">
        <v>715075</v>
      </c>
    </row>
    <row r="125" spans="1:19" hidden="1">
      <c r="A125">
        <v>135507</v>
      </c>
      <c r="B125">
        <v>3026906</v>
      </c>
      <c r="C125">
        <v>302</v>
      </c>
      <c r="D125" t="s">
        <v>431</v>
      </c>
      <c r="E125">
        <v>6906</v>
      </c>
      <c r="F125" t="s">
        <v>737</v>
      </c>
      <c r="G125" t="s">
        <v>420</v>
      </c>
      <c r="H125" t="s">
        <v>682</v>
      </c>
      <c r="I125">
        <v>1330</v>
      </c>
      <c r="J125">
        <v>418</v>
      </c>
      <c r="K125">
        <v>61</v>
      </c>
      <c r="L125">
        <v>14.59</v>
      </c>
      <c r="M125">
        <v>90280</v>
      </c>
      <c r="N125">
        <v>912</v>
      </c>
      <c r="O125">
        <v>159</v>
      </c>
      <c r="P125">
        <v>17.43</v>
      </c>
      <c r="Q125">
        <v>166950</v>
      </c>
      <c r="R125">
        <v>220</v>
      </c>
      <c r="S125">
        <v>257230</v>
      </c>
    </row>
    <row r="126" spans="1:19" hidden="1">
      <c r="A126">
        <v>143865</v>
      </c>
      <c r="B126">
        <v>3027000</v>
      </c>
      <c r="C126">
        <v>302</v>
      </c>
      <c r="D126" t="s">
        <v>431</v>
      </c>
      <c r="E126">
        <v>7000</v>
      </c>
      <c r="F126" t="s">
        <v>126</v>
      </c>
      <c r="G126" t="s">
        <v>441</v>
      </c>
      <c r="H126" t="s">
        <v>682</v>
      </c>
      <c r="I126">
        <v>123</v>
      </c>
      <c r="J126">
        <v>0</v>
      </c>
      <c r="K126">
        <v>0</v>
      </c>
      <c r="L126">
        <v>0</v>
      </c>
      <c r="M126">
        <v>0</v>
      </c>
      <c r="N126">
        <v>123</v>
      </c>
      <c r="O126">
        <v>70</v>
      </c>
      <c r="P126">
        <v>56.91</v>
      </c>
      <c r="Q126">
        <v>73500</v>
      </c>
      <c r="R126">
        <v>70</v>
      </c>
      <c r="S126">
        <v>73500</v>
      </c>
    </row>
    <row r="127" spans="1:19" hidden="1">
      <c r="A127">
        <v>143758</v>
      </c>
      <c r="B127">
        <v>3027002</v>
      </c>
      <c r="C127">
        <v>302</v>
      </c>
      <c r="D127" t="s">
        <v>431</v>
      </c>
      <c r="E127">
        <v>7002</v>
      </c>
      <c r="F127" t="s">
        <v>736</v>
      </c>
      <c r="G127" t="s">
        <v>441</v>
      </c>
      <c r="H127" t="s">
        <v>683</v>
      </c>
      <c r="I127">
        <v>34</v>
      </c>
      <c r="J127">
        <v>9</v>
      </c>
      <c r="K127">
        <v>2.1666666666666665</v>
      </c>
      <c r="L127">
        <v>24.07</v>
      </c>
      <c r="M127">
        <v>3206.6666666666665</v>
      </c>
      <c r="N127">
        <v>25</v>
      </c>
      <c r="O127">
        <v>6.666666666666667</v>
      </c>
      <c r="P127">
        <v>26.67</v>
      </c>
      <c r="Q127">
        <v>7000</v>
      </c>
      <c r="R127">
        <v>8.8333333333333339</v>
      </c>
      <c r="S127">
        <v>10206.666666666666</v>
      </c>
    </row>
    <row r="128" spans="1:19" hidden="1">
      <c r="A128">
        <v>101395</v>
      </c>
      <c r="B128">
        <v>3027005</v>
      </c>
      <c r="C128">
        <v>302</v>
      </c>
      <c r="D128" t="s">
        <v>431</v>
      </c>
      <c r="E128">
        <v>7005</v>
      </c>
      <c r="F128" t="s">
        <v>125</v>
      </c>
      <c r="G128" t="s">
        <v>7</v>
      </c>
      <c r="H128" t="s">
        <v>683</v>
      </c>
      <c r="I128">
        <v>156</v>
      </c>
      <c r="J128">
        <v>137</v>
      </c>
      <c r="K128">
        <v>55</v>
      </c>
      <c r="L128">
        <v>40.15</v>
      </c>
      <c r="M128">
        <v>81400</v>
      </c>
      <c r="N128">
        <v>19</v>
      </c>
      <c r="O128">
        <v>8</v>
      </c>
      <c r="P128">
        <v>42.11</v>
      </c>
      <c r="Q128">
        <v>8400</v>
      </c>
      <c r="R128">
        <v>63</v>
      </c>
      <c r="S128">
        <v>89800</v>
      </c>
    </row>
    <row r="129" spans="1:19" hidden="1">
      <c r="A129">
        <v>101396</v>
      </c>
      <c r="B129">
        <v>3027009</v>
      </c>
      <c r="C129">
        <v>302</v>
      </c>
      <c r="D129" t="s">
        <v>431</v>
      </c>
      <c r="E129">
        <v>7009</v>
      </c>
      <c r="F129" t="s">
        <v>430</v>
      </c>
      <c r="G129" t="s">
        <v>7</v>
      </c>
      <c r="H129" t="s">
        <v>861</v>
      </c>
      <c r="I129">
        <v>130</v>
      </c>
      <c r="J129">
        <v>130</v>
      </c>
      <c r="K129">
        <v>69</v>
      </c>
      <c r="L129">
        <v>53.08</v>
      </c>
      <c r="M129">
        <v>102120</v>
      </c>
      <c r="N129">
        <v>0</v>
      </c>
      <c r="O129">
        <v>0</v>
      </c>
      <c r="P129">
        <v>0</v>
      </c>
      <c r="Q129">
        <v>0</v>
      </c>
      <c r="R129">
        <v>69</v>
      </c>
      <c r="S129">
        <v>102120</v>
      </c>
    </row>
    <row r="130" spans="1:19" hidden="1">
      <c r="A130">
        <v>101397</v>
      </c>
      <c r="B130">
        <v>3027010</v>
      </c>
      <c r="C130">
        <v>302</v>
      </c>
      <c r="D130" t="s">
        <v>431</v>
      </c>
      <c r="E130">
        <v>7010</v>
      </c>
      <c r="F130" t="s">
        <v>124</v>
      </c>
      <c r="G130" t="s">
        <v>7</v>
      </c>
      <c r="H130" t="s">
        <v>682</v>
      </c>
      <c r="I130">
        <v>72</v>
      </c>
      <c r="J130">
        <v>0</v>
      </c>
      <c r="K130">
        <v>0</v>
      </c>
      <c r="L130">
        <v>0</v>
      </c>
      <c r="M130">
        <v>0</v>
      </c>
      <c r="N130">
        <v>72</v>
      </c>
      <c r="O130">
        <v>35</v>
      </c>
      <c r="P130">
        <v>48.61</v>
      </c>
      <c r="Q130">
        <v>36750</v>
      </c>
      <c r="R130">
        <v>35</v>
      </c>
      <c r="S130">
        <v>36750</v>
      </c>
    </row>
  </sheetData>
  <autoFilter ref="A4:S130" xr:uid="{A536112D-EA46-45A3-9D7D-7934D914FC0A}">
    <filterColumn colId="5">
      <filters>
        <filter val="Queenswell Infant &amp; Nursery School"/>
        <filter val="Queenswell Junior School"/>
      </filters>
    </filterColumn>
    <filterColumn colId="6">
      <filters>
        <filter val="Mainstream"/>
      </filters>
    </filterColumn>
  </autoFilter>
  <mergeCells count="7">
    <mergeCell ref="A1:E1"/>
    <mergeCell ref="A2:I2"/>
    <mergeCell ref="J2:Q2"/>
    <mergeCell ref="R2:S2"/>
    <mergeCell ref="A3:I3"/>
    <mergeCell ref="J3:M3"/>
    <mergeCell ref="N3:Q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D10A5-BC13-4BE9-B549-487EFB85223D}">
  <dimension ref="D2:E72"/>
  <sheetViews>
    <sheetView workbookViewId="0">
      <selection activeCell="CN88" sqref="CN88:CO88"/>
    </sheetView>
  </sheetViews>
  <sheetFormatPr defaultRowHeight="13.2"/>
  <sheetData>
    <row r="2" spans="4:5">
      <c r="D2">
        <v>149</v>
      </c>
      <c r="E2">
        <v>149</v>
      </c>
    </row>
    <row r="3" spans="4:5">
      <c r="D3">
        <v>160</v>
      </c>
      <c r="E3">
        <v>160</v>
      </c>
    </row>
    <row r="4" spans="4:5">
      <c r="D4">
        <v>161</v>
      </c>
      <c r="E4">
        <v>161</v>
      </c>
    </row>
    <row r="5" spans="4:5">
      <c r="D5">
        <v>162</v>
      </c>
      <c r="E5">
        <v>162</v>
      </c>
    </row>
    <row r="6" spans="4:5">
      <c r="D6">
        <v>165</v>
      </c>
    </row>
    <row r="7" spans="4:5">
      <c r="D7">
        <v>169</v>
      </c>
      <c r="E7">
        <v>169</v>
      </c>
    </row>
    <row r="8" spans="4:5">
      <c r="D8">
        <v>181.5</v>
      </c>
      <c r="E8">
        <v>181.5</v>
      </c>
    </row>
    <row r="9" spans="4:5">
      <c r="D9">
        <v>190</v>
      </c>
      <c r="E9">
        <v>190</v>
      </c>
    </row>
    <row r="10" spans="4:5">
      <c r="D10">
        <v>193</v>
      </c>
      <c r="E10">
        <v>193</v>
      </c>
    </row>
    <row r="11" spans="4:5">
      <c r="D11">
        <v>193</v>
      </c>
      <c r="E11">
        <v>193</v>
      </c>
    </row>
    <row r="12" spans="4:5">
      <c r="D12">
        <v>193</v>
      </c>
      <c r="E12">
        <v>193</v>
      </c>
    </row>
    <row r="13" spans="4:5">
      <c r="D13">
        <v>194</v>
      </c>
      <c r="E13">
        <v>194</v>
      </c>
    </row>
    <row r="14" spans="4:5">
      <c r="D14">
        <v>196</v>
      </c>
      <c r="E14">
        <v>196</v>
      </c>
    </row>
    <row r="15" spans="4:5">
      <c r="D15">
        <v>199</v>
      </c>
      <c r="E15">
        <v>199</v>
      </c>
    </row>
    <row r="16" spans="4:5">
      <c r="D16">
        <v>202</v>
      </c>
      <c r="E16">
        <v>202</v>
      </c>
    </row>
    <row r="17" spans="4:5">
      <c r="D17">
        <v>202</v>
      </c>
      <c r="E17">
        <v>202</v>
      </c>
    </row>
    <row r="18" spans="4:5">
      <c r="D18">
        <v>203</v>
      </c>
      <c r="E18">
        <v>203</v>
      </c>
    </row>
    <row r="19" spans="4:5">
      <c r="D19">
        <v>204</v>
      </c>
      <c r="E19">
        <v>204</v>
      </c>
    </row>
    <row r="20" spans="4:5">
      <c r="D20">
        <v>205</v>
      </c>
      <c r="E20">
        <v>205</v>
      </c>
    </row>
    <row r="21" spans="4:5">
      <c r="D21">
        <v>206</v>
      </c>
      <c r="E21">
        <v>206</v>
      </c>
    </row>
    <row r="22" spans="4:5">
      <c r="D22">
        <v>206</v>
      </c>
      <c r="E22">
        <v>206</v>
      </c>
    </row>
    <row r="23" spans="4:5">
      <c r="D23">
        <v>206</v>
      </c>
      <c r="E23">
        <v>206</v>
      </c>
    </row>
    <row r="24" spans="4:5">
      <c r="D24">
        <v>206</v>
      </c>
      <c r="E24">
        <v>206</v>
      </c>
    </row>
    <row r="25" spans="4:5">
      <c r="D25">
        <v>207</v>
      </c>
      <c r="E25">
        <v>207</v>
      </c>
    </row>
    <row r="26" spans="4:5">
      <c r="D26">
        <v>207</v>
      </c>
      <c r="E26">
        <v>207</v>
      </c>
    </row>
    <row r="27" spans="4:5">
      <c r="D27">
        <v>208</v>
      </c>
      <c r="E27">
        <v>208</v>
      </c>
    </row>
    <row r="28" spans="4:5">
      <c r="D28">
        <v>208</v>
      </c>
      <c r="E28">
        <v>208</v>
      </c>
    </row>
    <row r="29" spans="4:5">
      <c r="D29">
        <v>209</v>
      </c>
      <c r="E29">
        <v>209</v>
      </c>
    </row>
    <row r="30" spans="4:5">
      <c r="D30">
        <v>210</v>
      </c>
      <c r="E30">
        <v>210</v>
      </c>
    </row>
    <row r="31" spans="4:5">
      <c r="D31">
        <v>210</v>
      </c>
      <c r="E31">
        <v>210</v>
      </c>
    </row>
    <row r="32" spans="4:5">
      <c r="D32">
        <v>211</v>
      </c>
      <c r="E32">
        <v>211</v>
      </c>
    </row>
    <row r="33" spans="4:5">
      <c r="D33">
        <v>211</v>
      </c>
      <c r="E33">
        <v>211</v>
      </c>
    </row>
    <row r="34" spans="4:5">
      <c r="D34">
        <v>211</v>
      </c>
      <c r="E34">
        <v>211</v>
      </c>
    </row>
    <row r="35" spans="4:5">
      <c r="D35">
        <v>218</v>
      </c>
      <c r="E35">
        <v>218</v>
      </c>
    </row>
    <row r="36" spans="4:5">
      <c r="D36">
        <v>219</v>
      </c>
      <c r="E36">
        <v>219</v>
      </c>
    </row>
    <row r="37" spans="4:5">
      <c r="D37">
        <v>260</v>
      </c>
      <c r="E37">
        <v>260</v>
      </c>
    </row>
    <row r="38" spans="4:5">
      <c r="D38">
        <v>261</v>
      </c>
      <c r="E38">
        <v>261</v>
      </c>
    </row>
    <row r="39" spans="4:5">
      <c r="D39">
        <v>262</v>
      </c>
      <c r="E39">
        <v>262</v>
      </c>
    </row>
    <row r="40" spans="4:5">
      <c r="D40">
        <v>281</v>
      </c>
      <c r="E40">
        <v>281</v>
      </c>
    </row>
    <row r="41" spans="4:5">
      <c r="D41">
        <v>313</v>
      </c>
      <c r="E41">
        <v>313</v>
      </c>
    </row>
    <row r="42" spans="4:5">
      <c r="D42">
        <v>315</v>
      </c>
      <c r="E42">
        <v>315</v>
      </c>
    </row>
    <row r="43" spans="4:5">
      <c r="D43">
        <v>315</v>
      </c>
      <c r="E43">
        <v>315</v>
      </c>
    </row>
    <row r="44" spans="4:5">
      <c r="D44">
        <v>329</v>
      </c>
      <c r="E44">
        <v>329</v>
      </c>
    </row>
    <row r="45" spans="4:5">
      <c r="D45">
        <v>353</v>
      </c>
      <c r="E45">
        <v>353</v>
      </c>
    </row>
    <row r="46" spans="4:5">
      <c r="D46">
        <v>356</v>
      </c>
      <c r="E46">
        <v>356</v>
      </c>
    </row>
    <row r="47" spans="4:5">
      <c r="D47">
        <v>360</v>
      </c>
      <c r="E47">
        <v>360</v>
      </c>
    </row>
    <row r="48" spans="4:5">
      <c r="D48">
        <v>377</v>
      </c>
      <c r="E48">
        <v>377</v>
      </c>
    </row>
    <row r="49" spans="4:5">
      <c r="D49">
        <v>398</v>
      </c>
      <c r="E49">
        <v>398</v>
      </c>
    </row>
    <row r="50" spans="4:5">
      <c r="D50">
        <v>403</v>
      </c>
      <c r="E50">
        <v>403</v>
      </c>
    </row>
    <row r="51" spans="4:5">
      <c r="D51">
        <v>407</v>
      </c>
      <c r="E51">
        <v>407</v>
      </c>
    </row>
    <row r="52" spans="4:5">
      <c r="D52">
        <v>410</v>
      </c>
      <c r="E52">
        <v>410</v>
      </c>
    </row>
    <row r="53" spans="4:5">
      <c r="D53">
        <v>411</v>
      </c>
      <c r="E53">
        <v>411</v>
      </c>
    </row>
    <row r="54" spans="4:5">
      <c r="D54">
        <v>414</v>
      </c>
      <c r="E54">
        <v>414</v>
      </c>
    </row>
    <row r="55" spans="4:5">
      <c r="D55">
        <v>414</v>
      </c>
      <c r="E55">
        <v>414</v>
      </c>
    </row>
    <row r="56" spans="4:5">
      <c r="D56">
        <v>415</v>
      </c>
      <c r="E56">
        <v>415</v>
      </c>
    </row>
    <row r="57" spans="4:5">
      <c r="D57">
        <v>415</v>
      </c>
      <c r="E57">
        <v>415</v>
      </c>
    </row>
    <row r="58" spans="4:5">
      <c r="D58">
        <v>418</v>
      </c>
      <c r="E58">
        <v>418</v>
      </c>
    </row>
    <row r="59" spans="4:5">
      <c r="D59">
        <v>419</v>
      </c>
      <c r="E59">
        <v>419</v>
      </c>
    </row>
    <row r="60" spans="4:5">
      <c r="D60">
        <v>419</v>
      </c>
      <c r="E60">
        <v>419</v>
      </c>
    </row>
    <row r="61" spans="4:5">
      <c r="D61">
        <v>421</v>
      </c>
      <c r="E61">
        <v>421</v>
      </c>
    </row>
    <row r="62" spans="4:5">
      <c r="D62">
        <v>421</v>
      </c>
      <c r="E62">
        <v>421</v>
      </c>
    </row>
    <row r="63" spans="4:5">
      <c r="D63">
        <v>421</v>
      </c>
      <c r="E63">
        <v>421</v>
      </c>
    </row>
    <row r="64" spans="4:5">
      <c r="D64">
        <v>432</v>
      </c>
      <c r="E64">
        <v>432</v>
      </c>
    </row>
    <row r="65" spans="4:5">
      <c r="D65">
        <v>440</v>
      </c>
      <c r="E65">
        <v>440</v>
      </c>
    </row>
    <row r="66" spans="4:5">
      <c r="D66">
        <v>443</v>
      </c>
      <c r="E66">
        <v>443</v>
      </c>
    </row>
    <row r="67" spans="4:5">
      <c r="D67">
        <v>450</v>
      </c>
      <c r="E67">
        <v>450</v>
      </c>
    </row>
    <row r="68" spans="4:5">
      <c r="D68">
        <v>455</v>
      </c>
      <c r="E68">
        <v>455</v>
      </c>
    </row>
    <row r="69" spans="4:5">
      <c r="D69">
        <v>621</v>
      </c>
      <c r="E69">
        <v>621</v>
      </c>
    </row>
    <row r="70" spans="4:5">
      <c r="D70">
        <v>627</v>
      </c>
      <c r="E70">
        <v>627</v>
      </c>
    </row>
    <row r="71" spans="4:5">
      <c r="D71">
        <v>631</v>
      </c>
      <c r="E71">
        <v>631</v>
      </c>
    </row>
    <row r="72" spans="4:5">
      <c r="D72">
        <v>840</v>
      </c>
      <c r="E72">
        <v>840</v>
      </c>
    </row>
  </sheetData>
  <sortState xmlns:xlrd2="http://schemas.microsoft.com/office/spreadsheetml/2017/richdata2" ref="E2:E71">
    <sortCondition ref="E2:E7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BFD23-CB06-4FD5-ABB9-2204C6F93AD3}">
  <dimension ref="A1:S132"/>
  <sheetViews>
    <sheetView workbookViewId="0">
      <selection activeCell="R91" sqref="R91"/>
    </sheetView>
  </sheetViews>
  <sheetFormatPr defaultColWidth="9.109375" defaultRowHeight="13.2"/>
  <cols>
    <col min="1" max="1" width="12.5546875" style="499" customWidth="1"/>
    <col min="2" max="5" width="9.109375" style="499"/>
    <col min="6" max="6" width="53.109375" style="499" bestFit="1" customWidth="1"/>
    <col min="7" max="8" width="13.109375" style="499" customWidth="1"/>
    <col min="9" max="10" width="9.109375" style="499"/>
    <col min="11" max="11" width="12.5546875" style="499" customWidth="1"/>
    <col min="12" max="12" width="13.5546875" style="499" customWidth="1"/>
    <col min="13" max="13" width="15.109375" style="499" customWidth="1"/>
    <col min="14" max="14" width="13.6640625" style="499" customWidth="1"/>
    <col min="15" max="15" width="14.5546875" style="499" customWidth="1"/>
    <col min="16" max="16" width="13" style="499" customWidth="1"/>
    <col min="17" max="17" width="16" style="499" customWidth="1"/>
    <col min="18" max="18" width="17.44140625" style="499" customWidth="1"/>
    <col min="19" max="19" width="16.33203125" style="499" customWidth="1"/>
    <col min="20" max="16384" width="9.109375" style="499"/>
  </cols>
  <sheetData>
    <row r="1" spans="1:19">
      <c r="A1" s="653" t="s">
        <v>739</v>
      </c>
      <c r="B1" s="653"/>
      <c r="C1" s="653"/>
      <c r="D1" s="653"/>
      <c r="E1" s="653"/>
      <c r="F1" s="654"/>
      <c r="G1" s="654"/>
    </row>
    <row r="2" spans="1:19">
      <c r="A2" s="512" t="s">
        <v>637</v>
      </c>
      <c r="B2" s="511" t="s">
        <v>738</v>
      </c>
      <c r="C2" s="510"/>
      <c r="D2" s="510"/>
      <c r="E2" s="510"/>
    </row>
    <row r="3" spans="1:19">
      <c r="A3" s="512"/>
      <c r="B3" s="511"/>
      <c r="C3" s="510"/>
      <c r="D3" s="510"/>
      <c r="E3" s="508">
        <v>1</v>
      </c>
      <c r="F3" s="509">
        <v>2</v>
      </c>
      <c r="G3" s="508">
        <v>3</v>
      </c>
      <c r="H3" s="509">
        <v>4</v>
      </c>
      <c r="I3" s="508">
        <v>5</v>
      </c>
      <c r="J3" s="509">
        <v>6</v>
      </c>
      <c r="K3" s="508">
        <v>7</v>
      </c>
      <c r="L3" s="509">
        <v>8</v>
      </c>
      <c r="M3" s="508">
        <v>9</v>
      </c>
      <c r="N3" s="509">
        <v>10</v>
      </c>
      <c r="O3" s="508">
        <v>11</v>
      </c>
      <c r="P3" s="509">
        <v>12</v>
      </c>
      <c r="Q3" s="508">
        <v>13</v>
      </c>
      <c r="R3" s="509">
        <v>14</v>
      </c>
      <c r="S3" s="508">
        <v>15</v>
      </c>
    </row>
    <row r="4" spans="1:19">
      <c r="A4" s="654"/>
      <c r="B4" s="654"/>
      <c r="C4" s="654"/>
      <c r="D4" s="654"/>
      <c r="E4" s="654"/>
      <c r="F4" s="654"/>
      <c r="G4" s="654"/>
      <c r="H4" s="654"/>
      <c r="I4" s="654"/>
      <c r="J4" s="655" t="s">
        <v>702</v>
      </c>
      <c r="K4" s="655"/>
      <c r="L4" s="655"/>
      <c r="M4" s="655"/>
      <c r="N4" s="655"/>
      <c r="O4" s="655"/>
      <c r="P4" s="655"/>
      <c r="Q4" s="655"/>
      <c r="R4" s="655" t="s">
        <v>662</v>
      </c>
      <c r="S4" s="655"/>
    </row>
    <row r="5" spans="1:19">
      <c r="A5" s="654"/>
      <c r="B5" s="654"/>
      <c r="C5" s="654"/>
      <c r="D5" s="654"/>
      <c r="E5" s="654"/>
      <c r="F5" s="654"/>
      <c r="G5" s="654"/>
      <c r="H5" s="654"/>
      <c r="I5" s="654"/>
      <c r="J5" s="655" t="s">
        <v>663</v>
      </c>
      <c r="K5" s="655"/>
      <c r="L5" s="655"/>
      <c r="M5" s="655"/>
      <c r="N5" s="655" t="s">
        <v>664</v>
      </c>
      <c r="O5" s="655"/>
      <c r="P5" s="655"/>
      <c r="Q5" s="655"/>
      <c r="R5" s="504"/>
      <c r="S5" s="504"/>
    </row>
    <row r="6" spans="1:19" ht="92.4">
      <c r="A6" s="507" t="s">
        <v>703</v>
      </c>
      <c r="B6" s="507" t="s">
        <v>704</v>
      </c>
      <c r="C6" s="507" t="s">
        <v>705</v>
      </c>
      <c r="D6" s="507" t="s">
        <v>706</v>
      </c>
      <c r="E6" s="506" t="s">
        <v>707</v>
      </c>
      <c r="F6" s="506" t="s">
        <v>128</v>
      </c>
      <c r="G6" s="507" t="s">
        <v>419</v>
      </c>
      <c r="H6" s="507" t="s">
        <v>668</v>
      </c>
      <c r="I6" s="506" t="s">
        <v>708</v>
      </c>
      <c r="J6" s="507" t="s">
        <v>709</v>
      </c>
      <c r="K6" s="507" t="s">
        <v>671</v>
      </c>
      <c r="L6" s="507" t="s">
        <v>710</v>
      </c>
      <c r="M6" s="507" t="s">
        <v>711</v>
      </c>
      <c r="N6" s="507" t="s">
        <v>712</v>
      </c>
      <c r="O6" s="507" t="s">
        <v>675</v>
      </c>
      <c r="P6" s="507" t="s">
        <v>713</v>
      </c>
      <c r="Q6" s="507" t="s">
        <v>711</v>
      </c>
      <c r="R6" s="506" t="s">
        <v>678</v>
      </c>
      <c r="S6" s="506" t="s">
        <v>714</v>
      </c>
    </row>
    <row r="7" spans="1:19">
      <c r="A7" s="505">
        <v>101255</v>
      </c>
      <c r="B7" s="505">
        <v>3021100</v>
      </c>
      <c r="C7" s="505">
        <v>302</v>
      </c>
      <c r="D7" s="504" t="s">
        <v>431</v>
      </c>
      <c r="E7" s="505">
        <v>1100</v>
      </c>
      <c r="F7" s="504" t="s">
        <v>327</v>
      </c>
      <c r="G7" s="504" t="s">
        <v>446</v>
      </c>
      <c r="H7" s="504" t="s">
        <v>683</v>
      </c>
      <c r="I7" s="503">
        <v>30</v>
      </c>
      <c r="J7" s="503">
        <v>2.5</v>
      </c>
      <c r="K7" s="503">
        <v>2</v>
      </c>
      <c r="L7" s="503">
        <v>80</v>
      </c>
      <c r="M7" s="502">
        <v>2910</v>
      </c>
      <c r="N7" s="503">
        <v>27.5</v>
      </c>
      <c r="O7" s="503">
        <v>20.5</v>
      </c>
      <c r="P7" s="503">
        <v>74.55</v>
      </c>
      <c r="Q7" s="502">
        <v>21217.5</v>
      </c>
      <c r="R7" s="501">
        <v>22.5</v>
      </c>
      <c r="S7" s="500">
        <v>24127.5</v>
      </c>
    </row>
    <row r="8" spans="1:19">
      <c r="A8" s="505">
        <v>133749</v>
      </c>
      <c r="B8" s="505">
        <v>3021102</v>
      </c>
      <c r="C8" s="505">
        <v>302</v>
      </c>
      <c r="D8" s="504" t="s">
        <v>431</v>
      </c>
      <c r="E8" s="505">
        <v>1102</v>
      </c>
      <c r="F8" s="504" t="s">
        <v>348</v>
      </c>
      <c r="G8" s="504" t="s">
        <v>446</v>
      </c>
      <c r="H8" s="504" t="s">
        <v>681</v>
      </c>
      <c r="I8" s="503">
        <v>10.5</v>
      </c>
      <c r="J8" s="503">
        <v>0</v>
      </c>
      <c r="K8" s="503">
        <v>0</v>
      </c>
      <c r="L8" s="503">
        <v>0</v>
      </c>
      <c r="M8" s="502">
        <v>0</v>
      </c>
      <c r="N8" s="503">
        <v>10.5</v>
      </c>
      <c r="O8" s="503">
        <v>6.5</v>
      </c>
      <c r="P8" s="503">
        <v>61.9</v>
      </c>
      <c r="Q8" s="502">
        <v>6727.5</v>
      </c>
      <c r="R8" s="501">
        <v>6.5</v>
      </c>
      <c r="S8" s="500">
        <v>6727.5</v>
      </c>
    </row>
    <row r="9" spans="1:19">
      <c r="A9" s="505">
        <v>136938</v>
      </c>
      <c r="B9" s="505">
        <v>3022001</v>
      </c>
      <c r="C9" s="505">
        <v>302</v>
      </c>
      <c r="D9" s="504" t="s">
        <v>431</v>
      </c>
      <c r="E9" s="505">
        <v>2001</v>
      </c>
      <c r="F9" s="504" t="s">
        <v>355</v>
      </c>
      <c r="G9" s="504" t="s">
        <v>420</v>
      </c>
      <c r="H9" s="504" t="s">
        <v>681</v>
      </c>
      <c r="I9" s="503">
        <v>159</v>
      </c>
      <c r="J9" s="503">
        <v>159</v>
      </c>
      <c r="K9" s="503">
        <v>5</v>
      </c>
      <c r="L9" s="503">
        <v>3.14</v>
      </c>
      <c r="M9" s="502">
        <v>7275</v>
      </c>
      <c r="N9" s="503">
        <v>0</v>
      </c>
      <c r="O9" s="503">
        <v>0</v>
      </c>
      <c r="P9" s="503">
        <v>0</v>
      </c>
      <c r="Q9" s="502">
        <v>0</v>
      </c>
      <c r="R9" s="501">
        <v>5</v>
      </c>
      <c r="S9" s="500">
        <v>7275</v>
      </c>
    </row>
    <row r="10" spans="1:19">
      <c r="A10" s="505">
        <v>101258</v>
      </c>
      <c r="B10" s="505">
        <v>3022002</v>
      </c>
      <c r="C10" s="505">
        <v>302</v>
      </c>
      <c r="D10" s="504" t="s">
        <v>431</v>
      </c>
      <c r="E10" s="505">
        <v>2002</v>
      </c>
      <c r="F10" s="504" t="s">
        <v>258</v>
      </c>
      <c r="G10" s="504" t="s">
        <v>680</v>
      </c>
      <c r="H10" s="504" t="s">
        <v>681</v>
      </c>
      <c r="I10" s="503">
        <v>419</v>
      </c>
      <c r="J10" s="503">
        <v>419</v>
      </c>
      <c r="K10" s="503">
        <v>84</v>
      </c>
      <c r="L10" s="503">
        <v>20.05</v>
      </c>
      <c r="M10" s="502">
        <v>122220</v>
      </c>
      <c r="N10" s="503">
        <v>0</v>
      </c>
      <c r="O10" s="503">
        <v>0</v>
      </c>
      <c r="P10" s="503">
        <v>0</v>
      </c>
      <c r="Q10" s="502">
        <v>0</v>
      </c>
      <c r="R10" s="501">
        <v>84</v>
      </c>
      <c r="S10" s="500">
        <v>122220</v>
      </c>
    </row>
    <row r="11" spans="1:19">
      <c r="A11" s="505">
        <v>101259</v>
      </c>
      <c r="B11" s="505">
        <v>3022003</v>
      </c>
      <c r="C11" s="505">
        <v>302</v>
      </c>
      <c r="D11" s="504" t="s">
        <v>431</v>
      </c>
      <c r="E11" s="505">
        <v>2003</v>
      </c>
      <c r="F11" s="504" t="s">
        <v>260</v>
      </c>
      <c r="G11" s="504" t="s">
        <v>680</v>
      </c>
      <c r="H11" s="504" t="s">
        <v>681</v>
      </c>
      <c r="I11" s="503">
        <v>346</v>
      </c>
      <c r="J11" s="503">
        <v>346</v>
      </c>
      <c r="K11" s="503">
        <v>134</v>
      </c>
      <c r="L11" s="503">
        <v>38.729999999999997</v>
      </c>
      <c r="M11" s="502">
        <v>194970</v>
      </c>
      <c r="N11" s="503">
        <v>0</v>
      </c>
      <c r="O11" s="503">
        <v>0</v>
      </c>
      <c r="P11" s="503">
        <v>0</v>
      </c>
      <c r="Q11" s="502">
        <v>0</v>
      </c>
      <c r="R11" s="501">
        <v>134</v>
      </c>
      <c r="S11" s="500">
        <v>194970</v>
      </c>
    </row>
    <row r="12" spans="1:19">
      <c r="A12" s="505">
        <v>138272</v>
      </c>
      <c r="B12" s="505">
        <v>3022004</v>
      </c>
      <c r="C12" s="505">
        <v>302</v>
      </c>
      <c r="D12" s="504" t="s">
        <v>431</v>
      </c>
      <c r="E12" s="505">
        <v>2004</v>
      </c>
      <c r="F12" s="504" t="s">
        <v>356</v>
      </c>
      <c r="G12" s="504" t="s">
        <v>420</v>
      </c>
      <c r="H12" s="504" t="s">
        <v>682</v>
      </c>
      <c r="I12" s="503">
        <v>198</v>
      </c>
      <c r="J12" s="503">
        <v>198</v>
      </c>
      <c r="K12" s="503">
        <v>4</v>
      </c>
      <c r="L12" s="503">
        <v>2.02</v>
      </c>
      <c r="M12" s="502">
        <v>5820</v>
      </c>
      <c r="N12" s="503">
        <v>0</v>
      </c>
      <c r="O12" s="503">
        <v>0</v>
      </c>
      <c r="P12" s="503">
        <v>0</v>
      </c>
      <c r="Q12" s="502">
        <v>0</v>
      </c>
      <c r="R12" s="501">
        <v>4</v>
      </c>
      <c r="S12" s="500">
        <v>5820</v>
      </c>
    </row>
    <row r="13" spans="1:19">
      <c r="A13" s="505">
        <v>101262</v>
      </c>
      <c r="B13" s="505">
        <v>3022007</v>
      </c>
      <c r="C13" s="505">
        <v>302</v>
      </c>
      <c r="D13" s="504" t="s">
        <v>431</v>
      </c>
      <c r="E13" s="505">
        <v>2007</v>
      </c>
      <c r="F13" s="504" t="s">
        <v>42</v>
      </c>
      <c r="G13" s="504" t="s">
        <v>680</v>
      </c>
      <c r="H13" s="504" t="s">
        <v>682</v>
      </c>
      <c r="I13" s="503">
        <v>359</v>
      </c>
      <c r="J13" s="503">
        <v>359</v>
      </c>
      <c r="K13" s="503">
        <v>73</v>
      </c>
      <c r="L13" s="503">
        <v>20.329999999999998</v>
      </c>
      <c r="M13" s="502">
        <v>106215</v>
      </c>
      <c r="N13" s="503">
        <v>0</v>
      </c>
      <c r="O13" s="503">
        <v>0</v>
      </c>
      <c r="P13" s="503">
        <v>0</v>
      </c>
      <c r="Q13" s="502">
        <v>0</v>
      </c>
      <c r="R13" s="501">
        <v>73</v>
      </c>
      <c r="S13" s="500">
        <v>106215</v>
      </c>
    </row>
    <row r="14" spans="1:19">
      <c r="A14" s="505">
        <v>101263</v>
      </c>
      <c r="B14" s="505">
        <v>3022008</v>
      </c>
      <c r="C14" s="505">
        <v>302</v>
      </c>
      <c r="D14" s="504" t="s">
        <v>431</v>
      </c>
      <c r="E14" s="505">
        <v>2008</v>
      </c>
      <c r="F14" s="504" t="s">
        <v>261</v>
      </c>
      <c r="G14" s="504" t="s">
        <v>680</v>
      </c>
      <c r="H14" s="504" t="s">
        <v>682</v>
      </c>
      <c r="I14" s="503">
        <v>270</v>
      </c>
      <c r="J14" s="503">
        <v>270</v>
      </c>
      <c r="K14" s="503">
        <v>38</v>
      </c>
      <c r="L14" s="503">
        <v>14.07</v>
      </c>
      <c r="M14" s="502">
        <v>55290</v>
      </c>
      <c r="N14" s="503">
        <v>0</v>
      </c>
      <c r="O14" s="503">
        <v>0</v>
      </c>
      <c r="P14" s="503">
        <v>0</v>
      </c>
      <c r="Q14" s="502">
        <v>0</v>
      </c>
      <c r="R14" s="501">
        <v>38</v>
      </c>
      <c r="S14" s="500">
        <v>55290</v>
      </c>
    </row>
    <row r="15" spans="1:19">
      <c r="A15" s="505">
        <v>101264</v>
      </c>
      <c r="B15" s="505">
        <v>3022009</v>
      </c>
      <c r="C15" s="505">
        <v>302</v>
      </c>
      <c r="D15" s="504" t="s">
        <v>431</v>
      </c>
      <c r="E15" s="505">
        <v>2009</v>
      </c>
      <c r="F15" s="504" t="s">
        <v>262</v>
      </c>
      <c r="G15" s="504" t="s">
        <v>680</v>
      </c>
      <c r="H15" s="504" t="s">
        <v>683</v>
      </c>
      <c r="I15" s="503">
        <v>423</v>
      </c>
      <c r="J15" s="503">
        <v>423</v>
      </c>
      <c r="K15" s="503">
        <v>82</v>
      </c>
      <c r="L15" s="503">
        <v>19.39</v>
      </c>
      <c r="M15" s="502">
        <v>119310</v>
      </c>
      <c r="N15" s="503">
        <v>0</v>
      </c>
      <c r="O15" s="503">
        <v>0</v>
      </c>
      <c r="P15" s="503">
        <v>0</v>
      </c>
      <c r="Q15" s="502">
        <v>0</v>
      </c>
      <c r="R15" s="501">
        <v>82</v>
      </c>
      <c r="S15" s="500">
        <v>119310</v>
      </c>
    </row>
    <row r="16" spans="1:19">
      <c r="A16" s="505">
        <v>147706</v>
      </c>
      <c r="B16" s="505">
        <v>3022010</v>
      </c>
      <c r="C16" s="505">
        <v>302</v>
      </c>
      <c r="D16" s="504" t="s">
        <v>431</v>
      </c>
      <c r="E16" s="505">
        <v>2010</v>
      </c>
      <c r="F16" s="504" t="s">
        <v>511</v>
      </c>
      <c r="G16" s="504" t="s">
        <v>420</v>
      </c>
      <c r="H16" s="504" t="s">
        <v>682</v>
      </c>
      <c r="I16" s="503">
        <v>418</v>
      </c>
      <c r="J16" s="503">
        <v>418</v>
      </c>
      <c r="K16" s="503">
        <v>134</v>
      </c>
      <c r="L16" s="503">
        <v>32.06</v>
      </c>
      <c r="M16" s="502">
        <v>194970</v>
      </c>
      <c r="N16" s="503">
        <v>0</v>
      </c>
      <c r="O16" s="503">
        <v>0</v>
      </c>
      <c r="P16" s="503">
        <v>0</v>
      </c>
      <c r="Q16" s="502">
        <v>0</v>
      </c>
      <c r="R16" s="501">
        <v>134</v>
      </c>
      <c r="S16" s="500">
        <v>194970</v>
      </c>
    </row>
    <row r="17" spans="1:19">
      <c r="A17" s="505">
        <v>101266</v>
      </c>
      <c r="B17" s="505">
        <v>3022011</v>
      </c>
      <c r="C17" s="505">
        <v>302</v>
      </c>
      <c r="D17" s="504" t="s">
        <v>431</v>
      </c>
      <c r="E17" s="505">
        <v>2011</v>
      </c>
      <c r="F17" s="504" t="s">
        <v>47</v>
      </c>
      <c r="G17" s="504" t="s">
        <v>680</v>
      </c>
      <c r="H17" s="504" t="s">
        <v>683</v>
      </c>
      <c r="I17" s="503">
        <v>211</v>
      </c>
      <c r="J17" s="503">
        <v>211</v>
      </c>
      <c r="K17" s="503">
        <v>37</v>
      </c>
      <c r="L17" s="503">
        <v>17.54</v>
      </c>
      <c r="M17" s="502">
        <v>53835</v>
      </c>
      <c r="N17" s="503">
        <v>0</v>
      </c>
      <c r="O17" s="503">
        <v>0</v>
      </c>
      <c r="P17" s="503">
        <v>0</v>
      </c>
      <c r="Q17" s="502">
        <v>0</v>
      </c>
      <c r="R17" s="501">
        <v>37</v>
      </c>
      <c r="S17" s="500">
        <v>53835</v>
      </c>
    </row>
    <row r="18" spans="1:19">
      <c r="A18" s="505">
        <v>101269</v>
      </c>
      <c r="B18" s="505">
        <v>3022014</v>
      </c>
      <c r="C18" s="505">
        <v>302</v>
      </c>
      <c r="D18" s="504" t="s">
        <v>431</v>
      </c>
      <c r="E18" s="505">
        <v>2014</v>
      </c>
      <c r="F18" s="504" t="s">
        <v>266</v>
      </c>
      <c r="G18" s="504" t="s">
        <v>680</v>
      </c>
      <c r="H18" s="504" t="s">
        <v>681</v>
      </c>
      <c r="I18" s="503">
        <v>626</v>
      </c>
      <c r="J18" s="503">
        <v>626</v>
      </c>
      <c r="K18" s="503">
        <v>188</v>
      </c>
      <c r="L18" s="503">
        <v>30.03</v>
      </c>
      <c r="M18" s="502">
        <v>273540</v>
      </c>
      <c r="N18" s="503">
        <v>0</v>
      </c>
      <c r="O18" s="503">
        <v>0</v>
      </c>
      <c r="P18" s="503">
        <v>0</v>
      </c>
      <c r="Q18" s="502">
        <v>0</v>
      </c>
      <c r="R18" s="501">
        <v>188</v>
      </c>
      <c r="S18" s="500">
        <v>273540</v>
      </c>
    </row>
    <row r="19" spans="1:19">
      <c r="A19" s="505">
        <v>101270</v>
      </c>
      <c r="B19" s="505">
        <v>3022015</v>
      </c>
      <c r="C19" s="505">
        <v>302</v>
      </c>
      <c r="D19" s="504" t="s">
        <v>431</v>
      </c>
      <c r="E19" s="505">
        <v>2015</v>
      </c>
      <c r="F19" s="504" t="s">
        <v>267</v>
      </c>
      <c r="G19" s="504" t="s">
        <v>680</v>
      </c>
      <c r="H19" s="504" t="s">
        <v>683</v>
      </c>
      <c r="I19" s="503">
        <v>221</v>
      </c>
      <c r="J19" s="503">
        <v>221</v>
      </c>
      <c r="K19" s="503">
        <v>73</v>
      </c>
      <c r="L19" s="503">
        <v>33.03</v>
      </c>
      <c r="M19" s="502">
        <v>106215</v>
      </c>
      <c r="N19" s="503">
        <v>0</v>
      </c>
      <c r="O19" s="503">
        <v>0</v>
      </c>
      <c r="P19" s="503">
        <v>0</v>
      </c>
      <c r="Q19" s="502">
        <v>0</v>
      </c>
      <c r="R19" s="501">
        <v>73</v>
      </c>
      <c r="S19" s="500">
        <v>106215</v>
      </c>
    </row>
    <row r="20" spans="1:19">
      <c r="A20" s="505">
        <v>101271</v>
      </c>
      <c r="B20" s="505">
        <v>3022016</v>
      </c>
      <c r="C20" s="505">
        <v>302</v>
      </c>
      <c r="D20" s="504" t="s">
        <v>431</v>
      </c>
      <c r="E20" s="505">
        <v>2016</v>
      </c>
      <c r="F20" s="504" t="s">
        <v>52</v>
      </c>
      <c r="G20" s="504" t="s">
        <v>680</v>
      </c>
      <c r="H20" s="504" t="s">
        <v>681</v>
      </c>
      <c r="I20" s="503">
        <v>210</v>
      </c>
      <c r="J20" s="503">
        <v>210</v>
      </c>
      <c r="K20" s="503">
        <v>22</v>
      </c>
      <c r="L20" s="503">
        <v>10.48</v>
      </c>
      <c r="M20" s="502">
        <v>32010</v>
      </c>
      <c r="N20" s="503">
        <v>0</v>
      </c>
      <c r="O20" s="503">
        <v>0</v>
      </c>
      <c r="P20" s="503">
        <v>0</v>
      </c>
      <c r="Q20" s="502">
        <v>0</v>
      </c>
      <c r="R20" s="501">
        <v>22</v>
      </c>
      <c r="S20" s="500">
        <v>32010</v>
      </c>
    </row>
    <row r="21" spans="1:19">
      <c r="A21" s="505">
        <v>101272</v>
      </c>
      <c r="B21" s="505">
        <v>3022017</v>
      </c>
      <c r="C21" s="505">
        <v>302</v>
      </c>
      <c r="D21" s="504" t="s">
        <v>431</v>
      </c>
      <c r="E21" s="505">
        <v>2017</v>
      </c>
      <c r="F21" s="504" t="s">
        <v>268</v>
      </c>
      <c r="G21" s="504" t="s">
        <v>680</v>
      </c>
      <c r="H21" s="504" t="s">
        <v>683</v>
      </c>
      <c r="I21" s="503">
        <v>415</v>
      </c>
      <c r="J21" s="503">
        <v>415</v>
      </c>
      <c r="K21" s="503">
        <v>88</v>
      </c>
      <c r="L21" s="503">
        <v>21.2</v>
      </c>
      <c r="M21" s="502">
        <v>128040</v>
      </c>
      <c r="N21" s="503">
        <v>0</v>
      </c>
      <c r="O21" s="503">
        <v>0</v>
      </c>
      <c r="P21" s="503">
        <v>0</v>
      </c>
      <c r="Q21" s="502">
        <v>0</v>
      </c>
      <c r="R21" s="501">
        <v>88</v>
      </c>
      <c r="S21" s="500">
        <v>128040</v>
      </c>
    </row>
    <row r="22" spans="1:19">
      <c r="A22" s="505">
        <v>139489</v>
      </c>
      <c r="B22" s="505">
        <v>3022018</v>
      </c>
      <c r="C22" s="505">
        <v>302</v>
      </c>
      <c r="D22" s="504" t="s">
        <v>431</v>
      </c>
      <c r="E22" s="505">
        <v>2018</v>
      </c>
      <c r="F22" s="504" t="s">
        <v>56</v>
      </c>
      <c r="G22" s="504" t="s">
        <v>420</v>
      </c>
      <c r="H22" s="504" t="s">
        <v>681</v>
      </c>
      <c r="I22" s="503">
        <v>297.5</v>
      </c>
      <c r="J22" s="503">
        <v>297.5</v>
      </c>
      <c r="K22" s="503">
        <v>97</v>
      </c>
      <c r="L22" s="503">
        <v>32.61</v>
      </c>
      <c r="M22" s="502">
        <v>141135</v>
      </c>
      <c r="N22" s="503">
        <v>0</v>
      </c>
      <c r="O22" s="503">
        <v>0</v>
      </c>
      <c r="P22" s="503">
        <v>0</v>
      </c>
      <c r="Q22" s="502">
        <v>0</v>
      </c>
      <c r="R22" s="501">
        <v>97</v>
      </c>
      <c r="S22" s="500">
        <v>141135</v>
      </c>
    </row>
    <row r="23" spans="1:19">
      <c r="A23" s="505">
        <v>101274</v>
      </c>
      <c r="B23" s="505">
        <v>3022019</v>
      </c>
      <c r="C23" s="505">
        <v>302</v>
      </c>
      <c r="D23" s="504" t="s">
        <v>431</v>
      </c>
      <c r="E23" s="505">
        <v>2019</v>
      </c>
      <c r="F23" s="504" t="s">
        <v>55</v>
      </c>
      <c r="G23" s="504" t="s">
        <v>680</v>
      </c>
      <c r="H23" s="504" t="s">
        <v>681</v>
      </c>
      <c r="I23" s="503">
        <v>209</v>
      </c>
      <c r="J23" s="503">
        <v>209</v>
      </c>
      <c r="K23" s="503">
        <v>54</v>
      </c>
      <c r="L23" s="503">
        <v>25.84</v>
      </c>
      <c r="M23" s="502">
        <v>78570</v>
      </c>
      <c r="N23" s="503">
        <v>0</v>
      </c>
      <c r="O23" s="503">
        <v>0</v>
      </c>
      <c r="P23" s="503">
        <v>0</v>
      </c>
      <c r="Q23" s="502">
        <v>0</v>
      </c>
      <c r="R23" s="501">
        <v>54</v>
      </c>
      <c r="S23" s="500">
        <v>78570</v>
      </c>
    </row>
    <row r="24" spans="1:19">
      <c r="A24" s="505">
        <v>139562</v>
      </c>
      <c r="B24" s="505">
        <v>3022020</v>
      </c>
      <c r="C24" s="505">
        <v>302</v>
      </c>
      <c r="D24" s="504" t="s">
        <v>431</v>
      </c>
      <c r="E24" s="505">
        <v>2020</v>
      </c>
      <c r="F24" s="504" t="s">
        <v>361</v>
      </c>
      <c r="G24" s="504" t="s">
        <v>420</v>
      </c>
      <c r="H24" s="504" t="s">
        <v>683</v>
      </c>
      <c r="I24" s="503">
        <v>200</v>
      </c>
      <c r="J24" s="503">
        <v>200</v>
      </c>
      <c r="K24" s="503">
        <v>10</v>
      </c>
      <c r="L24" s="503">
        <v>5</v>
      </c>
      <c r="M24" s="502">
        <v>14550</v>
      </c>
      <c r="N24" s="503">
        <v>0</v>
      </c>
      <c r="O24" s="503">
        <v>0</v>
      </c>
      <c r="P24" s="503">
        <v>0</v>
      </c>
      <c r="Q24" s="502">
        <v>0</v>
      </c>
      <c r="R24" s="501">
        <v>10</v>
      </c>
      <c r="S24" s="500">
        <v>14550</v>
      </c>
    </row>
    <row r="25" spans="1:19">
      <c r="A25" s="505">
        <v>101275</v>
      </c>
      <c r="B25" s="505">
        <v>3022021</v>
      </c>
      <c r="C25" s="505">
        <v>302</v>
      </c>
      <c r="D25" s="504" t="s">
        <v>431</v>
      </c>
      <c r="E25" s="505">
        <v>2021</v>
      </c>
      <c r="F25" s="504" t="s">
        <v>474</v>
      </c>
      <c r="G25" s="504" t="s">
        <v>680</v>
      </c>
      <c r="H25" s="504" t="s">
        <v>681</v>
      </c>
      <c r="I25" s="503">
        <v>397</v>
      </c>
      <c r="J25" s="503">
        <v>397</v>
      </c>
      <c r="K25" s="503">
        <v>129</v>
      </c>
      <c r="L25" s="503">
        <v>32.49</v>
      </c>
      <c r="M25" s="502">
        <v>187695</v>
      </c>
      <c r="N25" s="503">
        <v>0</v>
      </c>
      <c r="O25" s="503">
        <v>0</v>
      </c>
      <c r="P25" s="503">
        <v>0</v>
      </c>
      <c r="Q25" s="502">
        <v>0</v>
      </c>
      <c r="R25" s="501">
        <v>129</v>
      </c>
      <c r="S25" s="500">
        <v>187695</v>
      </c>
    </row>
    <row r="26" spans="1:19">
      <c r="A26" s="505">
        <v>101277</v>
      </c>
      <c r="B26" s="505">
        <v>3022023</v>
      </c>
      <c r="C26" s="505">
        <v>302</v>
      </c>
      <c r="D26" s="504" t="s">
        <v>431</v>
      </c>
      <c r="E26" s="505">
        <v>2023</v>
      </c>
      <c r="F26" s="504" t="s">
        <v>412</v>
      </c>
      <c r="G26" s="504" t="s">
        <v>680</v>
      </c>
      <c r="H26" s="504" t="s">
        <v>681</v>
      </c>
      <c r="I26" s="503">
        <v>425</v>
      </c>
      <c r="J26" s="503">
        <v>425</v>
      </c>
      <c r="K26" s="503">
        <v>160</v>
      </c>
      <c r="L26" s="503">
        <v>37.65</v>
      </c>
      <c r="M26" s="502">
        <v>232800</v>
      </c>
      <c r="N26" s="503">
        <v>0</v>
      </c>
      <c r="O26" s="503">
        <v>0</v>
      </c>
      <c r="P26" s="503">
        <v>0</v>
      </c>
      <c r="Q26" s="502">
        <v>0</v>
      </c>
      <c r="R26" s="501">
        <v>160</v>
      </c>
      <c r="S26" s="500">
        <v>232800</v>
      </c>
    </row>
    <row r="27" spans="1:19">
      <c r="A27" s="505">
        <v>101278</v>
      </c>
      <c r="B27" s="505">
        <v>3022024</v>
      </c>
      <c r="C27" s="505">
        <v>302</v>
      </c>
      <c r="D27" s="504" t="s">
        <v>431</v>
      </c>
      <c r="E27" s="505">
        <v>2024</v>
      </c>
      <c r="F27" s="504" t="s">
        <v>421</v>
      </c>
      <c r="G27" s="504" t="s">
        <v>680</v>
      </c>
      <c r="H27" s="504" t="s">
        <v>681</v>
      </c>
      <c r="I27" s="503">
        <v>201</v>
      </c>
      <c r="J27" s="503">
        <v>201</v>
      </c>
      <c r="K27" s="503">
        <v>82.5</v>
      </c>
      <c r="L27" s="503">
        <v>41.04</v>
      </c>
      <c r="M27" s="502">
        <v>120037.5</v>
      </c>
      <c r="N27" s="503">
        <v>0</v>
      </c>
      <c r="O27" s="503">
        <v>0</v>
      </c>
      <c r="P27" s="503">
        <v>0</v>
      </c>
      <c r="Q27" s="502">
        <v>0</v>
      </c>
      <c r="R27" s="501">
        <v>82.5</v>
      </c>
      <c r="S27" s="500">
        <v>120037.5</v>
      </c>
    </row>
    <row r="28" spans="1:19">
      <c r="A28" s="505">
        <v>101279</v>
      </c>
      <c r="B28" s="505">
        <v>3022025</v>
      </c>
      <c r="C28" s="505">
        <v>302</v>
      </c>
      <c r="D28" s="504" t="s">
        <v>431</v>
      </c>
      <c r="E28" s="505">
        <v>2025</v>
      </c>
      <c r="F28" s="504" t="s">
        <v>62</v>
      </c>
      <c r="G28" s="504" t="s">
        <v>680</v>
      </c>
      <c r="H28" s="504" t="s">
        <v>683</v>
      </c>
      <c r="I28" s="503">
        <v>321</v>
      </c>
      <c r="J28" s="503">
        <v>321</v>
      </c>
      <c r="K28" s="503">
        <v>10</v>
      </c>
      <c r="L28" s="503">
        <v>3.12</v>
      </c>
      <c r="M28" s="502">
        <v>14550</v>
      </c>
      <c r="N28" s="503">
        <v>0</v>
      </c>
      <c r="O28" s="503">
        <v>0</v>
      </c>
      <c r="P28" s="503">
        <v>0</v>
      </c>
      <c r="Q28" s="502">
        <v>0</v>
      </c>
      <c r="R28" s="501">
        <v>10</v>
      </c>
      <c r="S28" s="500">
        <v>14550</v>
      </c>
    </row>
    <row r="29" spans="1:19">
      <c r="A29" s="505">
        <v>101280</v>
      </c>
      <c r="B29" s="505">
        <v>3022026</v>
      </c>
      <c r="C29" s="505">
        <v>302</v>
      </c>
      <c r="D29" s="504" t="s">
        <v>431</v>
      </c>
      <c r="E29" s="505">
        <v>2026</v>
      </c>
      <c r="F29" s="504" t="s">
        <v>270</v>
      </c>
      <c r="G29" s="504" t="s">
        <v>680</v>
      </c>
      <c r="H29" s="504" t="s">
        <v>681</v>
      </c>
      <c r="I29" s="503">
        <v>453</v>
      </c>
      <c r="J29" s="503">
        <v>453</v>
      </c>
      <c r="K29" s="503">
        <v>72</v>
      </c>
      <c r="L29" s="503">
        <v>15.89</v>
      </c>
      <c r="M29" s="502">
        <v>104760</v>
      </c>
      <c r="N29" s="503">
        <v>0</v>
      </c>
      <c r="O29" s="503">
        <v>0</v>
      </c>
      <c r="P29" s="503">
        <v>0</v>
      </c>
      <c r="Q29" s="502">
        <v>0</v>
      </c>
      <c r="R29" s="501">
        <v>72</v>
      </c>
      <c r="S29" s="500">
        <v>104760</v>
      </c>
    </row>
    <row r="30" spans="1:19">
      <c r="A30" s="505">
        <v>101281</v>
      </c>
      <c r="B30" s="505">
        <v>3022027</v>
      </c>
      <c r="C30" s="505">
        <v>302</v>
      </c>
      <c r="D30" s="504" t="s">
        <v>431</v>
      </c>
      <c r="E30" s="505">
        <v>2027</v>
      </c>
      <c r="F30" s="504" t="s">
        <v>65</v>
      </c>
      <c r="G30" s="504" t="s">
        <v>680</v>
      </c>
      <c r="H30" s="504" t="s">
        <v>682</v>
      </c>
      <c r="I30" s="503">
        <v>336</v>
      </c>
      <c r="J30" s="503">
        <v>336</v>
      </c>
      <c r="K30" s="503">
        <v>91</v>
      </c>
      <c r="L30" s="503">
        <v>27.08</v>
      </c>
      <c r="M30" s="502">
        <v>132405</v>
      </c>
      <c r="N30" s="503">
        <v>0</v>
      </c>
      <c r="O30" s="503">
        <v>0</v>
      </c>
      <c r="P30" s="503">
        <v>0</v>
      </c>
      <c r="Q30" s="502">
        <v>0</v>
      </c>
      <c r="R30" s="501">
        <v>91</v>
      </c>
      <c r="S30" s="500">
        <v>132405</v>
      </c>
    </row>
    <row r="31" spans="1:19">
      <c r="A31" s="505">
        <v>101282</v>
      </c>
      <c r="B31" s="505">
        <v>3022028</v>
      </c>
      <c r="C31" s="505">
        <v>302</v>
      </c>
      <c r="D31" s="504" t="s">
        <v>431</v>
      </c>
      <c r="E31" s="505">
        <v>2028</v>
      </c>
      <c r="F31" s="504" t="s">
        <v>64</v>
      </c>
      <c r="G31" s="504" t="s">
        <v>680</v>
      </c>
      <c r="H31" s="504" t="s">
        <v>682</v>
      </c>
      <c r="I31" s="503">
        <v>239</v>
      </c>
      <c r="J31" s="503">
        <v>239</v>
      </c>
      <c r="K31" s="503">
        <v>53</v>
      </c>
      <c r="L31" s="503">
        <v>22.18</v>
      </c>
      <c r="M31" s="502">
        <v>77115</v>
      </c>
      <c r="N31" s="503">
        <v>0</v>
      </c>
      <c r="O31" s="503">
        <v>0</v>
      </c>
      <c r="P31" s="503">
        <v>0</v>
      </c>
      <c r="Q31" s="502">
        <v>0</v>
      </c>
      <c r="R31" s="501">
        <v>53</v>
      </c>
      <c r="S31" s="500">
        <v>77115</v>
      </c>
    </row>
    <row r="32" spans="1:19">
      <c r="A32" s="505">
        <v>101283</v>
      </c>
      <c r="B32" s="505">
        <v>3022029</v>
      </c>
      <c r="C32" s="505">
        <v>302</v>
      </c>
      <c r="D32" s="504" t="s">
        <v>431</v>
      </c>
      <c r="E32" s="505">
        <v>2029</v>
      </c>
      <c r="F32" s="504" t="s">
        <v>271</v>
      </c>
      <c r="G32" s="504" t="s">
        <v>680</v>
      </c>
      <c r="H32" s="504" t="s">
        <v>681</v>
      </c>
      <c r="I32" s="503">
        <v>418</v>
      </c>
      <c r="J32" s="503">
        <v>418</v>
      </c>
      <c r="K32" s="503">
        <v>153</v>
      </c>
      <c r="L32" s="503">
        <v>36.6</v>
      </c>
      <c r="M32" s="502">
        <v>222615</v>
      </c>
      <c r="N32" s="503">
        <v>0</v>
      </c>
      <c r="O32" s="503">
        <v>0</v>
      </c>
      <c r="P32" s="503">
        <v>0</v>
      </c>
      <c r="Q32" s="502">
        <v>0</v>
      </c>
      <c r="R32" s="501">
        <v>153</v>
      </c>
      <c r="S32" s="500">
        <v>222615</v>
      </c>
    </row>
    <row r="33" spans="1:19">
      <c r="A33" s="505">
        <v>101285</v>
      </c>
      <c r="B33" s="505">
        <v>3022031</v>
      </c>
      <c r="C33" s="505">
        <v>302</v>
      </c>
      <c r="D33" s="504" t="s">
        <v>431</v>
      </c>
      <c r="E33" s="505">
        <v>2031</v>
      </c>
      <c r="F33" s="504" t="s">
        <v>272</v>
      </c>
      <c r="G33" s="504" t="s">
        <v>680</v>
      </c>
      <c r="H33" s="504" t="s">
        <v>683</v>
      </c>
      <c r="I33" s="503">
        <v>187</v>
      </c>
      <c r="J33" s="503">
        <v>187</v>
      </c>
      <c r="K33" s="503">
        <v>84</v>
      </c>
      <c r="L33" s="503">
        <v>44.92</v>
      </c>
      <c r="M33" s="502">
        <v>122220</v>
      </c>
      <c r="N33" s="503">
        <v>0</v>
      </c>
      <c r="O33" s="503">
        <v>0</v>
      </c>
      <c r="P33" s="503">
        <v>0</v>
      </c>
      <c r="Q33" s="502">
        <v>0</v>
      </c>
      <c r="R33" s="501">
        <v>84</v>
      </c>
      <c r="S33" s="500">
        <v>122220</v>
      </c>
    </row>
    <row r="34" spans="1:19">
      <c r="A34" s="505">
        <v>101286</v>
      </c>
      <c r="B34" s="505">
        <v>3022032</v>
      </c>
      <c r="C34" s="505">
        <v>302</v>
      </c>
      <c r="D34" s="504" t="s">
        <v>431</v>
      </c>
      <c r="E34" s="505">
        <v>2032</v>
      </c>
      <c r="F34" s="504" t="s">
        <v>273</v>
      </c>
      <c r="G34" s="504" t="s">
        <v>680</v>
      </c>
      <c r="H34" s="504" t="s">
        <v>683</v>
      </c>
      <c r="I34" s="503">
        <v>422</v>
      </c>
      <c r="J34" s="503">
        <v>422</v>
      </c>
      <c r="K34" s="503">
        <v>92</v>
      </c>
      <c r="L34" s="503">
        <v>21.8</v>
      </c>
      <c r="M34" s="502">
        <v>133860</v>
      </c>
      <c r="N34" s="503">
        <v>0</v>
      </c>
      <c r="O34" s="503">
        <v>0</v>
      </c>
      <c r="P34" s="503">
        <v>0</v>
      </c>
      <c r="Q34" s="502">
        <v>0</v>
      </c>
      <c r="R34" s="501">
        <v>92</v>
      </c>
      <c r="S34" s="500">
        <v>133860</v>
      </c>
    </row>
    <row r="35" spans="1:19">
      <c r="A35" s="505">
        <v>101289</v>
      </c>
      <c r="B35" s="505">
        <v>3022036</v>
      </c>
      <c r="C35" s="505">
        <v>302</v>
      </c>
      <c r="D35" s="504" t="s">
        <v>431</v>
      </c>
      <c r="E35" s="505">
        <v>2036</v>
      </c>
      <c r="F35" s="504" t="s">
        <v>422</v>
      </c>
      <c r="G35" s="504" t="s">
        <v>680</v>
      </c>
      <c r="H35" s="504" t="s">
        <v>683</v>
      </c>
      <c r="I35" s="503">
        <v>214</v>
      </c>
      <c r="J35" s="503">
        <v>214</v>
      </c>
      <c r="K35" s="503">
        <v>72.5</v>
      </c>
      <c r="L35" s="503">
        <v>33.880000000000003</v>
      </c>
      <c r="M35" s="502">
        <v>105487.5</v>
      </c>
      <c r="N35" s="503">
        <v>0</v>
      </c>
      <c r="O35" s="503">
        <v>0</v>
      </c>
      <c r="P35" s="503">
        <v>0</v>
      </c>
      <c r="Q35" s="502">
        <v>0</v>
      </c>
      <c r="R35" s="501">
        <v>72.5</v>
      </c>
      <c r="S35" s="500">
        <v>105487.5</v>
      </c>
    </row>
    <row r="36" spans="1:19">
      <c r="A36" s="505">
        <v>101290</v>
      </c>
      <c r="B36" s="505">
        <v>3022037</v>
      </c>
      <c r="C36" s="505">
        <v>302</v>
      </c>
      <c r="D36" s="504" t="s">
        <v>431</v>
      </c>
      <c r="E36" s="505">
        <v>2037</v>
      </c>
      <c r="F36" s="504" t="s">
        <v>275</v>
      </c>
      <c r="G36" s="504" t="s">
        <v>680</v>
      </c>
      <c r="H36" s="504" t="s">
        <v>682</v>
      </c>
      <c r="I36" s="503">
        <v>205</v>
      </c>
      <c r="J36" s="503">
        <v>205</v>
      </c>
      <c r="K36" s="503">
        <v>33</v>
      </c>
      <c r="L36" s="503">
        <v>16.100000000000001</v>
      </c>
      <c r="M36" s="502">
        <v>48015</v>
      </c>
      <c r="N36" s="503">
        <v>0</v>
      </c>
      <c r="O36" s="503">
        <v>0</v>
      </c>
      <c r="P36" s="503">
        <v>0</v>
      </c>
      <c r="Q36" s="502">
        <v>0</v>
      </c>
      <c r="R36" s="501">
        <v>33</v>
      </c>
      <c r="S36" s="500">
        <v>48015</v>
      </c>
    </row>
    <row r="37" spans="1:19">
      <c r="A37" s="505">
        <v>139633</v>
      </c>
      <c r="B37" s="505">
        <v>3022038</v>
      </c>
      <c r="C37" s="505">
        <v>302</v>
      </c>
      <c r="D37" s="504" t="s">
        <v>431</v>
      </c>
      <c r="E37" s="505">
        <v>2038</v>
      </c>
      <c r="F37" s="504" t="s">
        <v>283</v>
      </c>
      <c r="G37" s="504" t="s">
        <v>420</v>
      </c>
      <c r="H37" s="504" t="s">
        <v>681</v>
      </c>
      <c r="I37" s="503">
        <v>377</v>
      </c>
      <c r="J37" s="503">
        <v>377</v>
      </c>
      <c r="K37" s="503">
        <v>102</v>
      </c>
      <c r="L37" s="503">
        <v>27.06</v>
      </c>
      <c r="M37" s="502">
        <v>148410</v>
      </c>
      <c r="N37" s="503">
        <v>0</v>
      </c>
      <c r="O37" s="503">
        <v>0</v>
      </c>
      <c r="P37" s="503">
        <v>0</v>
      </c>
      <c r="Q37" s="502">
        <v>0</v>
      </c>
      <c r="R37" s="501">
        <v>102</v>
      </c>
      <c r="S37" s="500">
        <v>148410</v>
      </c>
    </row>
    <row r="38" spans="1:19">
      <c r="A38" s="505">
        <v>146662</v>
      </c>
      <c r="B38" s="505">
        <v>3022041</v>
      </c>
      <c r="C38" s="505">
        <v>302</v>
      </c>
      <c r="D38" s="504" t="s">
        <v>431</v>
      </c>
      <c r="E38" s="505">
        <v>2041</v>
      </c>
      <c r="F38" s="504" t="s">
        <v>418</v>
      </c>
      <c r="G38" s="504" t="s">
        <v>420</v>
      </c>
      <c r="H38" s="504" t="s">
        <v>682</v>
      </c>
      <c r="I38" s="503">
        <v>207</v>
      </c>
      <c r="J38" s="503">
        <v>207</v>
      </c>
      <c r="K38" s="503">
        <v>4</v>
      </c>
      <c r="L38" s="503">
        <v>1.93</v>
      </c>
      <c r="M38" s="502">
        <v>5820</v>
      </c>
      <c r="N38" s="503">
        <v>0</v>
      </c>
      <c r="O38" s="503">
        <v>0</v>
      </c>
      <c r="P38" s="503">
        <v>0</v>
      </c>
      <c r="Q38" s="502">
        <v>0</v>
      </c>
      <c r="R38" s="501">
        <v>4</v>
      </c>
      <c r="S38" s="500">
        <v>5820</v>
      </c>
    </row>
    <row r="39" spans="1:19">
      <c r="A39" s="505">
        <v>101293</v>
      </c>
      <c r="B39" s="505">
        <v>3022042</v>
      </c>
      <c r="C39" s="505">
        <v>302</v>
      </c>
      <c r="D39" s="504" t="s">
        <v>431</v>
      </c>
      <c r="E39" s="505">
        <v>2042</v>
      </c>
      <c r="F39" s="504" t="s">
        <v>279</v>
      </c>
      <c r="G39" s="504" t="s">
        <v>680</v>
      </c>
      <c r="H39" s="504" t="s">
        <v>683</v>
      </c>
      <c r="I39" s="503">
        <v>420</v>
      </c>
      <c r="J39" s="503">
        <v>420</v>
      </c>
      <c r="K39" s="503">
        <v>20</v>
      </c>
      <c r="L39" s="503">
        <v>4.76</v>
      </c>
      <c r="M39" s="502">
        <v>29100</v>
      </c>
      <c r="N39" s="503">
        <v>0</v>
      </c>
      <c r="O39" s="503">
        <v>0</v>
      </c>
      <c r="P39" s="503">
        <v>0</v>
      </c>
      <c r="Q39" s="502">
        <v>0</v>
      </c>
      <c r="R39" s="501">
        <v>20</v>
      </c>
      <c r="S39" s="500">
        <v>29100</v>
      </c>
    </row>
    <row r="40" spans="1:19">
      <c r="A40" s="505">
        <v>101294</v>
      </c>
      <c r="B40" s="505">
        <v>3022043</v>
      </c>
      <c r="C40" s="505">
        <v>302</v>
      </c>
      <c r="D40" s="504" t="s">
        <v>431</v>
      </c>
      <c r="E40" s="505">
        <v>2043</v>
      </c>
      <c r="F40" s="504" t="s">
        <v>81</v>
      </c>
      <c r="G40" s="504" t="s">
        <v>680</v>
      </c>
      <c r="H40" s="504" t="s">
        <v>682</v>
      </c>
      <c r="I40" s="503">
        <v>434</v>
      </c>
      <c r="J40" s="503">
        <v>434</v>
      </c>
      <c r="K40" s="503">
        <v>91</v>
      </c>
      <c r="L40" s="503">
        <v>20.97</v>
      </c>
      <c r="M40" s="502">
        <v>132405</v>
      </c>
      <c r="N40" s="503">
        <v>0</v>
      </c>
      <c r="O40" s="503">
        <v>0</v>
      </c>
      <c r="P40" s="503">
        <v>0</v>
      </c>
      <c r="Q40" s="502">
        <v>0</v>
      </c>
      <c r="R40" s="501">
        <v>91</v>
      </c>
      <c r="S40" s="500">
        <v>132405</v>
      </c>
    </row>
    <row r="41" spans="1:19">
      <c r="A41" s="505">
        <v>101295</v>
      </c>
      <c r="B41" s="505">
        <v>3022044</v>
      </c>
      <c r="C41" s="505">
        <v>302</v>
      </c>
      <c r="D41" s="504" t="s">
        <v>431</v>
      </c>
      <c r="E41" s="505">
        <v>2044</v>
      </c>
      <c r="F41" s="504" t="s">
        <v>80</v>
      </c>
      <c r="G41" s="504" t="s">
        <v>680</v>
      </c>
      <c r="H41" s="504" t="s">
        <v>682</v>
      </c>
      <c r="I41" s="503">
        <v>355</v>
      </c>
      <c r="J41" s="503">
        <v>355</v>
      </c>
      <c r="K41" s="503">
        <v>51</v>
      </c>
      <c r="L41" s="503">
        <v>14.37</v>
      </c>
      <c r="M41" s="502">
        <v>74205</v>
      </c>
      <c r="N41" s="503">
        <v>0</v>
      </c>
      <c r="O41" s="503">
        <v>0</v>
      </c>
      <c r="P41" s="503">
        <v>0</v>
      </c>
      <c r="Q41" s="502">
        <v>0</v>
      </c>
      <c r="R41" s="501">
        <v>51</v>
      </c>
      <c r="S41" s="500">
        <v>74205</v>
      </c>
    </row>
    <row r="42" spans="1:19">
      <c r="A42" s="505">
        <v>101296</v>
      </c>
      <c r="B42" s="505">
        <v>3022045</v>
      </c>
      <c r="C42" s="505">
        <v>302</v>
      </c>
      <c r="D42" s="504" t="s">
        <v>431</v>
      </c>
      <c r="E42" s="505">
        <v>2045</v>
      </c>
      <c r="F42" s="504" t="s">
        <v>280</v>
      </c>
      <c r="G42" s="504" t="s">
        <v>680</v>
      </c>
      <c r="H42" s="504" t="s">
        <v>682</v>
      </c>
      <c r="I42" s="503">
        <v>210</v>
      </c>
      <c r="J42" s="503">
        <v>210</v>
      </c>
      <c r="K42" s="503">
        <v>34</v>
      </c>
      <c r="L42" s="503">
        <v>16.190000000000001</v>
      </c>
      <c r="M42" s="502">
        <v>49470</v>
      </c>
      <c r="N42" s="503">
        <v>0</v>
      </c>
      <c r="O42" s="503">
        <v>0</v>
      </c>
      <c r="P42" s="503">
        <v>0</v>
      </c>
      <c r="Q42" s="502">
        <v>0</v>
      </c>
      <c r="R42" s="501">
        <v>34</v>
      </c>
      <c r="S42" s="500">
        <v>49470</v>
      </c>
    </row>
    <row r="43" spans="1:19">
      <c r="A43" s="505">
        <v>139817</v>
      </c>
      <c r="B43" s="505">
        <v>3022047</v>
      </c>
      <c r="C43" s="505">
        <v>302</v>
      </c>
      <c r="D43" s="504" t="s">
        <v>431</v>
      </c>
      <c r="E43" s="505">
        <v>2047</v>
      </c>
      <c r="F43" s="504" t="s">
        <v>292</v>
      </c>
      <c r="G43" s="504" t="s">
        <v>420</v>
      </c>
      <c r="H43" s="504" t="s">
        <v>681</v>
      </c>
      <c r="I43" s="503">
        <v>412</v>
      </c>
      <c r="J43" s="503">
        <v>412</v>
      </c>
      <c r="K43" s="503">
        <v>88</v>
      </c>
      <c r="L43" s="503">
        <v>21.36</v>
      </c>
      <c r="M43" s="502">
        <v>128040</v>
      </c>
      <c r="N43" s="503">
        <v>0</v>
      </c>
      <c r="O43" s="503">
        <v>0</v>
      </c>
      <c r="P43" s="503">
        <v>0</v>
      </c>
      <c r="Q43" s="502">
        <v>0</v>
      </c>
      <c r="R43" s="501">
        <v>88</v>
      </c>
      <c r="S43" s="500">
        <v>128040</v>
      </c>
    </row>
    <row r="44" spans="1:19">
      <c r="A44" s="505">
        <v>140601</v>
      </c>
      <c r="B44" s="505">
        <v>3022048</v>
      </c>
      <c r="C44" s="505">
        <v>302</v>
      </c>
      <c r="D44" s="504" t="s">
        <v>431</v>
      </c>
      <c r="E44" s="505">
        <v>2048</v>
      </c>
      <c r="F44" s="504" t="s">
        <v>406</v>
      </c>
      <c r="G44" s="504" t="s">
        <v>420</v>
      </c>
      <c r="H44" s="504" t="s">
        <v>681</v>
      </c>
      <c r="I44" s="503">
        <v>392</v>
      </c>
      <c r="J44" s="503">
        <v>392</v>
      </c>
      <c r="K44" s="503">
        <v>105</v>
      </c>
      <c r="L44" s="503">
        <v>26.79</v>
      </c>
      <c r="M44" s="502">
        <v>152775</v>
      </c>
      <c r="N44" s="503">
        <v>0</v>
      </c>
      <c r="O44" s="503">
        <v>0</v>
      </c>
      <c r="P44" s="503">
        <v>0</v>
      </c>
      <c r="Q44" s="502">
        <v>0</v>
      </c>
      <c r="R44" s="501">
        <v>105</v>
      </c>
      <c r="S44" s="500">
        <v>152775</v>
      </c>
    </row>
    <row r="45" spans="1:19">
      <c r="A45" s="505">
        <v>142114</v>
      </c>
      <c r="B45" s="505">
        <v>3022049</v>
      </c>
      <c r="C45" s="505">
        <v>302</v>
      </c>
      <c r="D45" s="504" t="s">
        <v>431</v>
      </c>
      <c r="E45" s="505">
        <v>2049</v>
      </c>
      <c r="F45" s="504" t="s">
        <v>437</v>
      </c>
      <c r="G45" s="504" t="s">
        <v>420</v>
      </c>
      <c r="H45" s="504" t="s">
        <v>681</v>
      </c>
      <c r="I45" s="503">
        <v>379.5</v>
      </c>
      <c r="J45" s="503">
        <v>379.5</v>
      </c>
      <c r="K45" s="503">
        <v>191</v>
      </c>
      <c r="L45" s="503">
        <v>50.33</v>
      </c>
      <c r="M45" s="502">
        <v>277905</v>
      </c>
      <c r="N45" s="503">
        <v>0</v>
      </c>
      <c r="O45" s="503">
        <v>0</v>
      </c>
      <c r="P45" s="503">
        <v>0</v>
      </c>
      <c r="Q45" s="502">
        <v>0</v>
      </c>
      <c r="R45" s="501">
        <v>191</v>
      </c>
      <c r="S45" s="500">
        <v>277905</v>
      </c>
    </row>
    <row r="46" spans="1:19">
      <c r="A46" s="505">
        <v>142772</v>
      </c>
      <c r="B46" s="505">
        <v>3022050</v>
      </c>
      <c r="C46" s="505">
        <v>302</v>
      </c>
      <c r="D46" s="504" t="s">
        <v>431</v>
      </c>
      <c r="E46" s="505">
        <v>2050</v>
      </c>
      <c r="F46" s="504" t="s">
        <v>438</v>
      </c>
      <c r="G46" s="504" t="s">
        <v>420</v>
      </c>
      <c r="H46" s="504" t="s">
        <v>683</v>
      </c>
      <c r="I46" s="503">
        <v>422</v>
      </c>
      <c r="J46" s="503">
        <v>422</v>
      </c>
      <c r="K46" s="503">
        <v>25</v>
      </c>
      <c r="L46" s="503">
        <v>5.92</v>
      </c>
      <c r="M46" s="502">
        <v>36375</v>
      </c>
      <c r="N46" s="503">
        <v>0</v>
      </c>
      <c r="O46" s="503">
        <v>0</v>
      </c>
      <c r="P46" s="503">
        <v>0</v>
      </c>
      <c r="Q46" s="502">
        <v>0</v>
      </c>
      <c r="R46" s="501">
        <v>25</v>
      </c>
      <c r="S46" s="500">
        <v>36375</v>
      </c>
    </row>
    <row r="47" spans="1:19">
      <c r="A47" s="505">
        <v>144653</v>
      </c>
      <c r="B47" s="505">
        <v>3022051</v>
      </c>
      <c r="C47" s="505">
        <v>302</v>
      </c>
      <c r="D47" s="504" t="s">
        <v>431</v>
      </c>
      <c r="E47" s="505">
        <v>2051</v>
      </c>
      <c r="F47" s="504" t="s">
        <v>450</v>
      </c>
      <c r="G47" s="504" t="s">
        <v>420</v>
      </c>
      <c r="H47" s="504" t="s">
        <v>682</v>
      </c>
      <c r="I47" s="503">
        <v>408</v>
      </c>
      <c r="J47" s="503">
        <v>408</v>
      </c>
      <c r="K47" s="503">
        <v>126</v>
      </c>
      <c r="L47" s="503">
        <v>30.88</v>
      </c>
      <c r="M47" s="502">
        <v>183330</v>
      </c>
      <c r="N47" s="503">
        <v>0</v>
      </c>
      <c r="O47" s="503">
        <v>0</v>
      </c>
      <c r="P47" s="503">
        <v>0</v>
      </c>
      <c r="Q47" s="502">
        <v>0</v>
      </c>
      <c r="R47" s="501">
        <v>126</v>
      </c>
      <c r="S47" s="500">
        <v>183330</v>
      </c>
    </row>
    <row r="48" spans="1:19">
      <c r="A48" s="505">
        <v>146803</v>
      </c>
      <c r="B48" s="505">
        <v>3022053</v>
      </c>
      <c r="C48" s="505">
        <v>302</v>
      </c>
      <c r="D48" s="504" t="s">
        <v>431</v>
      </c>
      <c r="E48" s="505">
        <v>2053</v>
      </c>
      <c r="F48" s="504" t="s">
        <v>519</v>
      </c>
      <c r="G48" s="504" t="s">
        <v>680</v>
      </c>
      <c r="H48" s="504" t="s">
        <v>681</v>
      </c>
      <c r="I48" s="503">
        <v>209</v>
      </c>
      <c r="J48" s="503">
        <v>209</v>
      </c>
      <c r="K48" s="503">
        <v>4</v>
      </c>
      <c r="L48" s="503">
        <v>1.91</v>
      </c>
      <c r="M48" s="502">
        <v>5820</v>
      </c>
      <c r="N48" s="503">
        <v>0</v>
      </c>
      <c r="O48" s="503">
        <v>0</v>
      </c>
      <c r="P48" s="503">
        <v>0</v>
      </c>
      <c r="Q48" s="502">
        <v>0</v>
      </c>
      <c r="R48" s="501">
        <v>4</v>
      </c>
      <c r="S48" s="500">
        <v>5820</v>
      </c>
    </row>
    <row r="49" spans="1:19">
      <c r="A49" s="505">
        <v>101298</v>
      </c>
      <c r="B49" s="505">
        <v>3022054</v>
      </c>
      <c r="C49" s="505">
        <v>302</v>
      </c>
      <c r="D49" s="504" t="s">
        <v>431</v>
      </c>
      <c r="E49" s="505">
        <v>2054</v>
      </c>
      <c r="F49" s="504" t="s">
        <v>298</v>
      </c>
      <c r="G49" s="504" t="s">
        <v>680</v>
      </c>
      <c r="H49" s="504" t="s">
        <v>683</v>
      </c>
      <c r="I49" s="503">
        <v>204</v>
      </c>
      <c r="J49" s="503">
        <v>204</v>
      </c>
      <c r="K49" s="503">
        <v>9</v>
      </c>
      <c r="L49" s="503">
        <v>4.41</v>
      </c>
      <c r="M49" s="502">
        <v>13095</v>
      </c>
      <c r="N49" s="503">
        <v>0</v>
      </c>
      <c r="O49" s="503">
        <v>0</v>
      </c>
      <c r="P49" s="503">
        <v>0</v>
      </c>
      <c r="Q49" s="502">
        <v>0</v>
      </c>
      <c r="R49" s="501">
        <v>9</v>
      </c>
      <c r="S49" s="500">
        <v>13095</v>
      </c>
    </row>
    <row r="50" spans="1:19">
      <c r="A50" s="505">
        <v>101299</v>
      </c>
      <c r="B50" s="505">
        <v>3022055</v>
      </c>
      <c r="C50" s="505">
        <v>302</v>
      </c>
      <c r="D50" s="504" t="s">
        <v>431</v>
      </c>
      <c r="E50" s="505">
        <v>2055</v>
      </c>
      <c r="F50" s="504" t="s">
        <v>295</v>
      </c>
      <c r="G50" s="504" t="s">
        <v>680</v>
      </c>
      <c r="H50" s="504" t="s">
        <v>682</v>
      </c>
      <c r="I50" s="503">
        <v>221.5</v>
      </c>
      <c r="J50" s="503">
        <v>221.5</v>
      </c>
      <c r="K50" s="503">
        <v>61.5</v>
      </c>
      <c r="L50" s="503">
        <v>27.77</v>
      </c>
      <c r="M50" s="502">
        <v>89482.5</v>
      </c>
      <c r="N50" s="503">
        <v>0</v>
      </c>
      <c r="O50" s="503">
        <v>0</v>
      </c>
      <c r="P50" s="503">
        <v>0</v>
      </c>
      <c r="Q50" s="502">
        <v>0</v>
      </c>
      <c r="R50" s="501">
        <v>61.5</v>
      </c>
      <c r="S50" s="500">
        <v>89482.5</v>
      </c>
    </row>
    <row r="51" spans="1:19">
      <c r="A51" s="505">
        <v>101301</v>
      </c>
      <c r="B51" s="505">
        <v>3022057</v>
      </c>
      <c r="C51" s="505">
        <v>302</v>
      </c>
      <c r="D51" s="504" t="s">
        <v>431</v>
      </c>
      <c r="E51" s="505">
        <v>2057</v>
      </c>
      <c r="F51" s="504" t="s">
        <v>433</v>
      </c>
      <c r="G51" s="504" t="s">
        <v>680</v>
      </c>
      <c r="H51" s="504" t="s">
        <v>683</v>
      </c>
      <c r="I51" s="503">
        <v>503.5</v>
      </c>
      <c r="J51" s="503">
        <v>503.5</v>
      </c>
      <c r="K51" s="503">
        <v>199</v>
      </c>
      <c r="L51" s="503">
        <v>39.520000000000003</v>
      </c>
      <c r="M51" s="502">
        <v>289545</v>
      </c>
      <c r="N51" s="503">
        <v>0</v>
      </c>
      <c r="O51" s="503">
        <v>0</v>
      </c>
      <c r="P51" s="503">
        <v>0</v>
      </c>
      <c r="Q51" s="502">
        <v>0</v>
      </c>
      <c r="R51" s="501">
        <v>199</v>
      </c>
      <c r="S51" s="500">
        <v>289545</v>
      </c>
    </row>
    <row r="52" spans="1:19">
      <c r="A52" s="505">
        <v>101304</v>
      </c>
      <c r="B52" s="505">
        <v>3022060</v>
      </c>
      <c r="C52" s="505">
        <v>302</v>
      </c>
      <c r="D52" s="504" t="s">
        <v>431</v>
      </c>
      <c r="E52" s="505">
        <v>2060</v>
      </c>
      <c r="F52" s="504" t="s">
        <v>297</v>
      </c>
      <c r="G52" s="504" t="s">
        <v>680</v>
      </c>
      <c r="H52" s="504" t="s">
        <v>683</v>
      </c>
      <c r="I52" s="503">
        <v>422</v>
      </c>
      <c r="J52" s="503">
        <v>422</v>
      </c>
      <c r="K52" s="503">
        <v>118</v>
      </c>
      <c r="L52" s="503">
        <v>27.96</v>
      </c>
      <c r="M52" s="502">
        <v>171690</v>
      </c>
      <c r="N52" s="503">
        <v>0</v>
      </c>
      <c r="O52" s="503">
        <v>0</v>
      </c>
      <c r="P52" s="503">
        <v>0</v>
      </c>
      <c r="Q52" s="502">
        <v>0</v>
      </c>
      <c r="R52" s="501">
        <v>118</v>
      </c>
      <c r="S52" s="500">
        <v>171690</v>
      </c>
    </row>
    <row r="53" spans="1:19">
      <c r="A53" s="505">
        <v>101309</v>
      </c>
      <c r="B53" s="505">
        <v>3022067</v>
      </c>
      <c r="C53" s="505">
        <v>302</v>
      </c>
      <c r="D53" s="504" t="s">
        <v>431</v>
      </c>
      <c r="E53" s="505">
        <v>2067</v>
      </c>
      <c r="F53" s="504" t="s">
        <v>263</v>
      </c>
      <c r="G53" s="504" t="s">
        <v>680</v>
      </c>
      <c r="H53" s="504" t="s">
        <v>682</v>
      </c>
      <c r="I53" s="503">
        <v>219</v>
      </c>
      <c r="J53" s="503">
        <v>219</v>
      </c>
      <c r="K53" s="503">
        <v>40</v>
      </c>
      <c r="L53" s="503">
        <v>18.260000000000002</v>
      </c>
      <c r="M53" s="502">
        <v>58200</v>
      </c>
      <c r="N53" s="503">
        <v>0</v>
      </c>
      <c r="O53" s="503">
        <v>0</v>
      </c>
      <c r="P53" s="503">
        <v>0</v>
      </c>
      <c r="Q53" s="502">
        <v>0</v>
      </c>
      <c r="R53" s="501">
        <v>40</v>
      </c>
      <c r="S53" s="500">
        <v>58200</v>
      </c>
    </row>
    <row r="54" spans="1:19">
      <c r="A54" s="505">
        <v>101311</v>
      </c>
      <c r="B54" s="505">
        <v>3022070</v>
      </c>
      <c r="C54" s="505">
        <v>302</v>
      </c>
      <c r="D54" s="504" t="s">
        <v>431</v>
      </c>
      <c r="E54" s="505">
        <v>2070</v>
      </c>
      <c r="F54" s="504" t="s">
        <v>290</v>
      </c>
      <c r="G54" s="504" t="s">
        <v>680</v>
      </c>
      <c r="H54" s="504" t="s">
        <v>681</v>
      </c>
      <c r="I54" s="503">
        <v>208</v>
      </c>
      <c r="J54" s="503">
        <v>208</v>
      </c>
      <c r="K54" s="503">
        <v>76</v>
      </c>
      <c r="L54" s="503">
        <v>36.54</v>
      </c>
      <c r="M54" s="502">
        <v>110580</v>
      </c>
      <c r="N54" s="503">
        <v>0</v>
      </c>
      <c r="O54" s="503">
        <v>0</v>
      </c>
      <c r="P54" s="503">
        <v>0</v>
      </c>
      <c r="Q54" s="502">
        <v>0</v>
      </c>
      <c r="R54" s="501">
        <v>76</v>
      </c>
      <c r="S54" s="500">
        <v>110580</v>
      </c>
    </row>
    <row r="55" spans="1:19">
      <c r="A55" s="505">
        <v>101312</v>
      </c>
      <c r="B55" s="505">
        <v>3022071</v>
      </c>
      <c r="C55" s="505">
        <v>302</v>
      </c>
      <c r="D55" s="504" t="s">
        <v>431</v>
      </c>
      <c r="E55" s="505">
        <v>2071</v>
      </c>
      <c r="F55" s="504" t="s">
        <v>423</v>
      </c>
      <c r="G55" s="504" t="s">
        <v>680</v>
      </c>
      <c r="H55" s="504" t="s">
        <v>683</v>
      </c>
      <c r="I55" s="503">
        <v>166</v>
      </c>
      <c r="J55" s="503">
        <v>166</v>
      </c>
      <c r="K55" s="503">
        <v>55</v>
      </c>
      <c r="L55" s="503">
        <v>33.130000000000003</v>
      </c>
      <c r="M55" s="502">
        <v>80025</v>
      </c>
      <c r="N55" s="503">
        <v>0</v>
      </c>
      <c r="O55" s="503">
        <v>0</v>
      </c>
      <c r="P55" s="503">
        <v>0</v>
      </c>
      <c r="Q55" s="502">
        <v>0</v>
      </c>
      <c r="R55" s="501">
        <v>55</v>
      </c>
      <c r="S55" s="500">
        <v>80025</v>
      </c>
    </row>
    <row r="56" spans="1:19">
      <c r="A56" s="505">
        <v>101313</v>
      </c>
      <c r="B56" s="505">
        <v>3022072</v>
      </c>
      <c r="C56" s="505">
        <v>302</v>
      </c>
      <c r="D56" s="504" t="s">
        <v>431</v>
      </c>
      <c r="E56" s="505">
        <v>2072</v>
      </c>
      <c r="F56" s="504" t="s">
        <v>88</v>
      </c>
      <c r="G56" s="504" t="s">
        <v>680</v>
      </c>
      <c r="H56" s="504" t="s">
        <v>683</v>
      </c>
      <c r="I56" s="503">
        <v>270</v>
      </c>
      <c r="J56" s="503">
        <v>270</v>
      </c>
      <c r="K56" s="503">
        <v>88</v>
      </c>
      <c r="L56" s="503">
        <v>32.590000000000003</v>
      </c>
      <c r="M56" s="502">
        <v>128040</v>
      </c>
      <c r="N56" s="503">
        <v>0</v>
      </c>
      <c r="O56" s="503">
        <v>0</v>
      </c>
      <c r="P56" s="503">
        <v>0</v>
      </c>
      <c r="Q56" s="502">
        <v>0</v>
      </c>
      <c r="R56" s="501">
        <v>88</v>
      </c>
      <c r="S56" s="500">
        <v>128040</v>
      </c>
    </row>
    <row r="57" spans="1:19">
      <c r="A57" s="505">
        <v>101314</v>
      </c>
      <c r="B57" s="505">
        <v>3022073</v>
      </c>
      <c r="C57" s="505">
        <v>302</v>
      </c>
      <c r="D57" s="504" t="s">
        <v>431</v>
      </c>
      <c r="E57" s="505">
        <v>2073</v>
      </c>
      <c r="F57" s="504" t="s">
        <v>269</v>
      </c>
      <c r="G57" s="504" t="s">
        <v>680</v>
      </c>
      <c r="H57" s="504" t="s">
        <v>683</v>
      </c>
      <c r="I57" s="503">
        <v>626</v>
      </c>
      <c r="J57" s="503">
        <v>626</v>
      </c>
      <c r="K57" s="503">
        <v>202</v>
      </c>
      <c r="L57" s="503">
        <v>32.270000000000003</v>
      </c>
      <c r="M57" s="502">
        <v>293910</v>
      </c>
      <c r="N57" s="503">
        <v>0</v>
      </c>
      <c r="O57" s="503">
        <v>0</v>
      </c>
      <c r="P57" s="503">
        <v>0</v>
      </c>
      <c r="Q57" s="502">
        <v>0</v>
      </c>
      <c r="R57" s="501">
        <v>202</v>
      </c>
      <c r="S57" s="500">
        <v>293910</v>
      </c>
    </row>
    <row r="58" spans="1:19">
      <c r="A58" s="505">
        <v>131617</v>
      </c>
      <c r="B58" s="505">
        <v>3022076</v>
      </c>
      <c r="C58" s="505">
        <v>302</v>
      </c>
      <c r="D58" s="504" t="s">
        <v>431</v>
      </c>
      <c r="E58" s="505">
        <v>2076</v>
      </c>
      <c r="F58" s="504" t="s">
        <v>296</v>
      </c>
      <c r="G58" s="504" t="s">
        <v>680</v>
      </c>
      <c r="H58" s="504" t="s">
        <v>682</v>
      </c>
      <c r="I58" s="503">
        <v>322</v>
      </c>
      <c r="J58" s="503">
        <v>322</v>
      </c>
      <c r="K58" s="503">
        <v>113</v>
      </c>
      <c r="L58" s="503">
        <v>35.090000000000003</v>
      </c>
      <c r="M58" s="502">
        <v>164415</v>
      </c>
      <c r="N58" s="503">
        <v>0</v>
      </c>
      <c r="O58" s="503">
        <v>0</v>
      </c>
      <c r="P58" s="503">
        <v>0</v>
      </c>
      <c r="Q58" s="502">
        <v>0</v>
      </c>
      <c r="R58" s="501">
        <v>113</v>
      </c>
      <c r="S58" s="500">
        <v>164415</v>
      </c>
    </row>
    <row r="59" spans="1:19">
      <c r="A59" s="505">
        <v>131970</v>
      </c>
      <c r="B59" s="505">
        <v>3022077</v>
      </c>
      <c r="C59" s="505">
        <v>302</v>
      </c>
      <c r="D59" s="504" t="s">
        <v>431</v>
      </c>
      <c r="E59" s="505">
        <v>2077</v>
      </c>
      <c r="F59" s="504" t="s">
        <v>293</v>
      </c>
      <c r="G59" s="504" t="s">
        <v>680</v>
      </c>
      <c r="H59" s="504" t="s">
        <v>681</v>
      </c>
      <c r="I59" s="503">
        <v>839</v>
      </c>
      <c r="J59" s="503">
        <v>839</v>
      </c>
      <c r="K59" s="503">
        <v>393</v>
      </c>
      <c r="L59" s="503">
        <v>46.84</v>
      </c>
      <c r="M59" s="502">
        <v>571815</v>
      </c>
      <c r="N59" s="503">
        <v>0</v>
      </c>
      <c r="O59" s="503">
        <v>0</v>
      </c>
      <c r="P59" s="503">
        <v>0</v>
      </c>
      <c r="Q59" s="502">
        <v>0</v>
      </c>
      <c r="R59" s="501">
        <v>393</v>
      </c>
      <c r="S59" s="500">
        <v>571815</v>
      </c>
    </row>
    <row r="60" spans="1:19">
      <c r="A60" s="505">
        <v>133364</v>
      </c>
      <c r="B60" s="505">
        <v>3022078</v>
      </c>
      <c r="C60" s="505">
        <v>302</v>
      </c>
      <c r="D60" s="504" t="s">
        <v>431</v>
      </c>
      <c r="E60" s="505">
        <v>2078</v>
      </c>
      <c r="F60" s="504" t="s">
        <v>282</v>
      </c>
      <c r="G60" s="504" t="s">
        <v>680</v>
      </c>
      <c r="H60" s="504" t="s">
        <v>682</v>
      </c>
      <c r="I60" s="503">
        <v>356</v>
      </c>
      <c r="J60" s="503">
        <v>356</v>
      </c>
      <c r="K60" s="503">
        <v>21</v>
      </c>
      <c r="L60" s="503">
        <v>5.9</v>
      </c>
      <c r="M60" s="502">
        <v>30555</v>
      </c>
      <c r="N60" s="503">
        <v>0</v>
      </c>
      <c r="O60" s="503">
        <v>0</v>
      </c>
      <c r="P60" s="503">
        <v>0</v>
      </c>
      <c r="Q60" s="502">
        <v>0</v>
      </c>
      <c r="R60" s="501">
        <v>21</v>
      </c>
      <c r="S60" s="500">
        <v>30555</v>
      </c>
    </row>
    <row r="61" spans="1:19">
      <c r="A61" s="505">
        <v>133365</v>
      </c>
      <c r="B61" s="505">
        <v>3022079</v>
      </c>
      <c r="C61" s="505">
        <v>302</v>
      </c>
      <c r="D61" s="504" t="s">
        <v>431</v>
      </c>
      <c r="E61" s="505">
        <v>2079</v>
      </c>
      <c r="F61" s="504" t="s">
        <v>259</v>
      </c>
      <c r="G61" s="504" t="s">
        <v>680</v>
      </c>
      <c r="H61" s="504" t="s">
        <v>685</v>
      </c>
      <c r="I61" s="503">
        <v>414</v>
      </c>
      <c r="J61" s="503">
        <v>414</v>
      </c>
      <c r="K61" s="503">
        <v>14</v>
      </c>
      <c r="L61" s="503">
        <v>3.38</v>
      </c>
      <c r="M61" s="502">
        <v>20370</v>
      </c>
      <c r="N61" s="503">
        <v>0</v>
      </c>
      <c r="O61" s="503">
        <v>0</v>
      </c>
      <c r="P61" s="503">
        <v>0</v>
      </c>
      <c r="Q61" s="502">
        <v>0</v>
      </c>
      <c r="R61" s="501">
        <v>14</v>
      </c>
      <c r="S61" s="500">
        <v>20370</v>
      </c>
    </row>
    <row r="62" spans="1:19">
      <c r="A62" s="505">
        <v>101315</v>
      </c>
      <c r="B62" s="505">
        <v>3023300</v>
      </c>
      <c r="C62" s="505">
        <v>302</v>
      </c>
      <c r="D62" s="504" t="s">
        <v>431</v>
      </c>
      <c r="E62" s="505">
        <v>3300</v>
      </c>
      <c r="F62" s="504" t="s">
        <v>424</v>
      </c>
      <c r="G62" s="504" t="s">
        <v>680</v>
      </c>
      <c r="H62" s="504" t="s">
        <v>682</v>
      </c>
      <c r="I62" s="503">
        <v>162</v>
      </c>
      <c r="J62" s="503">
        <v>162</v>
      </c>
      <c r="K62" s="503">
        <v>92</v>
      </c>
      <c r="L62" s="503">
        <v>56.79</v>
      </c>
      <c r="M62" s="502">
        <v>133860</v>
      </c>
      <c r="N62" s="503">
        <v>0</v>
      </c>
      <c r="O62" s="503">
        <v>0</v>
      </c>
      <c r="P62" s="503">
        <v>0</v>
      </c>
      <c r="Q62" s="502">
        <v>0</v>
      </c>
      <c r="R62" s="501">
        <v>92</v>
      </c>
      <c r="S62" s="500">
        <v>133860</v>
      </c>
    </row>
    <row r="63" spans="1:19">
      <c r="A63" s="505">
        <v>101316</v>
      </c>
      <c r="B63" s="505">
        <v>3023302</v>
      </c>
      <c r="C63" s="505">
        <v>302</v>
      </c>
      <c r="D63" s="504" t="s">
        <v>431</v>
      </c>
      <c r="E63" s="505">
        <v>3302</v>
      </c>
      <c r="F63" s="504" t="s">
        <v>264</v>
      </c>
      <c r="G63" s="504" t="s">
        <v>680</v>
      </c>
      <c r="H63" s="504" t="s">
        <v>683</v>
      </c>
      <c r="I63" s="503">
        <v>210</v>
      </c>
      <c r="J63" s="503">
        <v>210</v>
      </c>
      <c r="K63" s="503">
        <v>23</v>
      </c>
      <c r="L63" s="503">
        <v>10.95</v>
      </c>
      <c r="M63" s="502">
        <v>33465</v>
      </c>
      <c r="N63" s="503">
        <v>0</v>
      </c>
      <c r="O63" s="503">
        <v>0</v>
      </c>
      <c r="P63" s="503">
        <v>0</v>
      </c>
      <c r="Q63" s="502">
        <v>0</v>
      </c>
      <c r="R63" s="501">
        <v>23</v>
      </c>
      <c r="S63" s="500">
        <v>33465</v>
      </c>
    </row>
    <row r="64" spans="1:19">
      <c r="A64" s="505">
        <v>101317</v>
      </c>
      <c r="B64" s="505">
        <v>3023304</v>
      </c>
      <c r="C64" s="505">
        <v>302</v>
      </c>
      <c r="D64" s="504" t="s">
        <v>431</v>
      </c>
      <c r="E64" s="505">
        <v>3304</v>
      </c>
      <c r="F64" s="504" t="s">
        <v>274</v>
      </c>
      <c r="G64" s="504" t="s">
        <v>680</v>
      </c>
      <c r="H64" s="504" t="s">
        <v>682</v>
      </c>
      <c r="I64" s="503">
        <v>199</v>
      </c>
      <c r="J64" s="503">
        <v>199</v>
      </c>
      <c r="K64" s="503">
        <v>44</v>
      </c>
      <c r="L64" s="503">
        <v>22.11</v>
      </c>
      <c r="M64" s="502">
        <v>64020</v>
      </c>
      <c r="N64" s="503">
        <v>0</v>
      </c>
      <c r="O64" s="503">
        <v>0</v>
      </c>
      <c r="P64" s="503">
        <v>0</v>
      </c>
      <c r="Q64" s="502">
        <v>0</v>
      </c>
      <c r="R64" s="501">
        <v>44</v>
      </c>
      <c r="S64" s="500">
        <v>64020</v>
      </c>
    </row>
    <row r="65" spans="1:19">
      <c r="A65" s="505">
        <v>101318</v>
      </c>
      <c r="B65" s="505">
        <v>3023305</v>
      </c>
      <c r="C65" s="505">
        <v>302</v>
      </c>
      <c r="D65" s="504" t="s">
        <v>431</v>
      </c>
      <c r="E65" s="505">
        <v>3305</v>
      </c>
      <c r="F65" s="504" t="s">
        <v>278</v>
      </c>
      <c r="G65" s="504" t="s">
        <v>680</v>
      </c>
      <c r="H65" s="504" t="s">
        <v>683</v>
      </c>
      <c r="I65" s="503">
        <v>148</v>
      </c>
      <c r="J65" s="503">
        <v>148</v>
      </c>
      <c r="K65" s="503">
        <v>15</v>
      </c>
      <c r="L65" s="503">
        <v>10.14</v>
      </c>
      <c r="M65" s="502">
        <v>21825</v>
      </c>
      <c r="N65" s="503">
        <v>0</v>
      </c>
      <c r="O65" s="503">
        <v>0</v>
      </c>
      <c r="P65" s="503">
        <v>0</v>
      </c>
      <c r="Q65" s="502">
        <v>0</v>
      </c>
      <c r="R65" s="501">
        <v>15</v>
      </c>
      <c r="S65" s="500">
        <v>21825</v>
      </c>
    </row>
    <row r="66" spans="1:19">
      <c r="A66" s="505">
        <v>101319</v>
      </c>
      <c r="B66" s="505">
        <v>3023307</v>
      </c>
      <c r="C66" s="505">
        <v>302</v>
      </c>
      <c r="D66" s="504" t="s">
        <v>431</v>
      </c>
      <c r="E66" s="505">
        <v>3307</v>
      </c>
      <c r="F66" s="504" t="s">
        <v>425</v>
      </c>
      <c r="G66" s="504" t="s">
        <v>680</v>
      </c>
      <c r="H66" s="504" t="s">
        <v>683</v>
      </c>
      <c r="I66" s="503">
        <v>210</v>
      </c>
      <c r="J66" s="503">
        <v>210</v>
      </c>
      <c r="K66" s="503">
        <v>26</v>
      </c>
      <c r="L66" s="503">
        <v>12.38</v>
      </c>
      <c r="M66" s="502">
        <v>37830</v>
      </c>
      <c r="N66" s="503">
        <v>0</v>
      </c>
      <c r="O66" s="503">
        <v>0</v>
      </c>
      <c r="P66" s="503">
        <v>0</v>
      </c>
      <c r="Q66" s="502">
        <v>0</v>
      </c>
      <c r="R66" s="501">
        <v>26</v>
      </c>
      <c r="S66" s="500">
        <v>37830</v>
      </c>
    </row>
    <row r="67" spans="1:19">
      <c r="A67" s="505">
        <v>101321</v>
      </c>
      <c r="B67" s="505">
        <v>3023309</v>
      </c>
      <c r="C67" s="505">
        <v>302</v>
      </c>
      <c r="D67" s="504" t="s">
        <v>431</v>
      </c>
      <c r="E67" s="505">
        <v>3309</v>
      </c>
      <c r="F67" s="504" t="s">
        <v>634</v>
      </c>
      <c r="G67" s="504" t="s">
        <v>680</v>
      </c>
      <c r="H67" s="504" t="s">
        <v>683</v>
      </c>
      <c r="I67" s="503">
        <v>210</v>
      </c>
      <c r="J67" s="503">
        <v>210</v>
      </c>
      <c r="K67" s="503">
        <v>23</v>
      </c>
      <c r="L67" s="503">
        <v>10.95</v>
      </c>
      <c r="M67" s="502">
        <v>33465</v>
      </c>
      <c r="N67" s="503">
        <v>0</v>
      </c>
      <c r="O67" s="503">
        <v>0</v>
      </c>
      <c r="P67" s="503">
        <v>0</v>
      </c>
      <c r="Q67" s="502">
        <v>0</v>
      </c>
      <c r="R67" s="501">
        <v>23</v>
      </c>
      <c r="S67" s="500">
        <v>33465</v>
      </c>
    </row>
    <row r="68" spans="1:19">
      <c r="A68" s="505">
        <v>101323</v>
      </c>
      <c r="B68" s="505">
        <v>3023311</v>
      </c>
      <c r="C68" s="505">
        <v>302</v>
      </c>
      <c r="D68" s="504" t="s">
        <v>431</v>
      </c>
      <c r="E68" s="505">
        <v>3311</v>
      </c>
      <c r="F68" s="504" t="s">
        <v>427</v>
      </c>
      <c r="G68" s="504" t="s">
        <v>680</v>
      </c>
      <c r="H68" s="504" t="s">
        <v>682</v>
      </c>
      <c r="I68" s="503">
        <v>409</v>
      </c>
      <c r="J68" s="503">
        <v>409</v>
      </c>
      <c r="K68" s="503">
        <v>66</v>
      </c>
      <c r="L68" s="503">
        <v>16.14</v>
      </c>
      <c r="M68" s="502">
        <v>96030</v>
      </c>
      <c r="N68" s="503">
        <v>0</v>
      </c>
      <c r="O68" s="503">
        <v>0</v>
      </c>
      <c r="P68" s="503">
        <v>0</v>
      </c>
      <c r="Q68" s="502">
        <v>0</v>
      </c>
      <c r="R68" s="501">
        <v>66</v>
      </c>
      <c r="S68" s="500">
        <v>96030</v>
      </c>
    </row>
    <row r="69" spans="1:19">
      <c r="A69" s="505">
        <v>101324</v>
      </c>
      <c r="B69" s="505">
        <v>3023312</v>
      </c>
      <c r="C69" s="505">
        <v>302</v>
      </c>
      <c r="D69" s="504" t="s">
        <v>431</v>
      </c>
      <c r="E69" s="505">
        <v>3312</v>
      </c>
      <c r="F69" s="504" t="s">
        <v>288</v>
      </c>
      <c r="G69" s="504" t="s">
        <v>680</v>
      </c>
      <c r="H69" s="504" t="s">
        <v>683</v>
      </c>
      <c r="I69" s="503">
        <v>216</v>
      </c>
      <c r="J69" s="503">
        <v>216</v>
      </c>
      <c r="K69" s="503">
        <v>23</v>
      </c>
      <c r="L69" s="503">
        <v>10.65</v>
      </c>
      <c r="M69" s="502">
        <v>33465</v>
      </c>
      <c r="N69" s="503">
        <v>0</v>
      </c>
      <c r="O69" s="503">
        <v>0</v>
      </c>
      <c r="P69" s="503">
        <v>0</v>
      </c>
      <c r="Q69" s="502">
        <v>0</v>
      </c>
      <c r="R69" s="501">
        <v>23</v>
      </c>
      <c r="S69" s="500">
        <v>33465</v>
      </c>
    </row>
    <row r="70" spans="1:19">
      <c r="A70" s="505">
        <v>101325</v>
      </c>
      <c r="B70" s="505">
        <v>3023313</v>
      </c>
      <c r="C70" s="505">
        <v>302</v>
      </c>
      <c r="D70" s="504" t="s">
        <v>431</v>
      </c>
      <c r="E70" s="505">
        <v>3313</v>
      </c>
      <c r="F70" s="504" t="s">
        <v>289</v>
      </c>
      <c r="G70" s="504" t="s">
        <v>680</v>
      </c>
      <c r="H70" s="504" t="s">
        <v>683</v>
      </c>
      <c r="I70" s="503">
        <v>191</v>
      </c>
      <c r="J70" s="503">
        <v>191</v>
      </c>
      <c r="K70" s="503">
        <v>55</v>
      </c>
      <c r="L70" s="503">
        <v>28.8</v>
      </c>
      <c r="M70" s="502">
        <v>80025</v>
      </c>
      <c r="N70" s="503">
        <v>0</v>
      </c>
      <c r="O70" s="503">
        <v>0</v>
      </c>
      <c r="P70" s="503">
        <v>0</v>
      </c>
      <c r="Q70" s="502">
        <v>0</v>
      </c>
      <c r="R70" s="501">
        <v>55</v>
      </c>
      <c r="S70" s="500">
        <v>80025</v>
      </c>
    </row>
    <row r="71" spans="1:19">
      <c r="A71" s="505">
        <v>101326</v>
      </c>
      <c r="B71" s="505">
        <v>3023314</v>
      </c>
      <c r="C71" s="505">
        <v>302</v>
      </c>
      <c r="D71" s="504" t="s">
        <v>431</v>
      </c>
      <c r="E71" s="505">
        <v>3314</v>
      </c>
      <c r="F71" s="504" t="s">
        <v>338</v>
      </c>
      <c r="G71" s="504" t="s">
        <v>680</v>
      </c>
      <c r="H71" s="504" t="s">
        <v>681</v>
      </c>
      <c r="I71" s="503">
        <v>209</v>
      </c>
      <c r="J71" s="503">
        <v>209</v>
      </c>
      <c r="K71" s="503">
        <v>42</v>
      </c>
      <c r="L71" s="503">
        <v>20.100000000000001</v>
      </c>
      <c r="M71" s="502">
        <v>61110</v>
      </c>
      <c r="N71" s="503">
        <v>0</v>
      </c>
      <c r="O71" s="503">
        <v>0</v>
      </c>
      <c r="P71" s="503">
        <v>0</v>
      </c>
      <c r="Q71" s="502">
        <v>0</v>
      </c>
      <c r="R71" s="501">
        <v>42</v>
      </c>
      <c r="S71" s="500">
        <v>61110</v>
      </c>
    </row>
    <row r="72" spans="1:19">
      <c r="A72" s="505">
        <v>101327</v>
      </c>
      <c r="B72" s="505">
        <v>3023315</v>
      </c>
      <c r="C72" s="505">
        <v>302</v>
      </c>
      <c r="D72" s="504" t="s">
        <v>431</v>
      </c>
      <c r="E72" s="505">
        <v>3315</v>
      </c>
      <c r="F72" s="504" t="s">
        <v>428</v>
      </c>
      <c r="G72" s="504" t="s">
        <v>680</v>
      </c>
      <c r="H72" s="504" t="s">
        <v>683</v>
      </c>
      <c r="I72" s="503">
        <v>208</v>
      </c>
      <c r="J72" s="503">
        <v>208</v>
      </c>
      <c r="K72" s="503">
        <v>12</v>
      </c>
      <c r="L72" s="503">
        <v>5.77</v>
      </c>
      <c r="M72" s="502">
        <v>17460</v>
      </c>
      <c r="N72" s="503">
        <v>0</v>
      </c>
      <c r="O72" s="503">
        <v>0</v>
      </c>
      <c r="P72" s="503">
        <v>0</v>
      </c>
      <c r="Q72" s="502">
        <v>0</v>
      </c>
      <c r="R72" s="501">
        <v>12</v>
      </c>
      <c r="S72" s="500">
        <v>17460</v>
      </c>
    </row>
    <row r="73" spans="1:19">
      <c r="A73" s="505">
        <v>101328</v>
      </c>
      <c r="B73" s="505">
        <v>3023316</v>
      </c>
      <c r="C73" s="505">
        <v>302</v>
      </c>
      <c r="D73" s="504" t="s">
        <v>431</v>
      </c>
      <c r="E73" s="505">
        <v>3316</v>
      </c>
      <c r="F73" s="504" t="s">
        <v>294</v>
      </c>
      <c r="G73" s="504" t="s">
        <v>680</v>
      </c>
      <c r="H73" s="504" t="s">
        <v>683</v>
      </c>
      <c r="I73" s="503">
        <v>209</v>
      </c>
      <c r="J73" s="503">
        <v>209</v>
      </c>
      <c r="K73" s="503">
        <v>19</v>
      </c>
      <c r="L73" s="503">
        <v>9.09</v>
      </c>
      <c r="M73" s="502">
        <v>27645</v>
      </c>
      <c r="N73" s="503">
        <v>0</v>
      </c>
      <c r="O73" s="503">
        <v>0</v>
      </c>
      <c r="P73" s="503">
        <v>0</v>
      </c>
      <c r="Q73" s="502">
        <v>0</v>
      </c>
      <c r="R73" s="501">
        <v>19</v>
      </c>
      <c r="S73" s="500">
        <v>27645</v>
      </c>
    </row>
    <row r="74" spans="1:19">
      <c r="A74" s="505">
        <v>101329</v>
      </c>
      <c r="B74" s="505">
        <v>3023317</v>
      </c>
      <c r="C74" s="505">
        <v>302</v>
      </c>
      <c r="D74" s="504" t="s">
        <v>431</v>
      </c>
      <c r="E74" s="505">
        <v>3317</v>
      </c>
      <c r="F74" s="504" t="s">
        <v>257</v>
      </c>
      <c r="G74" s="504" t="s">
        <v>680</v>
      </c>
      <c r="H74" s="504" t="s">
        <v>683</v>
      </c>
      <c r="I74" s="503">
        <v>211</v>
      </c>
      <c r="J74" s="503">
        <v>211</v>
      </c>
      <c r="K74" s="503">
        <v>45</v>
      </c>
      <c r="L74" s="503">
        <v>21.33</v>
      </c>
      <c r="M74" s="502">
        <v>65475</v>
      </c>
      <c r="N74" s="503">
        <v>0</v>
      </c>
      <c r="O74" s="503">
        <v>0</v>
      </c>
      <c r="P74" s="503">
        <v>0</v>
      </c>
      <c r="Q74" s="502">
        <v>0</v>
      </c>
      <c r="R74" s="501">
        <v>45</v>
      </c>
      <c r="S74" s="500">
        <v>65475</v>
      </c>
    </row>
    <row r="75" spans="1:19">
      <c r="A75" s="505">
        <v>101330</v>
      </c>
      <c r="B75" s="505">
        <v>3023500</v>
      </c>
      <c r="C75" s="505">
        <v>302</v>
      </c>
      <c r="D75" s="504" t="s">
        <v>431</v>
      </c>
      <c r="E75" s="505">
        <v>3500</v>
      </c>
      <c r="F75" s="504" t="s">
        <v>382</v>
      </c>
      <c r="G75" s="504" t="s">
        <v>680</v>
      </c>
      <c r="H75" s="504" t="s">
        <v>681</v>
      </c>
      <c r="I75" s="503">
        <v>144</v>
      </c>
      <c r="J75" s="503">
        <v>144</v>
      </c>
      <c r="K75" s="503">
        <v>26</v>
      </c>
      <c r="L75" s="503">
        <v>18.059999999999999</v>
      </c>
      <c r="M75" s="502">
        <v>37830</v>
      </c>
      <c r="N75" s="503">
        <v>0</v>
      </c>
      <c r="O75" s="503">
        <v>0</v>
      </c>
      <c r="P75" s="503">
        <v>0</v>
      </c>
      <c r="Q75" s="502">
        <v>0</v>
      </c>
      <c r="R75" s="501">
        <v>26</v>
      </c>
      <c r="S75" s="500">
        <v>37830</v>
      </c>
    </row>
    <row r="76" spans="1:19">
      <c r="A76" s="505">
        <v>101331</v>
      </c>
      <c r="B76" s="505">
        <v>3023501</v>
      </c>
      <c r="C76" s="505">
        <v>302</v>
      </c>
      <c r="D76" s="504" t="s">
        <v>431</v>
      </c>
      <c r="E76" s="505">
        <v>3501</v>
      </c>
      <c r="F76" s="504" t="s">
        <v>85</v>
      </c>
      <c r="G76" s="504" t="s">
        <v>680</v>
      </c>
      <c r="H76" s="504" t="s">
        <v>682</v>
      </c>
      <c r="I76" s="503">
        <v>208</v>
      </c>
      <c r="J76" s="503">
        <v>208</v>
      </c>
      <c r="K76" s="503">
        <v>35</v>
      </c>
      <c r="L76" s="503">
        <v>16.829999999999998</v>
      </c>
      <c r="M76" s="502">
        <v>50925</v>
      </c>
      <c r="N76" s="503">
        <v>0</v>
      </c>
      <c r="O76" s="503">
        <v>0</v>
      </c>
      <c r="P76" s="503">
        <v>0</v>
      </c>
      <c r="Q76" s="502">
        <v>0</v>
      </c>
      <c r="R76" s="501">
        <v>35</v>
      </c>
      <c r="S76" s="500">
        <v>50925</v>
      </c>
    </row>
    <row r="77" spans="1:19">
      <c r="A77" s="505">
        <v>101332</v>
      </c>
      <c r="B77" s="505">
        <v>3023502</v>
      </c>
      <c r="C77" s="505">
        <v>302</v>
      </c>
      <c r="D77" s="504" t="s">
        <v>431</v>
      </c>
      <c r="E77" s="505">
        <v>3502</v>
      </c>
      <c r="F77" s="504" t="s">
        <v>633</v>
      </c>
      <c r="G77" s="504" t="s">
        <v>680</v>
      </c>
      <c r="H77" s="504" t="s">
        <v>682</v>
      </c>
      <c r="I77" s="503">
        <v>402</v>
      </c>
      <c r="J77" s="503">
        <v>402</v>
      </c>
      <c r="K77" s="503">
        <v>114</v>
      </c>
      <c r="L77" s="503">
        <v>28.36</v>
      </c>
      <c r="M77" s="502">
        <v>165870</v>
      </c>
      <c r="N77" s="503">
        <v>0</v>
      </c>
      <c r="O77" s="503">
        <v>0</v>
      </c>
      <c r="P77" s="503">
        <v>0</v>
      </c>
      <c r="Q77" s="502">
        <v>0</v>
      </c>
      <c r="R77" s="501">
        <v>114</v>
      </c>
      <c r="S77" s="500">
        <v>165870</v>
      </c>
    </row>
    <row r="78" spans="1:19">
      <c r="A78" s="505">
        <v>101333</v>
      </c>
      <c r="B78" s="505">
        <v>3023504</v>
      </c>
      <c r="C78" s="505">
        <v>302</v>
      </c>
      <c r="D78" s="504" t="s">
        <v>431</v>
      </c>
      <c r="E78" s="505">
        <v>3504</v>
      </c>
      <c r="F78" s="504" t="s">
        <v>287</v>
      </c>
      <c r="G78" s="504" t="s">
        <v>680</v>
      </c>
      <c r="H78" s="504" t="s">
        <v>683</v>
      </c>
      <c r="I78" s="503">
        <v>421</v>
      </c>
      <c r="J78" s="503">
        <v>421</v>
      </c>
      <c r="K78" s="503">
        <v>35</v>
      </c>
      <c r="L78" s="503">
        <v>8.31</v>
      </c>
      <c r="M78" s="502">
        <v>50925</v>
      </c>
      <c r="N78" s="503">
        <v>0</v>
      </c>
      <c r="O78" s="503">
        <v>0</v>
      </c>
      <c r="P78" s="503">
        <v>0</v>
      </c>
      <c r="Q78" s="502">
        <v>0</v>
      </c>
      <c r="R78" s="501">
        <v>35</v>
      </c>
      <c r="S78" s="500">
        <v>50925</v>
      </c>
    </row>
    <row r="79" spans="1:19">
      <c r="A79" s="505">
        <v>101334</v>
      </c>
      <c r="B79" s="505">
        <v>3023506</v>
      </c>
      <c r="C79" s="505">
        <v>302</v>
      </c>
      <c r="D79" s="504" t="s">
        <v>431</v>
      </c>
      <c r="E79" s="505">
        <v>3506</v>
      </c>
      <c r="F79" s="504" t="s">
        <v>386</v>
      </c>
      <c r="G79" s="504" t="s">
        <v>680</v>
      </c>
      <c r="H79" s="504" t="s">
        <v>681</v>
      </c>
      <c r="I79" s="503">
        <v>281</v>
      </c>
      <c r="J79" s="503">
        <v>281</v>
      </c>
      <c r="K79" s="503">
        <v>16</v>
      </c>
      <c r="L79" s="503">
        <v>5.69</v>
      </c>
      <c r="M79" s="502">
        <v>23280</v>
      </c>
      <c r="N79" s="503">
        <v>0</v>
      </c>
      <c r="O79" s="503">
        <v>0</v>
      </c>
      <c r="P79" s="503">
        <v>0</v>
      </c>
      <c r="Q79" s="502">
        <v>0</v>
      </c>
      <c r="R79" s="501">
        <v>16</v>
      </c>
      <c r="S79" s="500">
        <v>23280</v>
      </c>
    </row>
    <row r="80" spans="1:19">
      <c r="A80" s="505">
        <v>101335</v>
      </c>
      <c r="B80" s="505">
        <v>3023507</v>
      </c>
      <c r="C80" s="505">
        <v>302</v>
      </c>
      <c r="D80" s="504" t="s">
        <v>431</v>
      </c>
      <c r="E80" s="505">
        <v>3507</v>
      </c>
      <c r="F80" s="504" t="s">
        <v>429</v>
      </c>
      <c r="G80" s="504" t="s">
        <v>680</v>
      </c>
      <c r="H80" s="504" t="s">
        <v>682</v>
      </c>
      <c r="I80" s="503">
        <v>175</v>
      </c>
      <c r="J80" s="503">
        <v>175</v>
      </c>
      <c r="K80" s="503">
        <v>38</v>
      </c>
      <c r="L80" s="503">
        <v>21.71</v>
      </c>
      <c r="M80" s="502">
        <v>55290</v>
      </c>
      <c r="N80" s="503">
        <v>0</v>
      </c>
      <c r="O80" s="503">
        <v>0</v>
      </c>
      <c r="P80" s="503">
        <v>0</v>
      </c>
      <c r="Q80" s="502">
        <v>0</v>
      </c>
      <c r="R80" s="501">
        <v>38</v>
      </c>
      <c r="S80" s="500">
        <v>55290</v>
      </c>
    </row>
    <row r="81" spans="1:19">
      <c r="A81" s="505">
        <v>101337</v>
      </c>
      <c r="B81" s="505">
        <v>3023509</v>
      </c>
      <c r="C81" s="505">
        <v>302</v>
      </c>
      <c r="D81" s="504" t="s">
        <v>431</v>
      </c>
      <c r="E81" s="505">
        <v>3509</v>
      </c>
      <c r="F81" s="504" t="s">
        <v>414</v>
      </c>
      <c r="G81" s="504" t="s">
        <v>680</v>
      </c>
      <c r="H81" s="504" t="s">
        <v>681</v>
      </c>
      <c r="I81" s="503">
        <v>453</v>
      </c>
      <c r="J81" s="503">
        <v>453</v>
      </c>
      <c r="K81" s="503">
        <v>100</v>
      </c>
      <c r="L81" s="503">
        <v>22.08</v>
      </c>
      <c r="M81" s="502">
        <v>145500</v>
      </c>
      <c r="N81" s="503">
        <v>0</v>
      </c>
      <c r="O81" s="503">
        <v>0</v>
      </c>
      <c r="P81" s="503">
        <v>0</v>
      </c>
      <c r="Q81" s="502">
        <v>0</v>
      </c>
      <c r="R81" s="501">
        <v>100</v>
      </c>
      <c r="S81" s="500">
        <v>145500</v>
      </c>
    </row>
    <row r="82" spans="1:19">
      <c r="A82" s="505">
        <v>101338</v>
      </c>
      <c r="B82" s="505">
        <v>3023510</v>
      </c>
      <c r="C82" s="505">
        <v>302</v>
      </c>
      <c r="D82" s="504" t="s">
        <v>431</v>
      </c>
      <c r="E82" s="505">
        <v>3510</v>
      </c>
      <c r="F82" s="504" t="s">
        <v>285</v>
      </c>
      <c r="G82" s="504" t="s">
        <v>680</v>
      </c>
      <c r="H82" s="504" t="s">
        <v>683</v>
      </c>
      <c r="I82" s="503">
        <v>409</v>
      </c>
      <c r="J82" s="503">
        <v>409</v>
      </c>
      <c r="K82" s="503">
        <v>52</v>
      </c>
      <c r="L82" s="503">
        <v>12.71</v>
      </c>
      <c r="M82" s="502">
        <v>75660</v>
      </c>
      <c r="N82" s="503">
        <v>0</v>
      </c>
      <c r="O82" s="503">
        <v>0</v>
      </c>
      <c r="P82" s="503">
        <v>0</v>
      </c>
      <c r="Q82" s="502">
        <v>0</v>
      </c>
      <c r="R82" s="501">
        <v>52</v>
      </c>
      <c r="S82" s="500">
        <v>75660</v>
      </c>
    </row>
    <row r="83" spans="1:19">
      <c r="A83" s="505">
        <v>101339</v>
      </c>
      <c r="B83" s="505">
        <v>3023511</v>
      </c>
      <c r="C83" s="505">
        <v>302</v>
      </c>
      <c r="D83" s="504" t="s">
        <v>431</v>
      </c>
      <c r="E83" s="505">
        <v>3511</v>
      </c>
      <c r="F83" s="504" t="s">
        <v>439</v>
      </c>
      <c r="G83" s="504" t="s">
        <v>680</v>
      </c>
      <c r="H83" s="504" t="s">
        <v>681</v>
      </c>
      <c r="I83" s="503">
        <v>411</v>
      </c>
      <c r="J83" s="503">
        <v>411</v>
      </c>
      <c r="K83" s="503">
        <v>87</v>
      </c>
      <c r="L83" s="503">
        <v>21.17</v>
      </c>
      <c r="M83" s="502">
        <v>126585</v>
      </c>
      <c r="N83" s="503">
        <v>0</v>
      </c>
      <c r="O83" s="503">
        <v>0</v>
      </c>
      <c r="P83" s="503">
        <v>0</v>
      </c>
      <c r="Q83" s="502">
        <v>0</v>
      </c>
      <c r="R83" s="501">
        <v>87</v>
      </c>
      <c r="S83" s="500">
        <v>126585</v>
      </c>
    </row>
    <row r="84" spans="1:19">
      <c r="A84" s="505">
        <v>101340</v>
      </c>
      <c r="B84" s="505">
        <v>3023512</v>
      </c>
      <c r="C84" s="505">
        <v>302</v>
      </c>
      <c r="D84" s="504" t="s">
        <v>431</v>
      </c>
      <c r="E84" s="505">
        <v>3512</v>
      </c>
      <c r="F84" s="504" t="s">
        <v>284</v>
      </c>
      <c r="G84" s="504" t="s">
        <v>680</v>
      </c>
      <c r="H84" s="504" t="s">
        <v>681</v>
      </c>
      <c r="I84" s="503">
        <v>342</v>
      </c>
      <c r="J84" s="503">
        <v>342</v>
      </c>
      <c r="K84" s="503">
        <v>7</v>
      </c>
      <c r="L84" s="503">
        <v>2.0499999999999998</v>
      </c>
      <c r="M84" s="502">
        <v>10185</v>
      </c>
      <c r="N84" s="503">
        <v>0</v>
      </c>
      <c r="O84" s="503">
        <v>0</v>
      </c>
      <c r="P84" s="503">
        <v>0</v>
      </c>
      <c r="Q84" s="502">
        <v>0</v>
      </c>
      <c r="R84" s="501">
        <v>7</v>
      </c>
      <c r="S84" s="500">
        <v>10185</v>
      </c>
    </row>
    <row r="85" spans="1:19">
      <c r="A85" s="505">
        <v>101341</v>
      </c>
      <c r="B85" s="505">
        <v>3023513</v>
      </c>
      <c r="C85" s="505">
        <v>302</v>
      </c>
      <c r="D85" s="504" t="s">
        <v>431</v>
      </c>
      <c r="E85" s="505">
        <v>3513</v>
      </c>
      <c r="F85" s="504" t="s">
        <v>77</v>
      </c>
      <c r="G85" s="504" t="s">
        <v>680</v>
      </c>
      <c r="H85" s="504" t="s">
        <v>682</v>
      </c>
      <c r="I85" s="503">
        <v>378</v>
      </c>
      <c r="J85" s="503">
        <v>378</v>
      </c>
      <c r="K85" s="503">
        <v>10</v>
      </c>
      <c r="L85" s="503">
        <v>2.65</v>
      </c>
      <c r="M85" s="502">
        <v>14550</v>
      </c>
      <c r="N85" s="503">
        <v>0</v>
      </c>
      <c r="O85" s="503">
        <v>0</v>
      </c>
      <c r="P85" s="503">
        <v>0</v>
      </c>
      <c r="Q85" s="502">
        <v>0</v>
      </c>
      <c r="R85" s="501">
        <v>10</v>
      </c>
      <c r="S85" s="500">
        <v>14550</v>
      </c>
    </row>
    <row r="86" spans="1:19">
      <c r="A86" s="505">
        <v>101342</v>
      </c>
      <c r="B86" s="505">
        <v>3023514</v>
      </c>
      <c r="C86" s="505">
        <v>302</v>
      </c>
      <c r="D86" s="504" t="s">
        <v>431</v>
      </c>
      <c r="E86" s="505">
        <v>3514</v>
      </c>
      <c r="F86" s="504" t="s">
        <v>291</v>
      </c>
      <c r="G86" s="504" t="s">
        <v>680</v>
      </c>
      <c r="H86" s="504" t="s">
        <v>681</v>
      </c>
      <c r="I86" s="503">
        <v>181</v>
      </c>
      <c r="J86" s="503">
        <v>181</v>
      </c>
      <c r="K86" s="503">
        <v>50</v>
      </c>
      <c r="L86" s="503">
        <v>27.62</v>
      </c>
      <c r="M86" s="502">
        <v>72750</v>
      </c>
      <c r="N86" s="503">
        <v>0</v>
      </c>
      <c r="O86" s="503">
        <v>0</v>
      </c>
      <c r="P86" s="503">
        <v>0</v>
      </c>
      <c r="Q86" s="502">
        <v>0</v>
      </c>
      <c r="R86" s="501">
        <v>50</v>
      </c>
      <c r="S86" s="500">
        <v>72750</v>
      </c>
    </row>
    <row r="87" spans="1:19">
      <c r="A87" s="505">
        <v>137303</v>
      </c>
      <c r="B87" s="505">
        <v>3023515</v>
      </c>
      <c r="C87" s="505">
        <v>302</v>
      </c>
      <c r="D87" s="504" t="s">
        <v>431</v>
      </c>
      <c r="E87" s="505">
        <v>3515</v>
      </c>
      <c r="F87" s="504" t="s">
        <v>392</v>
      </c>
      <c r="G87" s="504" t="s">
        <v>420</v>
      </c>
      <c r="H87" s="504" t="s">
        <v>681</v>
      </c>
      <c r="I87" s="503">
        <v>201</v>
      </c>
      <c r="J87" s="503">
        <v>201</v>
      </c>
      <c r="K87" s="503">
        <v>1</v>
      </c>
      <c r="L87" s="503">
        <v>0.5</v>
      </c>
      <c r="M87" s="502">
        <v>1455</v>
      </c>
      <c r="N87" s="503">
        <v>0</v>
      </c>
      <c r="O87" s="503">
        <v>0</v>
      </c>
      <c r="P87" s="503">
        <v>0</v>
      </c>
      <c r="Q87" s="502">
        <v>0</v>
      </c>
      <c r="R87" s="501">
        <v>1</v>
      </c>
      <c r="S87" s="500">
        <v>1455</v>
      </c>
    </row>
    <row r="88" spans="1:19">
      <c r="A88" s="505">
        <v>130998</v>
      </c>
      <c r="B88" s="505">
        <v>3023516</v>
      </c>
      <c r="C88" s="505">
        <v>302</v>
      </c>
      <c r="D88" s="504" t="s">
        <v>431</v>
      </c>
      <c r="E88" s="505">
        <v>3516</v>
      </c>
      <c r="F88" s="504" t="s">
        <v>68</v>
      </c>
      <c r="G88" s="504" t="s">
        <v>680</v>
      </c>
      <c r="H88" s="504" t="s">
        <v>681</v>
      </c>
      <c r="I88" s="503">
        <v>199</v>
      </c>
      <c r="J88" s="503">
        <v>199</v>
      </c>
      <c r="K88" s="503">
        <v>36</v>
      </c>
      <c r="L88" s="503">
        <v>18.09</v>
      </c>
      <c r="M88" s="502">
        <v>52380</v>
      </c>
      <c r="N88" s="503">
        <v>0</v>
      </c>
      <c r="O88" s="503">
        <v>0</v>
      </c>
      <c r="P88" s="503">
        <v>0</v>
      </c>
      <c r="Q88" s="502">
        <v>0</v>
      </c>
      <c r="R88" s="501">
        <v>36</v>
      </c>
      <c r="S88" s="500">
        <v>52380</v>
      </c>
    </row>
    <row r="89" spans="1:19">
      <c r="A89" s="505">
        <v>134677</v>
      </c>
      <c r="B89" s="505">
        <v>3023518</v>
      </c>
      <c r="C89" s="505">
        <v>302</v>
      </c>
      <c r="D89" s="504" t="s">
        <v>431</v>
      </c>
      <c r="E89" s="505">
        <v>3518</v>
      </c>
      <c r="F89" s="504" t="s">
        <v>112</v>
      </c>
      <c r="G89" s="504" t="s">
        <v>680</v>
      </c>
      <c r="H89" s="504" t="s">
        <v>681</v>
      </c>
      <c r="I89" s="503">
        <v>385</v>
      </c>
      <c r="J89" s="503">
        <v>385</v>
      </c>
      <c r="K89" s="503">
        <v>155</v>
      </c>
      <c r="L89" s="503">
        <v>40.26</v>
      </c>
      <c r="M89" s="502">
        <v>225525</v>
      </c>
      <c r="N89" s="503">
        <v>0</v>
      </c>
      <c r="O89" s="503">
        <v>0</v>
      </c>
      <c r="P89" s="503">
        <v>0</v>
      </c>
      <c r="Q89" s="502">
        <v>0</v>
      </c>
      <c r="R89" s="501">
        <v>155</v>
      </c>
      <c r="S89" s="500">
        <v>225525</v>
      </c>
    </row>
    <row r="90" spans="1:19">
      <c r="A90" s="505">
        <v>140236</v>
      </c>
      <c r="B90" s="505">
        <v>3023519</v>
      </c>
      <c r="C90" s="505">
        <v>302</v>
      </c>
      <c r="D90" s="504" t="s">
        <v>431</v>
      </c>
      <c r="E90" s="505">
        <v>3519</v>
      </c>
      <c r="F90" s="504" t="s">
        <v>40</v>
      </c>
      <c r="G90" s="504" t="s">
        <v>420</v>
      </c>
      <c r="H90" s="504" t="s">
        <v>681</v>
      </c>
      <c r="I90" s="503">
        <v>643</v>
      </c>
      <c r="J90" s="503">
        <v>643</v>
      </c>
      <c r="K90" s="503">
        <v>198</v>
      </c>
      <c r="L90" s="503">
        <v>30.79</v>
      </c>
      <c r="M90" s="502">
        <v>288090</v>
      </c>
      <c r="N90" s="503">
        <v>0</v>
      </c>
      <c r="O90" s="503">
        <v>0</v>
      </c>
      <c r="P90" s="503">
        <v>0</v>
      </c>
      <c r="Q90" s="502">
        <v>0</v>
      </c>
      <c r="R90" s="501">
        <v>198</v>
      </c>
      <c r="S90" s="500">
        <v>288090</v>
      </c>
    </row>
    <row r="91" spans="1:19">
      <c r="A91" s="505">
        <v>135086</v>
      </c>
      <c r="B91" s="505">
        <v>3023520</v>
      </c>
      <c r="C91" s="505">
        <v>302</v>
      </c>
      <c r="D91" s="504" t="s">
        <v>431</v>
      </c>
      <c r="E91" s="505">
        <v>3520</v>
      </c>
      <c r="F91" s="504" t="s">
        <v>256</v>
      </c>
      <c r="G91" s="504" t="s">
        <v>680</v>
      </c>
      <c r="H91" s="504" t="s">
        <v>682</v>
      </c>
      <c r="I91" s="503">
        <v>421</v>
      </c>
      <c r="J91" s="503">
        <v>421</v>
      </c>
      <c r="K91" s="503">
        <v>3</v>
      </c>
      <c r="L91" s="503">
        <v>0.71</v>
      </c>
      <c r="M91" s="502">
        <v>4365</v>
      </c>
      <c r="N91" s="503">
        <v>0</v>
      </c>
      <c r="O91" s="503">
        <v>0</v>
      </c>
      <c r="P91" s="503">
        <v>0</v>
      </c>
      <c r="Q91" s="502">
        <v>0</v>
      </c>
      <c r="R91" s="501">
        <v>3</v>
      </c>
      <c r="S91" s="500">
        <v>4365</v>
      </c>
    </row>
    <row r="92" spans="1:19">
      <c r="A92" s="505">
        <v>103119</v>
      </c>
      <c r="B92" s="505">
        <v>3023521</v>
      </c>
      <c r="C92" s="505">
        <v>302</v>
      </c>
      <c r="D92" s="504" t="s">
        <v>431</v>
      </c>
      <c r="E92" s="505">
        <v>3521</v>
      </c>
      <c r="F92" s="504" t="s">
        <v>440</v>
      </c>
      <c r="G92" s="504" t="s">
        <v>680</v>
      </c>
      <c r="H92" s="504" t="s">
        <v>681</v>
      </c>
      <c r="I92" s="503">
        <v>1484</v>
      </c>
      <c r="J92" s="503">
        <v>597.5</v>
      </c>
      <c r="K92" s="503">
        <v>155</v>
      </c>
      <c r="L92" s="503">
        <v>25.94</v>
      </c>
      <c r="M92" s="502">
        <v>225525</v>
      </c>
      <c r="N92" s="503">
        <v>886.5</v>
      </c>
      <c r="O92" s="503">
        <v>301.5</v>
      </c>
      <c r="P92" s="503">
        <v>34.01</v>
      </c>
      <c r="Q92" s="502">
        <v>312052.5</v>
      </c>
      <c r="R92" s="501">
        <v>456.5</v>
      </c>
      <c r="S92" s="500">
        <v>537577.5</v>
      </c>
    </row>
    <row r="93" spans="1:19">
      <c r="A93" s="505">
        <v>142636</v>
      </c>
      <c r="B93" s="505">
        <v>3023522</v>
      </c>
      <c r="C93" s="505">
        <v>302</v>
      </c>
      <c r="D93" s="504" t="s">
        <v>431</v>
      </c>
      <c r="E93" s="505">
        <v>3522</v>
      </c>
      <c r="F93" s="504" t="s">
        <v>265</v>
      </c>
      <c r="G93" s="504" t="s">
        <v>420</v>
      </c>
      <c r="H93" s="504" t="s">
        <v>682</v>
      </c>
      <c r="I93" s="503">
        <v>302</v>
      </c>
      <c r="J93" s="503">
        <v>302</v>
      </c>
      <c r="K93" s="503">
        <v>126</v>
      </c>
      <c r="L93" s="503">
        <v>41.72</v>
      </c>
      <c r="M93" s="502">
        <v>183330</v>
      </c>
      <c r="N93" s="503">
        <v>0</v>
      </c>
      <c r="O93" s="503">
        <v>0</v>
      </c>
      <c r="P93" s="503">
        <v>0</v>
      </c>
      <c r="Q93" s="502">
        <v>0</v>
      </c>
      <c r="R93" s="501">
        <v>126</v>
      </c>
      <c r="S93" s="500">
        <v>183330</v>
      </c>
    </row>
    <row r="94" spans="1:19">
      <c r="A94" s="505">
        <v>135226</v>
      </c>
      <c r="B94" s="505">
        <v>3023523</v>
      </c>
      <c r="C94" s="505">
        <v>302</v>
      </c>
      <c r="D94" s="504" t="s">
        <v>431</v>
      </c>
      <c r="E94" s="505">
        <v>3523</v>
      </c>
      <c r="F94" s="504" t="s">
        <v>276</v>
      </c>
      <c r="G94" s="504" t="s">
        <v>680</v>
      </c>
      <c r="H94" s="504" t="s">
        <v>682</v>
      </c>
      <c r="I94" s="503">
        <v>618.5</v>
      </c>
      <c r="J94" s="503">
        <v>618.5</v>
      </c>
      <c r="K94" s="503">
        <v>162.5</v>
      </c>
      <c r="L94" s="503">
        <v>26.27</v>
      </c>
      <c r="M94" s="502">
        <v>236437.5</v>
      </c>
      <c r="N94" s="503">
        <v>0</v>
      </c>
      <c r="O94" s="503">
        <v>0</v>
      </c>
      <c r="P94" s="503">
        <v>0</v>
      </c>
      <c r="Q94" s="502">
        <v>0</v>
      </c>
      <c r="R94" s="501">
        <v>162.5</v>
      </c>
      <c r="S94" s="500">
        <v>236437.5</v>
      </c>
    </row>
    <row r="95" spans="1:19">
      <c r="A95" s="505">
        <v>136402</v>
      </c>
      <c r="B95" s="505">
        <v>3023524</v>
      </c>
      <c r="C95" s="505">
        <v>302</v>
      </c>
      <c r="D95" s="504" t="s">
        <v>431</v>
      </c>
      <c r="E95" s="505">
        <v>3524</v>
      </c>
      <c r="F95" s="504" t="s">
        <v>393</v>
      </c>
      <c r="G95" s="504" t="s">
        <v>680</v>
      </c>
      <c r="H95" s="504" t="s">
        <v>681</v>
      </c>
      <c r="I95" s="503">
        <v>205</v>
      </c>
      <c r="J95" s="503">
        <v>205</v>
      </c>
      <c r="K95" s="503">
        <v>12</v>
      </c>
      <c r="L95" s="503">
        <v>5.85</v>
      </c>
      <c r="M95" s="502">
        <v>17460</v>
      </c>
      <c r="N95" s="503">
        <v>0</v>
      </c>
      <c r="O95" s="503">
        <v>0</v>
      </c>
      <c r="P95" s="503">
        <v>0</v>
      </c>
      <c r="Q95" s="502">
        <v>0</v>
      </c>
      <c r="R95" s="501">
        <v>12</v>
      </c>
      <c r="S95" s="500">
        <v>17460</v>
      </c>
    </row>
    <row r="96" spans="1:19">
      <c r="A96" s="505">
        <v>139410</v>
      </c>
      <c r="B96" s="505">
        <v>3024000</v>
      </c>
      <c r="C96" s="505">
        <v>302</v>
      </c>
      <c r="D96" s="504" t="s">
        <v>431</v>
      </c>
      <c r="E96" s="505">
        <v>4000</v>
      </c>
      <c r="F96" s="504" t="s">
        <v>394</v>
      </c>
      <c r="G96" s="504" t="s">
        <v>420</v>
      </c>
      <c r="H96" s="504" t="s">
        <v>683</v>
      </c>
      <c r="I96" s="503">
        <v>585</v>
      </c>
      <c r="J96" s="503">
        <v>0</v>
      </c>
      <c r="K96" s="503">
        <v>0</v>
      </c>
      <c r="L96" s="503">
        <v>0</v>
      </c>
      <c r="M96" s="502">
        <v>0</v>
      </c>
      <c r="N96" s="503">
        <v>585</v>
      </c>
      <c r="O96" s="503">
        <v>125</v>
      </c>
      <c r="P96" s="503">
        <v>21.37</v>
      </c>
      <c r="Q96" s="502">
        <v>129375</v>
      </c>
      <c r="R96" s="501">
        <v>125</v>
      </c>
      <c r="S96" s="500">
        <v>129375</v>
      </c>
    </row>
    <row r="97" spans="1:19">
      <c r="A97" s="505">
        <v>139594</v>
      </c>
      <c r="B97" s="505">
        <v>3024001</v>
      </c>
      <c r="C97" s="505">
        <v>302</v>
      </c>
      <c r="D97" s="504" t="s">
        <v>431</v>
      </c>
      <c r="E97" s="505">
        <v>4001</v>
      </c>
      <c r="F97" s="504" t="s">
        <v>395</v>
      </c>
      <c r="G97" s="504" t="s">
        <v>420</v>
      </c>
      <c r="H97" s="504" t="s">
        <v>682</v>
      </c>
      <c r="I97" s="503">
        <v>817</v>
      </c>
      <c r="J97" s="503">
        <v>0</v>
      </c>
      <c r="K97" s="503">
        <v>0</v>
      </c>
      <c r="L97" s="503">
        <v>0</v>
      </c>
      <c r="M97" s="502">
        <v>0</v>
      </c>
      <c r="N97" s="503">
        <v>817</v>
      </c>
      <c r="O97" s="503">
        <v>118</v>
      </c>
      <c r="P97" s="503">
        <v>14.44</v>
      </c>
      <c r="Q97" s="502">
        <v>122130</v>
      </c>
      <c r="R97" s="501">
        <v>118</v>
      </c>
      <c r="S97" s="500">
        <v>122130</v>
      </c>
    </row>
    <row r="98" spans="1:19">
      <c r="A98" s="505">
        <v>101345</v>
      </c>
      <c r="B98" s="505">
        <v>3024003</v>
      </c>
      <c r="C98" s="505">
        <v>302</v>
      </c>
      <c r="D98" s="504" t="s">
        <v>431</v>
      </c>
      <c r="E98" s="505">
        <v>4003</v>
      </c>
      <c r="F98" s="504" t="s">
        <v>116</v>
      </c>
      <c r="G98" s="504" t="s">
        <v>680</v>
      </c>
      <c r="H98" s="504" t="s">
        <v>683</v>
      </c>
      <c r="I98" s="503">
        <v>739.5</v>
      </c>
      <c r="J98" s="503">
        <v>0</v>
      </c>
      <c r="K98" s="503">
        <v>0</v>
      </c>
      <c r="L98" s="503">
        <v>0</v>
      </c>
      <c r="M98" s="502">
        <v>0</v>
      </c>
      <c r="N98" s="503">
        <v>739.5</v>
      </c>
      <c r="O98" s="503">
        <v>300.5</v>
      </c>
      <c r="P98" s="503">
        <v>40.64</v>
      </c>
      <c r="Q98" s="502">
        <v>311017.5</v>
      </c>
      <c r="R98" s="501">
        <v>300.5</v>
      </c>
      <c r="S98" s="500">
        <v>311017.5</v>
      </c>
    </row>
    <row r="99" spans="1:19">
      <c r="A99" s="505">
        <v>142627</v>
      </c>
      <c r="B99" s="505">
        <v>3024004</v>
      </c>
      <c r="C99" s="505">
        <v>302</v>
      </c>
      <c r="D99" s="504" t="s">
        <v>431</v>
      </c>
      <c r="E99" s="505">
        <v>4004</v>
      </c>
      <c r="F99" s="504" t="s">
        <v>432</v>
      </c>
      <c r="G99" s="504" t="s">
        <v>680</v>
      </c>
      <c r="H99" s="504" t="s">
        <v>686</v>
      </c>
      <c r="I99" s="503">
        <v>311</v>
      </c>
      <c r="J99" s="503">
        <v>0</v>
      </c>
      <c r="K99" s="503">
        <v>0</v>
      </c>
      <c r="L99" s="503">
        <v>0</v>
      </c>
      <c r="M99" s="502">
        <v>0</v>
      </c>
      <c r="N99" s="503">
        <v>311</v>
      </c>
      <c r="O99" s="503">
        <v>6</v>
      </c>
      <c r="P99" s="503">
        <v>1.93</v>
      </c>
      <c r="Q99" s="502">
        <v>6210</v>
      </c>
      <c r="R99" s="501">
        <v>6</v>
      </c>
      <c r="S99" s="500">
        <v>6210</v>
      </c>
    </row>
    <row r="100" spans="1:19">
      <c r="A100" s="505">
        <v>144502</v>
      </c>
      <c r="B100" s="505">
        <v>3024010</v>
      </c>
      <c r="C100" s="505">
        <v>302</v>
      </c>
      <c r="D100" s="504" t="s">
        <v>431</v>
      </c>
      <c r="E100" s="505">
        <v>4010</v>
      </c>
      <c r="F100" s="504" t="s">
        <v>318</v>
      </c>
      <c r="G100" s="504" t="s">
        <v>420</v>
      </c>
      <c r="H100" s="504" t="s">
        <v>683</v>
      </c>
      <c r="I100" s="503">
        <v>829</v>
      </c>
      <c r="J100" s="503">
        <v>0</v>
      </c>
      <c r="K100" s="503">
        <v>0</v>
      </c>
      <c r="L100" s="503">
        <v>0</v>
      </c>
      <c r="M100" s="502">
        <v>0</v>
      </c>
      <c r="N100" s="503">
        <v>829</v>
      </c>
      <c r="O100" s="503">
        <v>244</v>
      </c>
      <c r="P100" s="503">
        <v>29.43</v>
      </c>
      <c r="Q100" s="502">
        <v>252540</v>
      </c>
      <c r="R100" s="501">
        <v>244</v>
      </c>
      <c r="S100" s="500">
        <v>252540</v>
      </c>
    </row>
    <row r="101" spans="1:19">
      <c r="A101" s="505">
        <v>145921</v>
      </c>
      <c r="B101" s="505">
        <v>3024011</v>
      </c>
      <c r="C101" s="505">
        <v>302</v>
      </c>
      <c r="D101" s="504" t="s">
        <v>431</v>
      </c>
      <c r="E101" s="505">
        <v>4011</v>
      </c>
      <c r="F101" s="504" t="s">
        <v>465</v>
      </c>
      <c r="G101" s="504" t="s">
        <v>420</v>
      </c>
      <c r="H101" s="504" t="s">
        <v>681</v>
      </c>
      <c r="I101" s="503">
        <v>846</v>
      </c>
      <c r="J101" s="503">
        <v>0</v>
      </c>
      <c r="K101" s="503">
        <v>0</v>
      </c>
      <c r="L101" s="503">
        <v>0</v>
      </c>
      <c r="M101" s="502">
        <v>0</v>
      </c>
      <c r="N101" s="503">
        <v>846</v>
      </c>
      <c r="O101" s="503">
        <v>487.5</v>
      </c>
      <c r="P101" s="503">
        <v>57.62</v>
      </c>
      <c r="Q101" s="502">
        <v>504562.5</v>
      </c>
      <c r="R101" s="501">
        <v>487.5</v>
      </c>
      <c r="S101" s="500">
        <v>504562.5</v>
      </c>
    </row>
    <row r="102" spans="1:19">
      <c r="A102" s="505">
        <v>137361</v>
      </c>
      <c r="B102" s="505">
        <v>3024012</v>
      </c>
      <c r="C102" s="505">
        <v>302</v>
      </c>
      <c r="D102" s="504" t="s">
        <v>431</v>
      </c>
      <c r="E102" s="505">
        <v>4012</v>
      </c>
      <c r="F102" s="504" t="s">
        <v>123</v>
      </c>
      <c r="G102" s="504" t="s">
        <v>420</v>
      </c>
      <c r="H102" s="504" t="s">
        <v>682</v>
      </c>
      <c r="I102" s="503">
        <v>596</v>
      </c>
      <c r="J102" s="503">
        <v>0</v>
      </c>
      <c r="K102" s="503">
        <v>0</v>
      </c>
      <c r="L102" s="503">
        <v>0</v>
      </c>
      <c r="M102" s="502">
        <v>0</v>
      </c>
      <c r="N102" s="503">
        <v>596</v>
      </c>
      <c r="O102" s="503">
        <v>330</v>
      </c>
      <c r="P102" s="503">
        <v>55.37</v>
      </c>
      <c r="Q102" s="502">
        <v>341550</v>
      </c>
      <c r="R102" s="501">
        <v>330</v>
      </c>
      <c r="S102" s="500">
        <v>341550</v>
      </c>
    </row>
    <row r="103" spans="1:19">
      <c r="A103" s="505">
        <v>147061</v>
      </c>
      <c r="B103" s="505">
        <v>3024013</v>
      </c>
      <c r="C103" s="505">
        <v>302</v>
      </c>
      <c r="D103" s="504" t="s">
        <v>431</v>
      </c>
      <c r="E103" s="505">
        <v>4013</v>
      </c>
      <c r="F103" s="504" t="s">
        <v>514</v>
      </c>
      <c r="G103" s="504" t="s">
        <v>420</v>
      </c>
      <c r="H103" s="504" t="s">
        <v>683</v>
      </c>
      <c r="I103" s="503">
        <v>899</v>
      </c>
      <c r="J103" s="503">
        <v>0</v>
      </c>
      <c r="K103" s="503">
        <v>0</v>
      </c>
      <c r="L103" s="503">
        <v>0</v>
      </c>
      <c r="M103" s="502">
        <v>0</v>
      </c>
      <c r="N103" s="503">
        <v>899</v>
      </c>
      <c r="O103" s="503">
        <v>300.20833333333331</v>
      </c>
      <c r="P103" s="503">
        <v>33.39</v>
      </c>
      <c r="Q103" s="502">
        <v>310715.625</v>
      </c>
      <c r="R103" s="501">
        <v>300.20833333333331</v>
      </c>
      <c r="S103" s="500">
        <v>310715.625</v>
      </c>
    </row>
    <row r="104" spans="1:19">
      <c r="A104" s="505">
        <v>147238</v>
      </c>
      <c r="B104" s="505">
        <v>3024014</v>
      </c>
      <c r="C104" s="505">
        <v>302</v>
      </c>
      <c r="D104" s="504" t="s">
        <v>431</v>
      </c>
      <c r="E104" s="505">
        <v>4014</v>
      </c>
      <c r="F104" s="504" t="s">
        <v>479</v>
      </c>
      <c r="G104" s="504" t="s">
        <v>420</v>
      </c>
      <c r="H104" s="504" t="s">
        <v>681</v>
      </c>
      <c r="I104" s="503">
        <v>426</v>
      </c>
      <c r="J104" s="503">
        <v>0</v>
      </c>
      <c r="K104" s="503">
        <v>0</v>
      </c>
      <c r="L104" s="503">
        <v>0</v>
      </c>
      <c r="M104" s="502">
        <v>0</v>
      </c>
      <c r="N104" s="503">
        <v>426</v>
      </c>
      <c r="O104" s="503">
        <v>35</v>
      </c>
      <c r="P104" s="503">
        <v>8.2200000000000006</v>
      </c>
      <c r="Q104" s="502">
        <v>36225</v>
      </c>
      <c r="R104" s="501">
        <v>35</v>
      </c>
      <c r="S104" s="500">
        <v>36225</v>
      </c>
    </row>
    <row r="105" spans="1:19">
      <c r="A105" s="505">
        <v>137131</v>
      </c>
      <c r="B105" s="505">
        <v>3024208</v>
      </c>
      <c r="C105" s="505">
        <v>302</v>
      </c>
      <c r="D105" s="504" t="s">
        <v>431</v>
      </c>
      <c r="E105" s="505">
        <v>4208</v>
      </c>
      <c r="F105" s="504" t="s">
        <v>118</v>
      </c>
      <c r="G105" s="504" t="s">
        <v>420</v>
      </c>
      <c r="H105" s="504" t="s">
        <v>683</v>
      </c>
      <c r="I105" s="503">
        <v>1007</v>
      </c>
      <c r="J105" s="503">
        <v>0</v>
      </c>
      <c r="K105" s="503">
        <v>0</v>
      </c>
      <c r="L105" s="503">
        <v>0</v>
      </c>
      <c r="M105" s="502">
        <v>0</v>
      </c>
      <c r="N105" s="503">
        <v>1007</v>
      </c>
      <c r="O105" s="503">
        <v>222</v>
      </c>
      <c r="P105" s="503">
        <v>22.05</v>
      </c>
      <c r="Q105" s="502">
        <v>229770</v>
      </c>
      <c r="R105" s="501">
        <v>222</v>
      </c>
      <c r="S105" s="500">
        <v>229770</v>
      </c>
    </row>
    <row r="106" spans="1:19">
      <c r="A106" s="505">
        <v>138685</v>
      </c>
      <c r="B106" s="505">
        <v>3024210</v>
      </c>
      <c r="C106" s="505">
        <v>302</v>
      </c>
      <c r="D106" s="504" t="s">
        <v>431</v>
      </c>
      <c r="E106" s="505">
        <v>4210</v>
      </c>
      <c r="F106" s="504" t="s">
        <v>51</v>
      </c>
      <c r="G106" s="504" t="s">
        <v>420</v>
      </c>
      <c r="H106" s="504" t="s">
        <v>681</v>
      </c>
      <c r="I106" s="503">
        <v>769.5</v>
      </c>
      <c r="J106" s="503">
        <v>0</v>
      </c>
      <c r="K106" s="503">
        <v>0</v>
      </c>
      <c r="L106" s="503">
        <v>0</v>
      </c>
      <c r="M106" s="502">
        <v>0</v>
      </c>
      <c r="N106" s="503">
        <v>769.5</v>
      </c>
      <c r="O106" s="503">
        <v>314.5</v>
      </c>
      <c r="P106" s="503">
        <v>40.869999999999997</v>
      </c>
      <c r="Q106" s="502">
        <v>325507.5</v>
      </c>
      <c r="R106" s="501">
        <v>314.5</v>
      </c>
      <c r="S106" s="500">
        <v>325507.5</v>
      </c>
    </row>
    <row r="107" spans="1:19">
      <c r="A107" s="505">
        <v>137388</v>
      </c>
      <c r="B107" s="505">
        <v>3024211</v>
      </c>
      <c r="C107" s="505">
        <v>302</v>
      </c>
      <c r="D107" s="504" t="s">
        <v>431</v>
      </c>
      <c r="E107" s="505">
        <v>4211</v>
      </c>
      <c r="F107" s="504" t="s">
        <v>300</v>
      </c>
      <c r="G107" s="504" t="s">
        <v>420</v>
      </c>
      <c r="H107" s="504" t="s">
        <v>682</v>
      </c>
      <c r="I107" s="503">
        <v>821</v>
      </c>
      <c r="J107" s="503">
        <v>0</v>
      </c>
      <c r="K107" s="503">
        <v>0</v>
      </c>
      <c r="L107" s="503">
        <v>0</v>
      </c>
      <c r="M107" s="502">
        <v>0</v>
      </c>
      <c r="N107" s="503">
        <v>821</v>
      </c>
      <c r="O107" s="503">
        <v>252.5</v>
      </c>
      <c r="P107" s="503">
        <v>30.76</v>
      </c>
      <c r="Q107" s="502">
        <v>261337.5</v>
      </c>
      <c r="R107" s="501">
        <v>252.5</v>
      </c>
      <c r="S107" s="500">
        <v>261337.5</v>
      </c>
    </row>
    <row r="108" spans="1:19">
      <c r="A108" s="505">
        <v>136658</v>
      </c>
      <c r="B108" s="505">
        <v>3024212</v>
      </c>
      <c r="C108" s="505">
        <v>302</v>
      </c>
      <c r="D108" s="504" t="s">
        <v>431</v>
      </c>
      <c r="E108" s="505">
        <v>4212</v>
      </c>
      <c r="F108" s="504" t="s">
        <v>397</v>
      </c>
      <c r="G108" s="504" t="s">
        <v>420</v>
      </c>
      <c r="H108" s="504" t="s">
        <v>683</v>
      </c>
      <c r="I108" s="503">
        <v>1119</v>
      </c>
      <c r="J108" s="503">
        <v>0</v>
      </c>
      <c r="K108" s="503">
        <v>0</v>
      </c>
      <c r="L108" s="503">
        <v>0</v>
      </c>
      <c r="M108" s="502">
        <v>0</v>
      </c>
      <c r="N108" s="503">
        <v>1119</v>
      </c>
      <c r="O108" s="503">
        <v>230</v>
      </c>
      <c r="P108" s="503">
        <v>20.55</v>
      </c>
      <c r="Q108" s="502">
        <v>238050</v>
      </c>
      <c r="R108" s="501">
        <v>230</v>
      </c>
      <c r="S108" s="500">
        <v>238050</v>
      </c>
    </row>
    <row r="109" spans="1:19">
      <c r="A109" s="505">
        <v>136418</v>
      </c>
      <c r="B109" s="505">
        <v>3024215</v>
      </c>
      <c r="C109" s="505">
        <v>302</v>
      </c>
      <c r="D109" s="504" t="s">
        <v>431</v>
      </c>
      <c r="E109" s="505">
        <v>4215</v>
      </c>
      <c r="F109" s="504" t="s">
        <v>398</v>
      </c>
      <c r="G109" s="504" t="s">
        <v>420</v>
      </c>
      <c r="H109" s="504" t="s">
        <v>682</v>
      </c>
      <c r="I109" s="503">
        <v>1043</v>
      </c>
      <c r="J109" s="503">
        <v>0</v>
      </c>
      <c r="K109" s="503">
        <v>0</v>
      </c>
      <c r="L109" s="503">
        <v>0</v>
      </c>
      <c r="M109" s="502">
        <v>0</v>
      </c>
      <c r="N109" s="503">
        <v>1043</v>
      </c>
      <c r="O109" s="503">
        <v>290</v>
      </c>
      <c r="P109" s="503">
        <v>27.8</v>
      </c>
      <c r="Q109" s="502">
        <v>300150</v>
      </c>
      <c r="R109" s="501">
        <v>290</v>
      </c>
      <c r="S109" s="500">
        <v>300150</v>
      </c>
    </row>
    <row r="110" spans="1:19">
      <c r="A110" s="505">
        <v>138051</v>
      </c>
      <c r="B110" s="505">
        <v>3024752</v>
      </c>
      <c r="C110" s="505">
        <v>302</v>
      </c>
      <c r="D110" s="504" t="s">
        <v>431</v>
      </c>
      <c r="E110" s="505">
        <v>4752</v>
      </c>
      <c r="F110" s="504" t="s">
        <v>302</v>
      </c>
      <c r="G110" s="504" t="s">
        <v>420</v>
      </c>
      <c r="H110" s="504" t="s">
        <v>682</v>
      </c>
      <c r="I110" s="503">
        <v>520</v>
      </c>
      <c r="J110" s="503">
        <v>0</v>
      </c>
      <c r="K110" s="503">
        <v>0</v>
      </c>
      <c r="L110" s="503">
        <v>0</v>
      </c>
      <c r="M110" s="502">
        <v>0</v>
      </c>
      <c r="N110" s="503">
        <v>520</v>
      </c>
      <c r="O110" s="503">
        <v>24</v>
      </c>
      <c r="P110" s="503">
        <v>4.62</v>
      </c>
      <c r="Q110" s="502">
        <v>24840</v>
      </c>
      <c r="R110" s="501">
        <v>24</v>
      </c>
      <c r="S110" s="500">
        <v>24840</v>
      </c>
    </row>
    <row r="111" spans="1:19">
      <c r="A111" s="505">
        <v>101356</v>
      </c>
      <c r="B111" s="505">
        <v>3025201</v>
      </c>
      <c r="C111" s="505">
        <v>302</v>
      </c>
      <c r="D111" s="504" t="s">
        <v>431</v>
      </c>
      <c r="E111" s="505">
        <v>5201</v>
      </c>
      <c r="F111" s="504" t="s">
        <v>281</v>
      </c>
      <c r="G111" s="504" t="s">
        <v>680</v>
      </c>
      <c r="H111" s="504" t="s">
        <v>683</v>
      </c>
      <c r="I111" s="503">
        <v>404</v>
      </c>
      <c r="J111" s="503">
        <v>404</v>
      </c>
      <c r="K111" s="503">
        <v>90</v>
      </c>
      <c r="L111" s="503">
        <v>22.28</v>
      </c>
      <c r="M111" s="502">
        <v>130950</v>
      </c>
      <c r="N111" s="503">
        <v>0</v>
      </c>
      <c r="O111" s="503">
        <v>0</v>
      </c>
      <c r="P111" s="503">
        <v>0</v>
      </c>
      <c r="Q111" s="502">
        <v>0</v>
      </c>
      <c r="R111" s="501">
        <v>90</v>
      </c>
      <c r="S111" s="500">
        <v>130950</v>
      </c>
    </row>
    <row r="112" spans="1:19">
      <c r="A112" s="505">
        <v>137645</v>
      </c>
      <c r="B112" s="505">
        <v>3025400</v>
      </c>
      <c r="C112" s="505">
        <v>302</v>
      </c>
      <c r="D112" s="504" t="s">
        <v>431</v>
      </c>
      <c r="E112" s="505">
        <v>5400</v>
      </c>
      <c r="F112" s="504" t="s">
        <v>117</v>
      </c>
      <c r="G112" s="504" t="s">
        <v>420</v>
      </c>
      <c r="H112" s="504" t="s">
        <v>681</v>
      </c>
      <c r="I112" s="503">
        <v>1047</v>
      </c>
      <c r="J112" s="503">
        <v>0</v>
      </c>
      <c r="K112" s="503">
        <v>0</v>
      </c>
      <c r="L112" s="503">
        <v>0</v>
      </c>
      <c r="M112" s="502">
        <v>0</v>
      </c>
      <c r="N112" s="503">
        <v>1047</v>
      </c>
      <c r="O112" s="503">
        <v>455</v>
      </c>
      <c r="P112" s="503">
        <v>43.46</v>
      </c>
      <c r="Q112" s="502">
        <v>470925</v>
      </c>
      <c r="R112" s="501">
        <v>455</v>
      </c>
      <c r="S112" s="500">
        <v>470925</v>
      </c>
    </row>
    <row r="113" spans="1:19">
      <c r="A113" s="505">
        <v>136290</v>
      </c>
      <c r="B113" s="505">
        <v>3025401</v>
      </c>
      <c r="C113" s="505">
        <v>302</v>
      </c>
      <c r="D113" s="504" t="s">
        <v>431</v>
      </c>
      <c r="E113" s="505">
        <v>5401</v>
      </c>
      <c r="F113" s="504" t="s">
        <v>119</v>
      </c>
      <c r="G113" s="504" t="s">
        <v>420</v>
      </c>
      <c r="H113" s="504" t="s">
        <v>683</v>
      </c>
      <c r="I113" s="503">
        <v>958.5</v>
      </c>
      <c r="J113" s="503">
        <v>0</v>
      </c>
      <c r="K113" s="503">
        <v>0</v>
      </c>
      <c r="L113" s="503">
        <v>0</v>
      </c>
      <c r="M113" s="502">
        <v>0</v>
      </c>
      <c r="N113" s="503">
        <v>958.5</v>
      </c>
      <c r="O113" s="503">
        <v>43</v>
      </c>
      <c r="P113" s="503">
        <v>4.49</v>
      </c>
      <c r="Q113" s="502">
        <v>44505</v>
      </c>
      <c r="R113" s="501">
        <v>43</v>
      </c>
      <c r="S113" s="500">
        <v>44505</v>
      </c>
    </row>
    <row r="114" spans="1:19">
      <c r="A114" s="505">
        <v>137386</v>
      </c>
      <c r="B114" s="505">
        <v>3025402</v>
      </c>
      <c r="C114" s="505">
        <v>302</v>
      </c>
      <c r="D114" s="504" t="s">
        <v>431</v>
      </c>
      <c r="E114" s="505">
        <v>5402</v>
      </c>
      <c r="F114" s="504" t="s">
        <v>319</v>
      </c>
      <c r="G114" s="504" t="s">
        <v>420</v>
      </c>
      <c r="H114" s="504" t="s">
        <v>681</v>
      </c>
      <c r="I114" s="503">
        <v>1246</v>
      </c>
      <c r="J114" s="503">
        <v>0</v>
      </c>
      <c r="K114" s="503">
        <v>0</v>
      </c>
      <c r="L114" s="503">
        <v>0</v>
      </c>
      <c r="M114" s="502">
        <v>0</v>
      </c>
      <c r="N114" s="503">
        <v>1246</v>
      </c>
      <c r="O114" s="503">
        <v>264.5</v>
      </c>
      <c r="P114" s="503">
        <v>21.23</v>
      </c>
      <c r="Q114" s="502">
        <v>273757.5</v>
      </c>
      <c r="R114" s="501">
        <v>264.5</v>
      </c>
      <c r="S114" s="500">
        <v>273757.5</v>
      </c>
    </row>
    <row r="115" spans="1:19">
      <c r="A115" s="505">
        <v>101361</v>
      </c>
      <c r="B115" s="505">
        <v>3025404</v>
      </c>
      <c r="C115" s="505">
        <v>302</v>
      </c>
      <c r="D115" s="504" t="s">
        <v>431</v>
      </c>
      <c r="E115" s="505">
        <v>5404</v>
      </c>
      <c r="F115" s="504" t="s">
        <v>301</v>
      </c>
      <c r="G115" s="504" t="s">
        <v>680</v>
      </c>
      <c r="H115" s="504" t="s">
        <v>682</v>
      </c>
      <c r="I115" s="503">
        <v>605.5</v>
      </c>
      <c r="J115" s="503">
        <v>0</v>
      </c>
      <c r="K115" s="503">
        <v>0</v>
      </c>
      <c r="L115" s="503">
        <v>0</v>
      </c>
      <c r="M115" s="502">
        <v>0</v>
      </c>
      <c r="N115" s="503">
        <v>605.5</v>
      </c>
      <c r="O115" s="503">
        <v>65</v>
      </c>
      <c r="P115" s="503">
        <v>10.73</v>
      </c>
      <c r="Q115" s="502">
        <v>67275</v>
      </c>
      <c r="R115" s="501">
        <v>65</v>
      </c>
      <c r="S115" s="500">
        <v>67275</v>
      </c>
    </row>
    <row r="116" spans="1:19">
      <c r="A116" s="505">
        <v>101362</v>
      </c>
      <c r="B116" s="505">
        <v>3025405</v>
      </c>
      <c r="C116" s="505">
        <v>302</v>
      </c>
      <c r="D116" s="504" t="s">
        <v>431</v>
      </c>
      <c r="E116" s="505">
        <v>5405</v>
      </c>
      <c r="F116" s="504" t="s">
        <v>115</v>
      </c>
      <c r="G116" s="504" t="s">
        <v>680</v>
      </c>
      <c r="H116" s="504" t="s">
        <v>683</v>
      </c>
      <c r="I116" s="503">
        <v>894.5</v>
      </c>
      <c r="J116" s="503">
        <v>0</v>
      </c>
      <c r="K116" s="503">
        <v>0</v>
      </c>
      <c r="L116" s="503">
        <v>0</v>
      </c>
      <c r="M116" s="502">
        <v>0</v>
      </c>
      <c r="N116" s="503">
        <v>894.5</v>
      </c>
      <c r="O116" s="503">
        <v>133</v>
      </c>
      <c r="P116" s="503">
        <v>14.87</v>
      </c>
      <c r="Q116" s="502">
        <v>137655</v>
      </c>
      <c r="R116" s="501">
        <v>133</v>
      </c>
      <c r="S116" s="500">
        <v>137655</v>
      </c>
    </row>
    <row r="117" spans="1:19">
      <c r="A117" s="505">
        <v>136308</v>
      </c>
      <c r="B117" s="505">
        <v>3025406</v>
      </c>
      <c r="C117" s="505">
        <v>302</v>
      </c>
      <c r="D117" s="504" t="s">
        <v>431</v>
      </c>
      <c r="E117" s="505">
        <v>5406</v>
      </c>
      <c r="F117" s="504" t="s">
        <v>320</v>
      </c>
      <c r="G117" s="504" t="s">
        <v>420</v>
      </c>
      <c r="H117" s="504" t="s">
        <v>683</v>
      </c>
      <c r="I117" s="503">
        <v>1304</v>
      </c>
      <c r="J117" s="503">
        <v>0</v>
      </c>
      <c r="K117" s="503">
        <v>0</v>
      </c>
      <c r="L117" s="503">
        <v>0</v>
      </c>
      <c r="M117" s="502">
        <v>0</v>
      </c>
      <c r="N117" s="503">
        <v>1304</v>
      </c>
      <c r="O117" s="503">
        <v>141</v>
      </c>
      <c r="P117" s="503">
        <v>10.81</v>
      </c>
      <c r="Q117" s="502">
        <v>145935</v>
      </c>
      <c r="R117" s="501">
        <v>141</v>
      </c>
      <c r="S117" s="500">
        <v>145935</v>
      </c>
    </row>
    <row r="118" spans="1:19">
      <c r="A118" s="505">
        <v>101364</v>
      </c>
      <c r="B118" s="505">
        <v>3025407</v>
      </c>
      <c r="C118" s="505">
        <v>302</v>
      </c>
      <c r="D118" s="504" t="s">
        <v>431</v>
      </c>
      <c r="E118" s="505">
        <v>5407</v>
      </c>
      <c r="F118" s="504" t="s">
        <v>120</v>
      </c>
      <c r="G118" s="504" t="s">
        <v>680</v>
      </c>
      <c r="H118" s="504" t="s">
        <v>681</v>
      </c>
      <c r="I118" s="503">
        <v>1074</v>
      </c>
      <c r="J118" s="503">
        <v>0</v>
      </c>
      <c r="K118" s="503">
        <v>0</v>
      </c>
      <c r="L118" s="503">
        <v>0</v>
      </c>
      <c r="M118" s="502">
        <v>0</v>
      </c>
      <c r="N118" s="503">
        <v>1074</v>
      </c>
      <c r="O118" s="503">
        <v>279</v>
      </c>
      <c r="P118" s="503">
        <v>25.98</v>
      </c>
      <c r="Q118" s="502">
        <v>288765</v>
      </c>
      <c r="R118" s="501">
        <v>279</v>
      </c>
      <c r="S118" s="500">
        <v>288765</v>
      </c>
    </row>
    <row r="119" spans="1:19">
      <c r="A119" s="505">
        <v>143082</v>
      </c>
      <c r="B119" s="505">
        <v>3025408</v>
      </c>
      <c r="C119" s="505">
        <v>302</v>
      </c>
      <c r="D119" s="504" t="s">
        <v>431</v>
      </c>
      <c r="E119" s="505">
        <v>5408</v>
      </c>
      <c r="F119" s="504" t="s">
        <v>299</v>
      </c>
      <c r="G119" s="504" t="s">
        <v>420</v>
      </c>
      <c r="H119" s="504" t="s">
        <v>682</v>
      </c>
      <c r="I119" s="503">
        <v>733.5</v>
      </c>
      <c r="J119" s="503">
        <v>0</v>
      </c>
      <c r="K119" s="503">
        <v>0</v>
      </c>
      <c r="L119" s="503">
        <v>0</v>
      </c>
      <c r="M119" s="502">
        <v>0</v>
      </c>
      <c r="N119" s="503">
        <v>733.5</v>
      </c>
      <c r="O119" s="503">
        <v>267</v>
      </c>
      <c r="P119" s="503">
        <v>36.4</v>
      </c>
      <c r="Q119" s="502">
        <v>276345</v>
      </c>
      <c r="R119" s="501">
        <v>267</v>
      </c>
      <c r="S119" s="500">
        <v>276345</v>
      </c>
    </row>
    <row r="120" spans="1:19">
      <c r="A120" s="505">
        <v>137539</v>
      </c>
      <c r="B120" s="505">
        <v>3025409</v>
      </c>
      <c r="C120" s="505">
        <v>302</v>
      </c>
      <c r="D120" s="504" t="s">
        <v>431</v>
      </c>
      <c r="E120" s="505">
        <v>5409</v>
      </c>
      <c r="F120" s="504" t="s">
        <v>512</v>
      </c>
      <c r="G120" s="504" t="s">
        <v>420</v>
      </c>
      <c r="H120" s="504" t="s">
        <v>682</v>
      </c>
      <c r="I120" s="503">
        <v>536</v>
      </c>
      <c r="J120" s="503">
        <v>0</v>
      </c>
      <c r="K120" s="503">
        <v>0</v>
      </c>
      <c r="L120" s="503">
        <v>0</v>
      </c>
      <c r="M120" s="502">
        <v>0</v>
      </c>
      <c r="N120" s="503">
        <v>536</v>
      </c>
      <c r="O120" s="503">
        <v>37</v>
      </c>
      <c r="P120" s="503">
        <v>6.9</v>
      </c>
      <c r="Q120" s="502">
        <v>38295</v>
      </c>
      <c r="R120" s="501">
        <v>37</v>
      </c>
      <c r="S120" s="500">
        <v>38295</v>
      </c>
    </row>
    <row r="121" spans="1:19">
      <c r="A121" s="505">
        <v>135747</v>
      </c>
      <c r="B121" s="505">
        <v>3025427</v>
      </c>
      <c r="C121" s="505">
        <v>302</v>
      </c>
      <c r="D121" s="504" t="s">
        <v>431</v>
      </c>
      <c r="E121" s="505">
        <v>5427</v>
      </c>
      <c r="F121" s="504" t="s">
        <v>315</v>
      </c>
      <c r="G121" s="504" t="s">
        <v>680</v>
      </c>
      <c r="H121" s="504" t="s">
        <v>683</v>
      </c>
      <c r="I121" s="503">
        <v>991.5</v>
      </c>
      <c r="J121" s="503">
        <v>0</v>
      </c>
      <c r="K121" s="503">
        <v>0</v>
      </c>
      <c r="L121" s="503">
        <v>0</v>
      </c>
      <c r="M121" s="502">
        <v>0</v>
      </c>
      <c r="N121" s="503">
        <v>991.5</v>
      </c>
      <c r="O121" s="503">
        <v>58</v>
      </c>
      <c r="P121" s="503">
        <v>5.85</v>
      </c>
      <c r="Q121" s="502">
        <v>60030</v>
      </c>
      <c r="R121" s="501">
        <v>58</v>
      </c>
      <c r="S121" s="500">
        <v>60030</v>
      </c>
    </row>
    <row r="122" spans="1:19">
      <c r="A122" s="505">
        <v>101376</v>
      </c>
      <c r="B122" s="505">
        <v>3025948</v>
      </c>
      <c r="C122" s="505">
        <v>302</v>
      </c>
      <c r="D122" s="504" t="s">
        <v>431</v>
      </c>
      <c r="E122" s="505">
        <v>5948</v>
      </c>
      <c r="F122" s="504" t="s">
        <v>277</v>
      </c>
      <c r="G122" s="504" t="s">
        <v>680</v>
      </c>
      <c r="H122" s="504" t="s">
        <v>681</v>
      </c>
      <c r="I122" s="503">
        <v>206</v>
      </c>
      <c r="J122" s="503">
        <v>206</v>
      </c>
      <c r="K122" s="503">
        <v>4</v>
      </c>
      <c r="L122" s="503">
        <v>1.94</v>
      </c>
      <c r="M122" s="502">
        <v>5820</v>
      </c>
      <c r="N122" s="503">
        <v>0</v>
      </c>
      <c r="O122" s="503">
        <v>0</v>
      </c>
      <c r="P122" s="503">
        <v>0</v>
      </c>
      <c r="Q122" s="502">
        <v>0</v>
      </c>
      <c r="R122" s="501">
        <v>4</v>
      </c>
      <c r="S122" s="500">
        <v>5820</v>
      </c>
    </row>
    <row r="123" spans="1:19">
      <c r="A123" s="505">
        <v>131359</v>
      </c>
      <c r="B123" s="505">
        <v>3025949</v>
      </c>
      <c r="C123" s="505">
        <v>302</v>
      </c>
      <c r="D123" s="504" t="s">
        <v>431</v>
      </c>
      <c r="E123" s="505">
        <v>5949</v>
      </c>
      <c r="F123" s="504" t="s">
        <v>76</v>
      </c>
      <c r="G123" s="504" t="s">
        <v>680</v>
      </c>
      <c r="H123" s="504" t="s">
        <v>681</v>
      </c>
      <c r="I123" s="503">
        <v>343</v>
      </c>
      <c r="J123" s="503">
        <v>343</v>
      </c>
      <c r="K123" s="503">
        <v>14</v>
      </c>
      <c r="L123" s="503">
        <v>4.08</v>
      </c>
      <c r="M123" s="502">
        <v>20370</v>
      </c>
      <c r="N123" s="503">
        <v>0</v>
      </c>
      <c r="O123" s="503">
        <v>0</v>
      </c>
      <c r="P123" s="503">
        <v>0</v>
      </c>
      <c r="Q123" s="502">
        <v>0</v>
      </c>
      <c r="R123" s="501">
        <v>14</v>
      </c>
      <c r="S123" s="500">
        <v>20370</v>
      </c>
    </row>
    <row r="124" spans="1:19">
      <c r="A124" s="505">
        <v>144784</v>
      </c>
      <c r="B124" s="505">
        <v>3025950</v>
      </c>
      <c r="C124" s="505">
        <v>302</v>
      </c>
      <c r="D124" s="504" t="s">
        <v>431</v>
      </c>
      <c r="E124" s="505">
        <v>5950</v>
      </c>
      <c r="F124" s="504" t="s">
        <v>451</v>
      </c>
      <c r="G124" s="504" t="s">
        <v>441</v>
      </c>
      <c r="H124" s="504" t="s">
        <v>683</v>
      </c>
      <c r="I124" s="503">
        <v>44</v>
      </c>
      <c r="J124" s="503">
        <v>0</v>
      </c>
      <c r="K124" s="503">
        <v>0</v>
      </c>
      <c r="L124" s="503">
        <v>0</v>
      </c>
      <c r="M124" s="502">
        <v>0</v>
      </c>
      <c r="N124" s="503">
        <v>44</v>
      </c>
      <c r="O124" s="503">
        <v>28</v>
      </c>
      <c r="P124" s="503">
        <v>63.64</v>
      </c>
      <c r="Q124" s="502">
        <v>28980</v>
      </c>
      <c r="R124" s="501">
        <v>28</v>
      </c>
      <c r="S124" s="500">
        <v>28980</v>
      </c>
    </row>
    <row r="125" spans="1:19">
      <c r="A125" s="505">
        <v>144752</v>
      </c>
      <c r="B125" s="505">
        <v>3026085</v>
      </c>
      <c r="C125" s="505">
        <v>302</v>
      </c>
      <c r="D125" s="504" t="s">
        <v>431</v>
      </c>
      <c r="E125" s="505">
        <v>6085</v>
      </c>
      <c r="F125" s="504" t="s">
        <v>480</v>
      </c>
      <c r="G125" s="504" t="s">
        <v>441</v>
      </c>
      <c r="H125" s="504" t="s">
        <v>681</v>
      </c>
      <c r="I125" s="503">
        <v>57</v>
      </c>
      <c r="J125" s="503">
        <v>24</v>
      </c>
      <c r="K125" s="503">
        <v>5</v>
      </c>
      <c r="L125" s="503">
        <v>20.83</v>
      </c>
      <c r="M125" s="502">
        <v>7275</v>
      </c>
      <c r="N125" s="503">
        <v>33</v>
      </c>
      <c r="O125" s="503">
        <v>9</v>
      </c>
      <c r="P125" s="503">
        <v>27.27</v>
      </c>
      <c r="Q125" s="502">
        <v>9315</v>
      </c>
      <c r="R125" s="501">
        <v>14</v>
      </c>
      <c r="S125" s="500">
        <v>16590</v>
      </c>
    </row>
    <row r="126" spans="1:19">
      <c r="A126" s="505">
        <v>134798</v>
      </c>
      <c r="B126" s="505">
        <v>3026905</v>
      </c>
      <c r="C126" s="505">
        <v>302</v>
      </c>
      <c r="D126" s="504" t="s">
        <v>431</v>
      </c>
      <c r="E126" s="505">
        <v>6905</v>
      </c>
      <c r="F126" s="504" t="s">
        <v>325</v>
      </c>
      <c r="G126" s="504" t="s">
        <v>420</v>
      </c>
      <c r="H126" s="504" t="s">
        <v>681</v>
      </c>
      <c r="I126" s="503">
        <v>1378.5</v>
      </c>
      <c r="J126" s="503">
        <v>333.5</v>
      </c>
      <c r="K126" s="503">
        <v>144.5</v>
      </c>
      <c r="L126" s="503">
        <v>43.33</v>
      </c>
      <c r="M126" s="502">
        <v>210247.5</v>
      </c>
      <c r="N126" s="503">
        <v>1045</v>
      </c>
      <c r="O126" s="503">
        <v>464</v>
      </c>
      <c r="P126" s="503">
        <v>44.4</v>
      </c>
      <c r="Q126" s="502">
        <v>480240</v>
      </c>
      <c r="R126" s="501">
        <v>608.5</v>
      </c>
      <c r="S126" s="500">
        <v>690487.5</v>
      </c>
    </row>
    <row r="127" spans="1:19">
      <c r="A127" s="505">
        <v>135507</v>
      </c>
      <c r="B127" s="505">
        <v>3026906</v>
      </c>
      <c r="C127" s="505">
        <v>302</v>
      </c>
      <c r="D127" s="504" t="s">
        <v>431</v>
      </c>
      <c r="E127" s="505">
        <v>6906</v>
      </c>
      <c r="F127" s="504" t="s">
        <v>737</v>
      </c>
      <c r="G127" s="504" t="s">
        <v>420</v>
      </c>
      <c r="H127" s="504" t="s">
        <v>682</v>
      </c>
      <c r="I127" s="503">
        <v>1334</v>
      </c>
      <c r="J127" s="503">
        <v>420</v>
      </c>
      <c r="K127" s="503">
        <v>62</v>
      </c>
      <c r="L127" s="503">
        <v>14.76</v>
      </c>
      <c r="M127" s="502">
        <v>90210</v>
      </c>
      <c r="N127" s="503">
        <v>914</v>
      </c>
      <c r="O127" s="503">
        <v>149</v>
      </c>
      <c r="P127" s="503">
        <v>16.3</v>
      </c>
      <c r="Q127" s="502">
        <v>154215</v>
      </c>
      <c r="R127" s="501">
        <v>211</v>
      </c>
      <c r="S127" s="500">
        <v>244425</v>
      </c>
    </row>
    <row r="128" spans="1:19">
      <c r="A128" s="505">
        <v>143865</v>
      </c>
      <c r="B128" s="505">
        <v>3027000</v>
      </c>
      <c r="C128" s="505">
        <v>302</v>
      </c>
      <c r="D128" s="504" t="s">
        <v>431</v>
      </c>
      <c r="E128" s="505">
        <v>7000</v>
      </c>
      <c r="F128" s="504" t="s">
        <v>126</v>
      </c>
      <c r="G128" s="504" t="s">
        <v>441</v>
      </c>
      <c r="H128" s="504" t="s">
        <v>682</v>
      </c>
      <c r="I128" s="503">
        <v>133</v>
      </c>
      <c r="J128" s="503">
        <v>0</v>
      </c>
      <c r="K128" s="503">
        <v>0</v>
      </c>
      <c r="L128" s="503">
        <v>0</v>
      </c>
      <c r="M128" s="502">
        <v>0</v>
      </c>
      <c r="N128" s="503">
        <v>133</v>
      </c>
      <c r="O128" s="503">
        <v>81</v>
      </c>
      <c r="P128" s="503">
        <v>60.9</v>
      </c>
      <c r="Q128" s="502">
        <v>83835</v>
      </c>
      <c r="R128" s="501">
        <v>81</v>
      </c>
      <c r="S128" s="500">
        <v>83835</v>
      </c>
    </row>
    <row r="129" spans="1:19">
      <c r="A129" s="505">
        <v>143758</v>
      </c>
      <c r="B129" s="505">
        <v>3027002</v>
      </c>
      <c r="C129" s="505">
        <v>302</v>
      </c>
      <c r="D129" s="504" t="s">
        <v>431</v>
      </c>
      <c r="E129" s="505">
        <v>7002</v>
      </c>
      <c r="F129" s="504" t="s">
        <v>736</v>
      </c>
      <c r="G129" s="504" t="s">
        <v>441</v>
      </c>
      <c r="H129" s="504" t="s">
        <v>683</v>
      </c>
      <c r="I129" s="503">
        <v>10</v>
      </c>
      <c r="J129" s="503">
        <v>1</v>
      </c>
      <c r="K129" s="503">
        <v>0.58333333333333337</v>
      </c>
      <c r="L129" s="503">
        <v>58.33</v>
      </c>
      <c r="M129" s="502">
        <v>848.75</v>
      </c>
      <c r="N129" s="503">
        <v>9</v>
      </c>
      <c r="O129" s="503">
        <v>1.1666666666666667</v>
      </c>
      <c r="P129" s="503">
        <v>12.96</v>
      </c>
      <c r="Q129" s="502">
        <v>1207.5</v>
      </c>
      <c r="R129" s="501">
        <v>1.75</v>
      </c>
      <c r="S129" s="500">
        <v>2056.25</v>
      </c>
    </row>
    <row r="130" spans="1:19">
      <c r="A130" s="505">
        <v>101395</v>
      </c>
      <c r="B130" s="505">
        <v>3027005</v>
      </c>
      <c r="C130" s="505">
        <v>302</v>
      </c>
      <c r="D130" s="504" t="s">
        <v>431</v>
      </c>
      <c r="E130" s="505">
        <v>7005</v>
      </c>
      <c r="F130" s="504" t="s">
        <v>125</v>
      </c>
      <c r="G130" s="504" t="s">
        <v>7</v>
      </c>
      <c r="H130" s="504" t="s">
        <v>681</v>
      </c>
      <c r="I130" s="503">
        <v>141</v>
      </c>
      <c r="J130" s="503">
        <v>131</v>
      </c>
      <c r="K130" s="503">
        <v>50</v>
      </c>
      <c r="L130" s="503">
        <v>38.17</v>
      </c>
      <c r="M130" s="502">
        <v>72750</v>
      </c>
      <c r="N130" s="503">
        <v>10</v>
      </c>
      <c r="O130" s="503">
        <v>4</v>
      </c>
      <c r="P130" s="503">
        <v>40</v>
      </c>
      <c r="Q130" s="502">
        <v>4140</v>
      </c>
      <c r="R130" s="501">
        <v>54</v>
      </c>
      <c r="S130" s="500">
        <v>76890</v>
      </c>
    </row>
    <row r="131" spans="1:19">
      <c r="A131" s="505">
        <v>101396</v>
      </c>
      <c r="B131" s="505">
        <v>3027009</v>
      </c>
      <c r="C131" s="505">
        <v>302</v>
      </c>
      <c r="D131" s="504" t="s">
        <v>431</v>
      </c>
      <c r="E131" s="505">
        <v>7009</v>
      </c>
      <c r="F131" s="504" t="s">
        <v>430</v>
      </c>
      <c r="G131" s="504" t="s">
        <v>7</v>
      </c>
      <c r="H131" s="504" t="s">
        <v>683</v>
      </c>
      <c r="I131" s="503">
        <v>128</v>
      </c>
      <c r="J131" s="503">
        <v>128</v>
      </c>
      <c r="K131" s="503">
        <v>65</v>
      </c>
      <c r="L131" s="503">
        <v>50.78</v>
      </c>
      <c r="M131" s="502">
        <v>94575</v>
      </c>
      <c r="N131" s="503">
        <v>0</v>
      </c>
      <c r="O131" s="503">
        <v>0</v>
      </c>
      <c r="P131" s="503">
        <v>0</v>
      </c>
      <c r="Q131" s="502">
        <v>0</v>
      </c>
      <c r="R131" s="501">
        <v>65</v>
      </c>
      <c r="S131" s="500">
        <v>94575</v>
      </c>
    </row>
    <row r="132" spans="1:19">
      <c r="A132" s="505">
        <v>101397</v>
      </c>
      <c r="B132" s="505">
        <v>3027010</v>
      </c>
      <c r="C132" s="505">
        <v>302</v>
      </c>
      <c r="D132" s="504" t="s">
        <v>431</v>
      </c>
      <c r="E132" s="505">
        <v>7010</v>
      </c>
      <c r="F132" s="504" t="s">
        <v>124</v>
      </c>
      <c r="G132" s="504" t="s">
        <v>7</v>
      </c>
      <c r="H132" s="504" t="s">
        <v>682</v>
      </c>
      <c r="I132" s="503">
        <v>81</v>
      </c>
      <c r="J132" s="503">
        <v>0</v>
      </c>
      <c r="K132" s="503">
        <v>0</v>
      </c>
      <c r="L132" s="503">
        <v>0</v>
      </c>
      <c r="M132" s="502">
        <v>0</v>
      </c>
      <c r="N132" s="503">
        <v>81</v>
      </c>
      <c r="O132" s="503">
        <v>41</v>
      </c>
      <c r="P132" s="503">
        <v>50.62</v>
      </c>
      <c r="Q132" s="502">
        <v>42435</v>
      </c>
      <c r="R132" s="501">
        <v>41</v>
      </c>
      <c r="S132" s="500">
        <v>42435</v>
      </c>
    </row>
  </sheetData>
  <mergeCells count="7">
    <mergeCell ref="A1:G1"/>
    <mergeCell ref="A4:I4"/>
    <mergeCell ref="J4:Q4"/>
    <mergeCell ref="R4:S4"/>
    <mergeCell ref="A5:I5"/>
    <mergeCell ref="J5:M5"/>
    <mergeCell ref="N5:Q5"/>
  </mergeCells>
  <hyperlinks>
    <hyperlink ref="B2" r:id="rId1" display="https://www.gov.uk/government/publications/pupil-premium-allocations-and-conditions-of-grant-2023-to-2024" xr:uid="{6350688D-EC01-4A30-B465-3CD027F3E6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C056C-7A56-4EF4-89CB-1B830606DD2F}">
  <dimension ref="A1:AB315"/>
  <sheetViews>
    <sheetView topLeftCell="A14" zoomScale="85" zoomScaleNormal="85" workbookViewId="0">
      <selection activeCell="CN88" sqref="CN88:CO88"/>
    </sheetView>
  </sheetViews>
  <sheetFormatPr defaultRowHeight="14.4"/>
  <cols>
    <col min="1" max="1" width="8.88671875" style="598"/>
    <col min="2" max="2" width="56.33203125" style="598" customWidth="1"/>
    <col min="3" max="3" width="15.6640625" style="585" customWidth="1"/>
    <col min="4" max="4" width="14.33203125" style="598" customWidth="1"/>
    <col min="5" max="5" width="9.109375" style="598" customWidth="1"/>
    <col min="6" max="6" width="12.5546875" style="598" customWidth="1"/>
    <col min="7" max="7" width="18.6640625" style="598" customWidth="1"/>
    <col min="8" max="8" width="9.109375" style="598" customWidth="1"/>
    <col min="9" max="9" width="20.6640625" style="598" customWidth="1"/>
    <col min="10" max="10" width="19.6640625" style="598" customWidth="1"/>
    <col min="11" max="12" width="13.33203125" style="617" customWidth="1"/>
    <col min="13" max="13" width="14.44140625" style="598" customWidth="1"/>
    <col min="14" max="14" width="17.88671875" style="627" customWidth="1"/>
    <col min="15" max="16" width="16" style="627" customWidth="1"/>
    <col min="17" max="17" width="18" style="619" customWidth="1"/>
    <col min="18" max="18" width="17.88671875" style="619" customWidth="1"/>
    <col min="19" max="22" width="16" style="619" customWidth="1"/>
    <col min="23" max="23" width="16.6640625" style="619" customWidth="1"/>
    <col min="24" max="24" width="11" style="619" bestFit="1" customWidth="1"/>
    <col min="25" max="25" width="14.44140625" style="606" bestFit="1" customWidth="1"/>
    <col min="26" max="26" width="19.88671875" style="606" bestFit="1" customWidth="1"/>
    <col min="27" max="27" width="14.33203125" style="606" bestFit="1" customWidth="1"/>
    <col min="28" max="28" width="14.33203125" style="598" bestFit="1" customWidth="1"/>
    <col min="29" max="16384" width="8.88671875" style="598"/>
  </cols>
  <sheetData>
    <row r="1" spans="1:27" ht="73.5" customHeight="1">
      <c r="A1" s="585"/>
      <c r="B1" s="585" t="s">
        <v>741</v>
      </c>
      <c r="C1" s="586" t="s">
        <v>743</v>
      </c>
      <c r="D1" s="587" t="s">
        <v>744</v>
      </c>
      <c r="E1" s="587" t="s">
        <v>867</v>
      </c>
      <c r="F1" s="587" t="s">
        <v>868</v>
      </c>
      <c r="G1" s="588" t="s">
        <v>869</v>
      </c>
      <c r="H1" s="589" t="s">
        <v>748</v>
      </c>
      <c r="I1" s="590" t="s">
        <v>870</v>
      </c>
      <c r="J1" s="591" t="s">
        <v>750</v>
      </c>
      <c r="K1" s="592" t="s">
        <v>751</v>
      </c>
      <c r="L1" s="592" t="s">
        <v>752</v>
      </c>
      <c r="M1" s="592" t="s">
        <v>753</v>
      </c>
      <c r="N1" s="593" t="s">
        <v>754</v>
      </c>
      <c r="O1" s="593" t="s">
        <v>755</v>
      </c>
      <c r="P1" s="593" t="s">
        <v>871</v>
      </c>
      <c r="Q1" s="593" t="s">
        <v>756</v>
      </c>
      <c r="R1" s="593" t="s">
        <v>757</v>
      </c>
      <c r="S1" s="593" t="s">
        <v>758</v>
      </c>
      <c r="T1" s="593" t="s">
        <v>872</v>
      </c>
      <c r="U1" s="593" t="s">
        <v>873</v>
      </c>
      <c r="V1" s="593" t="s">
        <v>874</v>
      </c>
      <c r="W1" s="594" t="s">
        <v>759</v>
      </c>
      <c r="X1" s="594" t="s">
        <v>760</v>
      </c>
      <c r="Y1" s="595" t="s">
        <v>762</v>
      </c>
      <c r="Z1" s="596" t="s">
        <v>875</v>
      </c>
      <c r="AA1" s="597" t="s">
        <v>876</v>
      </c>
    </row>
    <row r="2" spans="1:27" ht="16.5" customHeight="1">
      <c r="A2" s="598" t="str">
        <f>VLOOKUP(B2,[68]Supplier!$A:$B,2,FALSE)</f>
        <v>SCH001</v>
      </c>
      <c r="B2" s="599" t="s">
        <v>765</v>
      </c>
      <c r="C2" s="600">
        <v>7491</v>
      </c>
      <c r="D2" s="601">
        <v>37335.14</v>
      </c>
      <c r="E2" s="601">
        <v>0</v>
      </c>
      <c r="F2" s="601">
        <v>18667.57</v>
      </c>
      <c r="G2" s="602">
        <v>18667.57</v>
      </c>
      <c r="H2" s="603">
        <v>7491</v>
      </c>
      <c r="I2" s="604">
        <v>18667.57</v>
      </c>
      <c r="J2" s="605">
        <f>G2+I2</f>
        <v>37335.14</v>
      </c>
      <c r="K2" s="598">
        <v>34</v>
      </c>
      <c r="L2" s="598">
        <v>11</v>
      </c>
      <c r="M2" s="598">
        <v>5511</v>
      </c>
      <c r="N2" s="606">
        <v>34333.53</v>
      </c>
      <c r="O2" s="606">
        <v>1354.65</v>
      </c>
      <c r="P2" s="606">
        <v>35688.18</v>
      </c>
      <c r="Q2" s="598">
        <v>1980</v>
      </c>
      <c r="R2" s="606">
        <v>12335.4</v>
      </c>
      <c r="S2" s="606">
        <v>297</v>
      </c>
      <c r="T2" s="606">
        <v>12632.4</v>
      </c>
      <c r="U2" s="598">
        <v>7491</v>
      </c>
      <c r="V2" s="606">
        <v>48320.58</v>
      </c>
      <c r="W2" s="607">
        <f>SUM(O2+S2)-X2</f>
        <v>1202.8500000000001</v>
      </c>
      <c r="X2" s="607">
        <v>448.8</v>
      </c>
      <c r="Y2" s="606">
        <v>0</v>
      </c>
      <c r="Z2" s="606">
        <v>10985.44</v>
      </c>
      <c r="AA2" s="606">
        <v>48320.58</v>
      </c>
    </row>
    <row r="3" spans="1:27">
      <c r="A3" s="598" t="str">
        <f>VLOOKUP(B3,[68]Supplier!$A:$B,2,FALSE)</f>
        <v>SCH002</v>
      </c>
      <c r="B3" s="599" t="s">
        <v>767</v>
      </c>
      <c r="C3" s="600">
        <v>6105</v>
      </c>
      <c r="D3" s="601">
        <v>30427.32</v>
      </c>
      <c r="E3" s="601">
        <v>0</v>
      </c>
      <c r="F3" s="601">
        <v>15213.66</v>
      </c>
      <c r="G3" s="602">
        <v>15213.66</v>
      </c>
      <c r="H3" s="603">
        <v>6105</v>
      </c>
      <c r="I3" s="604">
        <v>15213.66</v>
      </c>
      <c r="J3" s="605">
        <f t="shared" ref="J3:J66" si="0">G3+I3</f>
        <v>30427.32</v>
      </c>
      <c r="K3" s="598">
        <v>27</v>
      </c>
      <c r="L3" s="598">
        <v>11</v>
      </c>
      <c r="M3" s="598">
        <v>4455</v>
      </c>
      <c r="N3" s="606">
        <v>27754.65</v>
      </c>
      <c r="O3" s="606">
        <v>1414.05</v>
      </c>
      <c r="P3" s="606">
        <v>29168.7</v>
      </c>
      <c r="Q3" s="598">
        <v>1650</v>
      </c>
      <c r="R3" s="606">
        <v>10279.5</v>
      </c>
      <c r="S3" s="606">
        <v>524.70000000000005</v>
      </c>
      <c r="T3" s="606">
        <v>10804.2</v>
      </c>
      <c r="U3" s="598">
        <v>6105</v>
      </c>
      <c r="V3" s="606">
        <v>39972.9</v>
      </c>
      <c r="W3" s="607">
        <f t="shared" ref="W3:W66" si="1">SUM(O3+S3)-X3</f>
        <v>1826.55</v>
      </c>
      <c r="X3" s="607">
        <v>112.2</v>
      </c>
      <c r="Y3" s="606">
        <v>0</v>
      </c>
      <c r="Z3" s="606">
        <v>9545.58</v>
      </c>
      <c r="AA3" s="606">
        <v>39972.9</v>
      </c>
    </row>
    <row r="4" spans="1:27">
      <c r="A4" s="598" t="str">
        <f>VLOOKUP(B4,[68]Supplier!$A:$B,2,FALSE)</f>
        <v>SCH003</v>
      </c>
      <c r="B4" s="599" t="s">
        <v>768</v>
      </c>
      <c r="C4" s="600">
        <v>7908</v>
      </c>
      <c r="D4" s="601">
        <v>39413.47</v>
      </c>
      <c r="E4" s="601">
        <v>0</v>
      </c>
      <c r="F4" s="601">
        <v>19706.740000000002</v>
      </c>
      <c r="G4" s="602">
        <v>19706.740000000002</v>
      </c>
      <c r="H4" s="603">
        <v>7908</v>
      </c>
      <c r="I4" s="604">
        <v>19706.73</v>
      </c>
      <c r="J4" s="605">
        <f t="shared" si="0"/>
        <v>39413.47</v>
      </c>
      <c r="K4" s="598">
        <v>45</v>
      </c>
      <c r="L4" s="598">
        <v>11</v>
      </c>
      <c r="M4" s="598">
        <v>6981</v>
      </c>
      <c r="N4" s="606">
        <v>43491.63</v>
      </c>
      <c r="O4" s="606">
        <v>3135.51</v>
      </c>
      <c r="P4" s="606">
        <v>46627.14</v>
      </c>
      <c r="Q4" s="598">
        <v>1098</v>
      </c>
      <c r="R4" s="606">
        <v>6840.54</v>
      </c>
      <c r="S4" s="606">
        <v>323.10000000000002</v>
      </c>
      <c r="T4" s="606">
        <v>7163.64</v>
      </c>
      <c r="U4" s="598">
        <v>8079</v>
      </c>
      <c r="V4" s="606">
        <v>53790.78</v>
      </c>
      <c r="W4" s="607">
        <f t="shared" si="1"/>
        <v>2008.17</v>
      </c>
      <c r="X4" s="607">
        <v>1450.44</v>
      </c>
      <c r="Y4" s="606">
        <v>0</v>
      </c>
      <c r="Z4" s="606">
        <v>14377.31</v>
      </c>
      <c r="AA4" s="606">
        <v>53790.78</v>
      </c>
    </row>
    <row r="5" spans="1:27">
      <c r="A5" s="598" t="str">
        <f>VLOOKUP(B5,[68]Supplier!$A:$B,2,FALSE)</f>
        <v>SCH005</v>
      </c>
      <c r="B5" s="599" t="s">
        <v>877</v>
      </c>
      <c r="C5" s="600">
        <v>23985</v>
      </c>
      <c r="D5" s="601">
        <v>119541.2</v>
      </c>
      <c r="E5" s="601">
        <v>1339.8</v>
      </c>
      <c r="F5" s="601">
        <v>59770.62</v>
      </c>
      <c r="G5" s="602">
        <v>61110.420000000006</v>
      </c>
      <c r="H5" s="603">
        <v>23985</v>
      </c>
      <c r="I5" s="604">
        <v>59770.62</v>
      </c>
      <c r="J5" s="605">
        <f t="shared" si="0"/>
        <v>120881.04000000001</v>
      </c>
      <c r="K5" s="598">
        <v>79</v>
      </c>
      <c r="L5" s="598">
        <v>13</v>
      </c>
      <c r="M5" s="598">
        <v>15285</v>
      </c>
      <c r="N5" s="606">
        <v>95225.55</v>
      </c>
      <c r="O5" s="606">
        <v>2433.15</v>
      </c>
      <c r="P5" s="606">
        <v>97658.7</v>
      </c>
      <c r="Q5" s="598">
        <v>9720</v>
      </c>
      <c r="R5" s="606">
        <v>60555.6</v>
      </c>
      <c r="S5" s="606">
        <v>1504.8</v>
      </c>
      <c r="T5" s="606">
        <v>62060.4</v>
      </c>
      <c r="U5" s="598">
        <v>25005</v>
      </c>
      <c r="V5" s="606">
        <v>159719.1</v>
      </c>
      <c r="W5" s="607">
        <f t="shared" si="1"/>
        <v>3937.95</v>
      </c>
      <c r="X5" s="607"/>
      <c r="Y5" s="606">
        <v>0</v>
      </c>
      <c r="Z5" s="606">
        <v>40177.86</v>
      </c>
      <c r="AA5" s="606">
        <v>159719.1</v>
      </c>
    </row>
    <row r="6" spans="1:27">
      <c r="A6" s="598" t="str">
        <f>VLOOKUP(B6,[68]Supplier!$A:$B,2,FALSE)</f>
        <v>SCH004</v>
      </c>
      <c r="B6" s="599" t="s">
        <v>771</v>
      </c>
      <c r="C6" s="600">
        <v>12045</v>
      </c>
      <c r="D6" s="601">
        <v>60032.28</v>
      </c>
      <c r="E6" s="601">
        <v>0</v>
      </c>
      <c r="F6" s="601">
        <v>30016.14</v>
      </c>
      <c r="G6" s="602">
        <v>30016.14</v>
      </c>
      <c r="H6" s="603">
        <v>12045</v>
      </c>
      <c r="I6" s="604">
        <v>30016.14</v>
      </c>
      <c r="J6" s="605">
        <f t="shared" si="0"/>
        <v>60032.28</v>
      </c>
      <c r="K6" s="598">
        <v>47</v>
      </c>
      <c r="L6" s="598">
        <v>11</v>
      </c>
      <c r="M6" s="598">
        <v>7755</v>
      </c>
      <c r="N6" s="606">
        <v>48313.65</v>
      </c>
      <c r="O6" s="606">
        <v>1387.65</v>
      </c>
      <c r="P6" s="606">
        <v>49701.3</v>
      </c>
      <c r="Q6" s="598">
        <v>4290</v>
      </c>
      <c r="R6" s="606">
        <v>26726.7</v>
      </c>
      <c r="S6" s="606">
        <v>643.5</v>
      </c>
      <c r="T6" s="606">
        <v>27370.2</v>
      </c>
      <c r="U6" s="598">
        <v>12045</v>
      </c>
      <c r="V6" s="606">
        <v>77071.5</v>
      </c>
      <c r="W6" s="607">
        <f t="shared" si="1"/>
        <v>1806.75</v>
      </c>
      <c r="X6" s="607">
        <v>224.4</v>
      </c>
      <c r="Y6" s="606">
        <v>0</v>
      </c>
      <c r="Z6" s="606">
        <v>17039.22</v>
      </c>
      <c r="AA6" s="606">
        <v>77071.5</v>
      </c>
    </row>
    <row r="7" spans="1:27">
      <c r="A7" s="598" t="str">
        <f>VLOOKUP(B7,[68]Supplier!$A:$B,2,FALSE)</f>
        <v>SCH006</v>
      </c>
      <c r="B7" s="599" t="s">
        <v>772</v>
      </c>
      <c r="C7" s="600">
        <v>7260</v>
      </c>
      <c r="D7" s="601">
        <v>36183.839999999997</v>
      </c>
      <c r="E7" s="601">
        <v>0</v>
      </c>
      <c r="F7" s="601">
        <v>18091.919999999998</v>
      </c>
      <c r="G7" s="602">
        <v>18091.919999999998</v>
      </c>
      <c r="H7" s="603">
        <v>7260</v>
      </c>
      <c r="I7" s="604">
        <v>18091.919999999998</v>
      </c>
      <c r="J7" s="605">
        <f t="shared" si="0"/>
        <v>36183.839999999997</v>
      </c>
      <c r="K7" s="598">
        <v>26</v>
      </c>
      <c r="L7" s="598">
        <v>11</v>
      </c>
      <c r="M7" s="598">
        <v>4290</v>
      </c>
      <c r="N7" s="606">
        <v>26726.7</v>
      </c>
      <c r="O7" s="606">
        <v>795.3</v>
      </c>
      <c r="P7" s="606">
        <v>27522</v>
      </c>
      <c r="Q7" s="598">
        <v>2970</v>
      </c>
      <c r="R7" s="606">
        <v>18503.099999999999</v>
      </c>
      <c r="S7" s="606">
        <v>485.1</v>
      </c>
      <c r="T7" s="606">
        <v>18988.2</v>
      </c>
      <c r="U7" s="598">
        <v>7260</v>
      </c>
      <c r="V7" s="606">
        <v>46510.2</v>
      </c>
      <c r="W7" s="607">
        <f t="shared" si="1"/>
        <v>1168.2</v>
      </c>
      <c r="X7" s="607">
        <v>112.2</v>
      </c>
      <c r="Y7" s="606">
        <v>0</v>
      </c>
      <c r="Z7" s="606">
        <v>10326.36</v>
      </c>
      <c r="AA7" s="606">
        <v>46510.2</v>
      </c>
    </row>
    <row r="8" spans="1:27">
      <c r="A8" s="598" t="str">
        <f>VLOOKUP(B8,[68]Supplier!$A:$B,2,FALSE)</f>
        <v>SCH007</v>
      </c>
      <c r="B8" s="599" t="s">
        <v>773</v>
      </c>
      <c r="C8" s="600">
        <v>6105</v>
      </c>
      <c r="D8" s="601">
        <v>30427.32</v>
      </c>
      <c r="E8" s="601">
        <v>0</v>
      </c>
      <c r="F8" s="601">
        <v>15213.66</v>
      </c>
      <c r="G8" s="602">
        <v>15213.66</v>
      </c>
      <c r="H8" s="603">
        <v>6105</v>
      </c>
      <c r="I8" s="604">
        <v>14915.76</v>
      </c>
      <c r="J8" s="605">
        <f t="shared" si="0"/>
        <v>30129.42</v>
      </c>
      <c r="K8" s="598">
        <v>34</v>
      </c>
      <c r="L8" s="598">
        <v>11</v>
      </c>
      <c r="M8" s="598">
        <v>5523</v>
      </c>
      <c r="N8" s="606">
        <v>34408.29</v>
      </c>
      <c r="O8" s="606">
        <v>2531.25</v>
      </c>
      <c r="P8" s="606">
        <v>36939.54</v>
      </c>
      <c r="Q8" s="598">
        <v>495</v>
      </c>
      <c r="R8" s="606">
        <v>3083.85</v>
      </c>
      <c r="S8" s="606">
        <v>113.85</v>
      </c>
      <c r="T8" s="606">
        <v>3197.7</v>
      </c>
      <c r="U8" s="598">
        <v>6018</v>
      </c>
      <c r="V8" s="606">
        <v>40137.24</v>
      </c>
      <c r="W8" s="607">
        <f t="shared" si="1"/>
        <v>1298.6999999999998</v>
      </c>
      <c r="X8" s="607">
        <v>1346.4</v>
      </c>
      <c r="Y8" s="606">
        <v>0</v>
      </c>
      <c r="Z8" s="606">
        <v>9709.92</v>
      </c>
      <c r="AA8" s="606">
        <v>40137.24</v>
      </c>
    </row>
    <row r="9" spans="1:27">
      <c r="A9" s="598" t="str">
        <f>VLOOKUP(B9,[68]Supplier!$A:$B,2,FALSE)</f>
        <v>SCH008</v>
      </c>
      <c r="B9" s="599" t="s">
        <v>774</v>
      </c>
      <c r="C9" s="600">
        <v>9075</v>
      </c>
      <c r="D9" s="601">
        <v>45229.8</v>
      </c>
      <c r="E9" s="601">
        <v>0</v>
      </c>
      <c r="F9" s="601">
        <v>22614.9</v>
      </c>
      <c r="G9" s="602">
        <v>22614.9</v>
      </c>
      <c r="H9" s="603">
        <v>9075</v>
      </c>
      <c r="I9" s="604">
        <v>22614.9</v>
      </c>
      <c r="J9" s="605">
        <f t="shared" si="0"/>
        <v>45229.8</v>
      </c>
      <c r="K9" s="598">
        <v>38</v>
      </c>
      <c r="L9" s="598">
        <v>11</v>
      </c>
      <c r="M9" s="598">
        <v>5970</v>
      </c>
      <c r="N9" s="606">
        <v>37193.1</v>
      </c>
      <c r="O9" s="606">
        <v>1941.6</v>
      </c>
      <c r="P9" s="606">
        <v>39134.699999999997</v>
      </c>
      <c r="Q9" s="598">
        <v>2835</v>
      </c>
      <c r="R9" s="606">
        <v>17662.05</v>
      </c>
      <c r="S9" s="606">
        <v>872.4</v>
      </c>
      <c r="T9" s="606">
        <v>18534.45</v>
      </c>
      <c r="U9" s="598">
        <v>8805</v>
      </c>
      <c r="V9" s="606">
        <v>57669.15</v>
      </c>
      <c r="W9" s="607">
        <f t="shared" si="1"/>
        <v>2701.8</v>
      </c>
      <c r="X9" s="607">
        <v>112.2</v>
      </c>
      <c r="Y9" s="606">
        <v>0</v>
      </c>
      <c r="Z9" s="606">
        <v>12439.35</v>
      </c>
      <c r="AA9" s="606">
        <v>57669.15</v>
      </c>
    </row>
    <row r="10" spans="1:27">
      <c r="A10" s="598" t="str">
        <f>VLOOKUP(B10,[68]Supplier!$A:$B,2,FALSE)</f>
        <v>SCH009</v>
      </c>
      <c r="B10" s="599" t="s">
        <v>878</v>
      </c>
      <c r="C10" s="600">
        <v>0</v>
      </c>
      <c r="D10" s="601">
        <v>0</v>
      </c>
      <c r="E10" s="601">
        <v>0</v>
      </c>
      <c r="F10" s="601">
        <v>0</v>
      </c>
      <c r="G10" s="602">
        <v>0</v>
      </c>
      <c r="H10" s="603">
        <v>0</v>
      </c>
      <c r="I10" s="604">
        <v>0</v>
      </c>
      <c r="J10" s="605">
        <f t="shared" si="0"/>
        <v>0</v>
      </c>
      <c r="K10" s="598">
        <v>63</v>
      </c>
      <c r="L10" s="598">
        <v>11</v>
      </c>
      <c r="M10" s="598">
        <v>10065</v>
      </c>
      <c r="N10" s="606">
        <v>62704.95</v>
      </c>
      <c r="O10" s="606">
        <v>3828</v>
      </c>
      <c r="P10" s="606">
        <v>66532.95</v>
      </c>
      <c r="Q10" s="598">
        <v>4950</v>
      </c>
      <c r="R10" s="606">
        <v>30838.5</v>
      </c>
      <c r="S10" s="606">
        <v>1178.0999999999999</v>
      </c>
      <c r="T10" s="606">
        <v>32016.6</v>
      </c>
      <c r="U10" s="598">
        <v>15015</v>
      </c>
      <c r="V10" s="606">
        <v>98549.55</v>
      </c>
      <c r="W10" s="607">
        <f t="shared" si="1"/>
        <v>3771.9000000000005</v>
      </c>
      <c r="X10" s="607">
        <v>1234.2</v>
      </c>
      <c r="Y10" s="606">
        <v>0</v>
      </c>
      <c r="Z10" s="606">
        <v>98549.55</v>
      </c>
      <c r="AA10" s="606">
        <v>98549.55</v>
      </c>
    </row>
    <row r="11" spans="1:27">
      <c r="A11" s="598" t="str">
        <f>VLOOKUP(B11,[68]Supplier!$A:$B,2,FALSE)</f>
        <v>SCH011</v>
      </c>
      <c r="B11" s="599" t="s">
        <v>776</v>
      </c>
      <c r="C11" s="600"/>
      <c r="D11" s="601">
        <v>0</v>
      </c>
      <c r="E11" s="601">
        <v>0</v>
      </c>
      <c r="F11" s="601">
        <v>0</v>
      </c>
      <c r="G11" s="602">
        <v>0</v>
      </c>
      <c r="H11" s="603"/>
      <c r="I11" s="604">
        <v>0</v>
      </c>
      <c r="J11" s="605">
        <f t="shared" si="0"/>
        <v>0</v>
      </c>
      <c r="K11" s="598">
        <v>72</v>
      </c>
      <c r="L11" s="598">
        <v>11</v>
      </c>
      <c r="M11" s="598">
        <v>11736</v>
      </c>
      <c r="N11" s="606">
        <v>73115.28</v>
      </c>
      <c r="O11" s="606">
        <v>2887.14</v>
      </c>
      <c r="P11" s="606">
        <v>76002.42</v>
      </c>
      <c r="Q11" s="598">
        <v>5571</v>
      </c>
      <c r="R11" s="606">
        <v>34707.33</v>
      </c>
      <c r="S11" s="606">
        <v>994.05</v>
      </c>
      <c r="T11" s="606">
        <v>35701.379999999997</v>
      </c>
      <c r="U11" s="598">
        <v>17307</v>
      </c>
      <c r="V11" s="606">
        <v>111703.8</v>
      </c>
      <c r="W11" s="607">
        <f t="shared" si="1"/>
        <v>3234.5099999999998</v>
      </c>
      <c r="X11" s="607">
        <v>646.67999999999995</v>
      </c>
      <c r="Y11" s="606">
        <v>0</v>
      </c>
      <c r="Z11" s="606">
        <v>111703.8</v>
      </c>
      <c r="AA11" s="606">
        <v>111703.8</v>
      </c>
    </row>
    <row r="12" spans="1:27">
      <c r="A12" s="598" t="str">
        <f>VLOOKUP(B12,[68]Supplier!$A:$B,2,FALSE)</f>
        <v>SCH012</v>
      </c>
      <c r="B12" s="599" t="s">
        <v>777</v>
      </c>
      <c r="C12" s="600">
        <v>8190</v>
      </c>
      <c r="D12" s="601">
        <v>40818.959999999999</v>
      </c>
      <c r="E12" s="601">
        <v>0</v>
      </c>
      <c r="F12" s="601">
        <v>20409.48</v>
      </c>
      <c r="G12" s="602">
        <v>20409.48</v>
      </c>
      <c r="H12" s="603">
        <v>8190</v>
      </c>
      <c r="I12" s="604">
        <v>20409.48</v>
      </c>
      <c r="J12" s="605">
        <f t="shared" si="0"/>
        <v>40818.959999999999</v>
      </c>
      <c r="K12" s="598">
        <v>41</v>
      </c>
      <c r="L12" s="598">
        <v>11</v>
      </c>
      <c r="M12" s="598">
        <v>6765</v>
      </c>
      <c r="N12" s="606">
        <v>42145.95</v>
      </c>
      <c r="O12" s="606">
        <v>1054.3499999999999</v>
      </c>
      <c r="P12" s="606">
        <v>43200.3</v>
      </c>
      <c r="Q12" s="598">
        <v>1980</v>
      </c>
      <c r="R12" s="606">
        <v>12335.4</v>
      </c>
      <c r="S12" s="606">
        <v>336.6</v>
      </c>
      <c r="T12" s="606">
        <v>12672</v>
      </c>
      <c r="U12" s="598">
        <v>8745</v>
      </c>
      <c r="V12" s="606">
        <v>55872.3</v>
      </c>
      <c r="W12" s="607">
        <f t="shared" si="1"/>
        <v>1390.9499999999998</v>
      </c>
      <c r="X12" s="607"/>
      <c r="Y12" s="606">
        <v>0</v>
      </c>
      <c r="Z12" s="606">
        <v>15053.34</v>
      </c>
      <c r="AA12" s="606">
        <v>55872.3</v>
      </c>
    </row>
    <row r="13" spans="1:27">
      <c r="A13" s="598" t="str">
        <f>VLOOKUP(B13,[68]Supplier!$A:$B,2,FALSE)</f>
        <v>SCH013</v>
      </c>
      <c r="B13" s="599" t="s">
        <v>778</v>
      </c>
      <c r="C13" s="600">
        <v>8220</v>
      </c>
      <c r="D13" s="601">
        <v>40968.480000000003</v>
      </c>
      <c r="E13" s="601">
        <v>0</v>
      </c>
      <c r="F13" s="601">
        <v>20484.240000000002</v>
      </c>
      <c r="G13" s="602">
        <v>20484.240000000002</v>
      </c>
      <c r="H13" s="603">
        <v>8220</v>
      </c>
      <c r="I13" s="604">
        <v>20484.240000000002</v>
      </c>
      <c r="J13" s="605">
        <f t="shared" si="0"/>
        <v>40968.480000000003</v>
      </c>
      <c r="K13" s="598">
        <v>32</v>
      </c>
      <c r="L13" s="598">
        <v>12</v>
      </c>
      <c r="M13" s="598">
        <v>5730</v>
      </c>
      <c r="N13" s="606">
        <v>35697.9</v>
      </c>
      <c r="O13" s="606">
        <v>1284.3</v>
      </c>
      <c r="P13" s="606">
        <v>36982.199999999997</v>
      </c>
      <c r="Q13" s="598">
        <v>2490</v>
      </c>
      <c r="R13" s="606">
        <v>15512.7</v>
      </c>
      <c r="S13" s="606">
        <v>503.1</v>
      </c>
      <c r="T13" s="606">
        <v>16015.8</v>
      </c>
      <c r="U13" s="598">
        <v>8220</v>
      </c>
      <c r="V13" s="606">
        <v>52998</v>
      </c>
      <c r="W13" s="607">
        <f t="shared" si="1"/>
        <v>1665</v>
      </c>
      <c r="X13" s="607">
        <v>122.4</v>
      </c>
      <c r="Y13" s="606">
        <v>0</v>
      </c>
      <c r="Z13" s="606">
        <v>12029.52</v>
      </c>
      <c r="AA13" s="606">
        <v>52998</v>
      </c>
    </row>
    <row r="14" spans="1:27">
      <c r="A14" s="598" t="str">
        <f>VLOOKUP(B14,[68]Supplier!$A:$B,2,FALSE)</f>
        <v>SCH014</v>
      </c>
      <c r="B14" s="599" t="s">
        <v>779</v>
      </c>
      <c r="C14" s="600">
        <v>7242</v>
      </c>
      <c r="D14" s="601">
        <v>36094.129999999997</v>
      </c>
      <c r="E14" s="601">
        <v>0</v>
      </c>
      <c r="F14" s="601">
        <v>18047.07</v>
      </c>
      <c r="G14" s="602">
        <v>18047.07</v>
      </c>
      <c r="H14" s="603">
        <v>7242</v>
      </c>
      <c r="I14" s="604">
        <v>18047.060000000001</v>
      </c>
      <c r="J14" s="605">
        <f t="shared" si="0"/>
        <v>36094.130000000005</v>
      </c>
      <c r="K14" s="598">
        <v>42</v>
      </c>
      <c r="L14" s="598">
        <v>11</v>
      </c>
      <c r="M14" s="598">
        <v>6912</v>
      </c>
      <c r="N14" s="606">
        <v>43061.760000000002</v>
      </c>
      <c r="O14" s="606">
        <v>3028.2</v>
      </c>
      <c r="P14" s="606">
        <v>46089.96</v>
      </c>
      <c r="Q14" s="598">
        <v>330</v>
      </c>
      <c r="R14" s="606">
        <v>2055.9</v>
      </c>
      <c r="S14" s="606">
        <v>49.5</v>
      </c>
      <c r="T14" s="606">
        <v>2105.4</v>
      </c>
      <c r="U14" s="598">
        <v>7242</v>
      </c>
      <c r="V14" s="606">
        <v>48195.360000000001</v>
      </c>
      <c r="W14" s="607">
        <f t="shared" si="1"/>
        <v>2071.9799999999996</v>
      </c>
      <c r="X14" s="607">
        <v>1005.72</v>
      </c>
      <c r="Y14" s="606">
        <v>0</v>
      </c>
      <c r="Z14" s="606">
        <v>12101.23</v>
      </c>
      <c r="AA14" s="606">
        <v>48195.360000000001</v>
      </c>
    </row>
    <row r="15" spans="1:27">
      <c r="A15" s="598" t="str">
        <f>VLOOKUP(B15,[68]Supplier!$A:$B,2,FALSE)</f>
        <v>SCH015</v>
      </c>
      <c r="B15" s="599" t="s">
        <v>780</v>
      </c>
      <c r="C15" s="600">
        <v>4290</v>
      </c>
      <c r="D15" s="601">
        <v>21381.360000000001</v>
      </c>
      <c r="E15" s="601">
        <v>0</v>
      </c>
      <c r="F15" s="601">
        <v>10690.68</v>
      </c>
      <c r="G15" s="602">
        <v>10690.68</v>
      </c>
      <c r="H15" s="603">
        <v>4290</v>
      </c>
      <c r="I15" s="604">
        <v>10690.68</v>
      </c>
      <c r="J15" s="605">
        <f t="shared" si="0"/>
        <v>21381.360000000001</v>
      </c>
      <c r="K15" s="598">
        <v>17</v>
      </c>
      <c r="L15" s="598">
        <v>11</v>
      </c>
      <c r="M15" s="598">
        <v>2805</v>
      </c>
      <c r="N15" s="606">
        <v>17475.150000000001</v>
      </c>
      <c r="O15" s="606">
        <v>460.35</v>
      </c>
      <c r="P15" s="606">
        <v>17935.5</v>
      </c>
      <c r="Q15" s="598">
        <v>1485</v>
      </c>
      <c r="R15" s="606">
        <v>9251.5499999999993</v>
      </c>
      <c r="S15" s="606">
        <v>222.75</v>
      </c>
      <c r="T15" s="606">
        <v>9474.2999999999993</v>
      </c>
      <c r="U15" s="598">
        <v>4290</v>
      </c>
      <c r="V15" s="606">
        <v>27409.8</v>
      </c>
      <c r="W15" s="607">
        <f t="shared" si="1"/>
        <v>683.1</v>
      </c>
      <c r="X15" s="607"/>
      <c r="Y15" s="606">
        <v>0</v>
      </c>
      <c r="Z15" s="606">
        <v>6028.44</v>
      </c>
      <c r="AA15" s="606">
        <v>27409.8</v>
      </c>
    </row>
    <row r="16" spans="1:27">
      <c r="A16" s="598" t="str">
        <f>VLOOKUP(B16,[68]Supplier!$A:$B,2,FALSE)</f>
        <v>SCH016</v>
      </c>
      <c r="B16" s="599" t="s">
        <v>781</v>
      </c>
      <c r="C16" s="600"/>
      <c r="D16" s="601">
        <v>0</v>
      </c>
      <c r="E16" s="601">
        <v>0</v>
      </c>
      <c r="F16" s="601">
        <v>0</v>
      </c>
      <c r="G16" s="602">
        <v>0</v>
      </c>
      <c r="H16" s="603"/>
      <c r="I16" s="604">
        <v>0</v>
      </c>
      <c r="J16" s="605">
        <f t="shared" si="0"/>
        <v>0</v>
      </c>
      <c r="K16" s="598">
        <v>0</v>
      </c>
      <c r="L16" s="598">
        <v>11</v>
      </c>
      <c r="M16" s="598">
        <v>0</v>
      </c>
      <c r="N16" s="606">
        <v>0</v>
      </c>
      <c r="O16" s="606">
        <v>0</v>
      </c>
      <c r="P16" s="606">
        <v>0</v>
      </c>
      <c r="Q16" s="598">
        <v>0</v>
      </c>
      <c r="R16" s="606">
        <v>0</v>
      </c>
      <c r="S16" s="606">
        <v>0</v>
      </c>
      <c r="T16" s="606">
        <v>0</v>
      </c>
      <c r="U16" s="598"/>
      <c r="V16" s="606">
        <v>0</v>
      </c>
      <c r="W16" s="607">
        <f t="shared" si="1"/>
        <v>0</v>
      </c>
      <c r="X16" s="607"/>
      <c r="Y16" s="606">
        <v>0</v>
      </c>
      <c r="Z16" s="606">
        <v>0</v>
      </c>
      <c r="AA16" s="606">
        <v>0</v>
      </c>
    </row>
    <row r="17" spans="1:27">
      <c r="A17" s="598" t="str">
        <f>VLOOKUP(B17,[68]Supplier!$A:$B,2,FALSE)</f>
        <v>SCH018</v>
      </c>
      <c r="B17" s="599" t="s">
        <v>782</v>
      </c>
      <c r="C17" s="600">
        <v>13860</v>
      </c>
      <c r="D17" s="601">
        <v>69078.240000000005</v>
      </c>
      <c r="E17" s="601">
        <v>0</v>
      </c>
      <c r="F17" s="601">
        <v>34539.120000000003</v>
      </c>
      <c r="G17" s="602">
        <v>34539.120000000003</v>
      </c>
      <c r="H17" s="603">
        <v>13860</v>
      </c>
      <c r="I17" s="604">
        <v>34539.120000000003</v>
      </c>
      <c r="J17" s="605">
        <f t="shared" si="0"/>
        <v>69078.240000000005</v>
      </c>
      <c r="K17" s="598">
        <v>75</v>
      </c>
      <c r="L17" s="598">
        <v>11</v>
      </c>
      <c r="M17" s="598">
        <v>12177</v>
      </c>
      <c r="N17" s="606">
        <v>75862.710000000006</v>
      </c>
      <c r="O17" s="606">
        <v>4101.09</v>
      </c>
      <c r="P17" s="606">
        <v>79963.8</v>
      </c>
      <c r="Q17" s="598">
        <v>2223.0100000000002</v>
      </c>
      <c r="R17" s="606">
        <v>13849.35</v>
      </c>
      <c r="S17" s="606">
        <v>553.77</v>
      </c>
      <c r="T17" s="606">
        <v>14403.12</v>
      </c>
      <c r="U17" s="598">
        <v>14400.01</v>
      </c>
      <c r="V17" s="606">
        <v>94366.92</v>
      </c>
      <c r="W17" s="607">
        <f t="shared" si="1"/>
        <v>3636.9000000000005</v>
      </c>
      <c r="X17" s="607">
        <v>1017.96</v>
      </c>
      <c r="Y17" s="606">
        <v>0</v>
      </c>
      <c r="Z17" s="606">
        <v>25288.68</v>
      </c>
      <c r="AA17" s="606">
        <v>94366.92</v>
      </c>
    </row>
    <row r="18" spans="1:27">
      <c r="A18" s="598" t="str">
        <f>VLOOKUP(B18,[68]Supplier!$A:$B,2,FALSE)</f>
        <v>SCH019</v>
      </c>
      <c r="B18" s="599" t="s">
        <v>783</v>
      </c>
      <c r="C18" s="600">
        <v>3795</v>
      </c>
      <c r="D18" s="601">
        <v>18914.28</v>
      </c>
      <c r="E18" s="601">
        <v>0</v>
      </c>
      <c r="F18" s="601">
        <v>9457.14</v>
      </c>
      <c r="G18" s="602">
        <v>9457.14</v>
      </c>
      <c r="H18" s="603">
        <v>3795</v>
      </c>
      <c r="I18" s="604">
        <v>9457.14</v>
      </c>
      <c r="J18" s="605">
        <f t="shared" si="0"/>
        <v>18914.28</v>
      </c>
      <c r="K18" s="598">
        <v>24</v>
      </c>
      <c r="L18" s="598">
        <v>11</v>
      </c>
      <c r="M18" s="598">
        <v>3795</v>
      </c>
      <c r="N18" s="606">
        <v>23642.85</v>
      </c>
      <c r="O18" s="606">
        <v>1295.25</v>
      </c>
      <c r="P18" s="606">
        <v>24938.1</v>
      </c>
      <c r="Q18" s="598">
        <v>0</v>
      </c>
      <c r="R18" s="606">
        <v>0</v>
      </c>
      <c r="S18" s="606">
        <v>0</v>
      </c>
      <c r="T18" s="606">
        <v>0</v>
      </c>
      <c r="U18" s="598">
        <v>3795</v>
      </c>
      <c r="V18" s="606">
        <v>24938.1</v>
      </c>
      <c r="W18" s="607">
        <f t="shared" si="1"/>
        <v>846.45</v>
      </c>
      <c r="X18" s="607">
        <v>448.8</v>
      </c>
      <c r="Y18" s="606">
        <v>-317.7</v>
      </c>
      <c r="Z18" s="606">
        <v>5706.12</v>
      </c>
      <c r="AA18" s="606">
        <v>24938.1</v>
      </c>
    </row>
    <row r="19" spans="1:27">
      <c r="A19" s="598" t="str">
        <f>VLOOKUP(B19,[68]Supplier!$A:$B,2,FALSE)</f>
        <v>SCH021</v>
      </c>
      <c r="B19" s="599" t="s">
        <v>879</v>
      </c>
      <c r="C19" s="600">
        <v>10065</v>
      </c>
      <c r="D19" s="601">
        <v>50163.96</v>
      </c>
      <c r="E19" s="601">
        <v>0</v>
      </c>
      <c r="F19" s="601">
        <v>25081.98</v>
      </c>
      <c r="G19" s="602">
        <v>25081.98</v>
      </c>
      <c r="H19" s="603">
        <v>10065</v>
      </c>
      <c r="I19" s="604">
        <v>25081.98</v>
      </c>
      <c r="J19" s="605">
        <f t="shared" si="0"/>
        <v>50163.96</v>
      </c>
      <c r="K19" s="598">
        <v>44</v>
      </c>
      <c r="L19" s="598">
        <v>11</v>
      </c>
      <c r="M19" s="598">
        <v>7245</v>
      </c>
      <c r="N19" s="606">
        <v>45136.35</v>
      </c>
      <c r="O19" s="606">
        <v>2792.55</v>
      </c>
      <c r="P19" s="606">
        <v>47928.9</v>
      </c>
      <c r="Q19" s="598">
        <v>2790</v>
      </c>
      <c r="R19" s="606">
        <v>17381.7</v>
      </c>
      <c r="S19" s="606">
        <v>656.1</v>
      </c>
      <c r="T19" s="606">
        <v>18037.8</v>
      </c>
      <c r="U19" s="598">
        <v>10035</v>
      </c>
      <c r="V19" s="606">
        <v>65966.7</v>
      </c>
      <c r="W19" s="607">
        <f t="shared" si="1"/>
        <v>2336.8500000000004</v>
      </c>
      <c r="X19" s="607">
        <v>1111.8</v>
      </c>
      <c r="Y19" s="606">
        <v>0</v>
      </c>
      <c r="Z19" s="606">
        <v>15802.74</v>
      </c>
      <c r="AA19" s="606">
        <v>65966.7</v>
      </c>
    </row>
    <row r="20" spans="1:27">
      <c r="A20" s="598" t="str">
        <f>VLOOKUP(B20,[68]Supplier!$A:$B,2,FALSE)</f>
        <v>SCH022</v>
      </c>
      <c r="B20" s="599" t="s">
        <v>785</v>
      </c>
      <c r="C20" s="600"/>
      <c r="D20" s="601">
        <v>0</v>
      </c>
      <c r="E20" s="601">
        <v>0</v>
      </c>
      <c r="F20" s="601">
        <v>0</v>
      </c>
      <c r="G20" s="602">
        <v>0</v>
      </c>
      <c r="H20" s="603"/>
      <c r="I20" s="604">
        <v>0</v>
      </c>
      <c r="J20" s="605">
        <f t="shared" si="0"/>
        <v>0</v>
      </c>
      <c r="K20" s="598">
        <v>33</v>
      </c>
      <c r="L20" s="598">
        <v>11</v>
      </c>
      <c r="M20" s="598">
        <v>5430</v>
      </c>
      <c r="N20" s="606">
        <v>33828.9</v>
      </c>
      <c r="O20" s="606">
        <v>1771.5</v>
      </c>
      <c r="P20" s="606">
        <v>35600.400000000001</v>
      </c>
      <c r="Q20" s="598">
        <v>1815</v>
      </c>
      <c r="R20" s="606">
        <v>11307.45</v>
      </c>
      <c r="S20" s="606">
        <v>391.05</v>
      </c>
      <c r="T20" s="606">
        <v>11698.5</v>
      </c>
      <c r="U20" s="598">
        <v>7245</v>
      </c>
      <c r="V20" s="606">
        <v>47298.9</v>
      </c>
      <c r="W20" s="607">
        <f t="shared" si="1"/>
        <v>1601.5500000000002</v>
      </c>
      <c r="X20" s="607">
        <v>561</v>
      </c>
      <c r="Y20" s="606">
        <v>0</v>
      </c>
      <c r="Z20" s="606">
        <v>47298.9</v>
      </c>
      <c r="AA20" s="606">
        <v>47298.9</v>
      </c>
    </row>
    <row r="21" spans="1:27">
      <c r="A21" s="598" t="str">
        <f>VLOOKUP(B21,[68]Supplier!$A:$B,2,FALSE)</f>
        <v>SCH023</v>
      </c>
      <c r="B21" s="599" t="s">
        <v>786</v>
      </c>
      <c r="C21" s="600">
        <v>15600</v>
      </c>
      <c r="D21" s="601">
        <v>77750.399999999994</v>
      </c>
      <c r="E21" s="601">
        <v>0</v>
      </c>
      <c r="F21" s="601">
        <v>38875.199999999997</v>
      </c>
      <c r="G21" s="602">
        <v>38875.199999999997</v>
      </c>
      <c r="H21" s="603">
        <v>15600</v>
      </c>
      <c r="I21" s="604">
        <v>38875.199999999997</v>
      </c>
      <c r="J21" s="605">
        <f t="shared" si="0"/>
        <v>77750.399999999994</v>
      </c>
      <c r="K21" s="598">
        <v>45</v>
      </c>
      <c r="L21" s="598">
        <v>13</v>
      </c>
      <c r="M21" s="598">
        <v>8775</v>
      </c>
      <c r="N21" s="606">
        <v>54668.25</v>
      </c>
      <c r="O21" s="606">
        <v>1628.25</v>
      </c>
      <c r="P21" s="606">
        <v>56296.5</v>
      </c>
      <c r="Q21" s="598">
        <v>6825</v>
      </c>
      <c r="R21" s="606">
        <v>42519.75</v>
      </c>
      <c r="S21" s="606">
        <v>1070.55</v>
      </c>
      <c r="T21" s="606">
        <v>43590.3</v>
      </c>
      <c r="U21" s="598">
        <v>15600</v>
      </c>
      <c r="V21" s="606">
        <v>99886.8</v>
      </c>
      <c r="W21" s="607">
        <f t="shared" si="1"/>
        <v>2433.6000000000004</v>
      </c>
      <c r="X21" s="607">
        <v>265.2</v>
      </c>
      <c r="Y21" s="606">
        <v>0</v>
      </c>
      <c r="Z21" s="606">
        <v>22136.400000000001</v>
      </c>
      <c r="AA21" s="606">
        <v>99886.8</v>
      </c>
    </row>
    <row r="22" spans="1:27">
      <c r="A22" s="598" t="str">
        <f>VLOOKUP(B22,[68]Supplier!$A:$B,2,FALSE)</f>
        <v>SCH024</v>
      </c>
      <c r="B22" s="599" t="s">
        <v>787</v>
      </c>
      <c r="C22" s="600">
        <v>8085</v>
      </c>
      <c r="D22" s="601">
        <v>40295.64</v>
      </c>
      <c r="E22" s="601">
        <v>0</v>
      </c>
      <c r="F22" s="601">
        <v>20147.82</v>
      </c>
      <c r="G22" s="602">
        <v>20147.82</v>
      </c>
      <c r="H22" s="603">
        <v>8085</v>
      </c>
      <c r="I22" s="604">
        <v>20147.82</v>
      </c>
      <c r="J22" s="605">
        <f t="shared" si="0"/>
        <v>40295.64</v>
      </c>
      <c r="K22" s="598">
        <v>39</v>
      </c>
      <c r="L22" s="598">
        <v>11</v>
      </c>
      <c r="M22" s="598">
        <v>6285</v>
      </c>
      <c r="N22" s="606">
        <v>39155.550000000003</v>
      </c>
      <c r="O22" s="606">
        <v>1787.55</v>
      </c>
      <c r="P22" s="606">
        <v>40943.1</v>
      </c>
      <c r="Q22" s="598">
        <v>1650</v>
      </c>
      <c r="R22" s="606">
        <v>10279.5</v>
      </c>
      <c r="S22" s="606">
        <v>366.3</v>
      </c>
      <c r="T22" s="606">
        <v>10645.8</v>
      </c>
      <c r="U22" s="598">
        <v>7935</v>
      </c>
      <c r="V22" s="606">
        <v>51588.9</v>
      </c>
      <c r="W22" s="607">
        <f t="shared" si="1"/>
        <v>1705.05</v>
      </c>
      <c r="X22" s="607">
        <v>448.8</v>
      </c>
      <c r="Y22" s="606">
        <v>0</v>
      </c>
      <c r="Z22" s="606">
        <v>11293.26</v>
      </c>
      <c r="AA22" s="606">
        <v>51588.9</v>
      </c>
    </row>
    <row r="23" spans="1:27">
      <c r="A23" s="598" t="str">
        <f>VLOOKUP(B23,[68]Supplier!$A:$B,2,FALSE)</f>
        <v>SCH027</v>
      </c>
      <c r="B23" s="599" t="s">
        <v>788</v>
      </c>
      <c r="C23" s="600">
        <v>10851</v>
      </c>
      <c r="D23" s="601">
        <v>54081.38</v>
      </c>
      <c r="E23" s="601">
        <v>0</v>
      </c>
      <c r="F23" s="601">
        <v>27040.69</v>
      </c>
      <c r="G23" s="602">
        <v>27040.69</v>
      </c>
      <c r="H23" s="603">
        <v>10851</v>
      </c>
      <c r="I23" s="604">
        <v>27040.69</v>
      </c>
      <c r="J23" s="605">
        <f t="shared" si="0"/>
        <v>54081.38</v>
      </c>
      <c r="K23" s="598">
        <v>53</v>
      </c>
      <c r="L23" s="598">
        <v>11.2</v>
      </c>
      <c r="M23" s="598">
        <v>8802</v>
      </c>
      <c r="N23" s="606">
        <v>54836.46</v>
      </c>
      <c r="O23" s="606">
        <v>3216.35</v>
      </c>
      <c r="P23" s="606">
        <v>58052.81</v>
      </c>
      <c r="Q23" s="598">
        <v>2049.6</v>
      </c>
      <c r="R23" s="606">
        <v>12769.01</v>
      </c>
      <c r="S23" s="606">
        <v>282.24</v>
      </c>
      <c r="T23" s="606">
        <v>13051.25</v>
      </c>
      <c r="U23" s="598">
        <v>10851.6</v>
      </c>
      <c r="V23" s="606">
        <v>71104.06</v>
      </c>
      <c r="W23" s="607">
        <f t="shared" si="1"/>
        <v>1819.2600000000002</v>
      </c>
      <c r="X23" s="607">
        <v>1679.33</v>
      </c>
      <c r="Y23" s="606">
        <v>0</v>
      </c>
      <c r="Z23" s="606">
        <v>17022.68</v>
      </c>
      <c r="AA23" s="606">
        <v>71104.06</v>
      </c>
    </row>
    <row r="24" spans="1:27">
      <c r="A24" s="598" t="str">
        <f>VLOOKUP(B24,[68]Supplier!$A:$B,2,FALSE)</f>
        <v>SCH028</v>
      </c>
      <c r="B24" s="599" t="s">
        <v>880</v>
      </c>
      <c r="C24" s="600"/>
      <c r="D24" s="601">
        <v>0</v>
      </c>
      <c r="E24" s="601">
        <v>0</v>
      </c>
      <c r="F24" s="601">
        <v>0</v>
      </c>
      <c r="G24" s="602">
        <v>0</v>
      </c>
      <c r="H24" s="603"/>
      <c r="I24" s="604">
        <v>0</v>
      </c>
      <c r="J24" s="605">
        <f t="shared" si="0"/>
        <v>0</v>
      </c>
      <c r="K24" s="598">
        <v>0</v>
      </c>
      <c r="L24" s="598">
        <v>11</v>
      </c>
      <c r="M24" s="598">
        <v>0</v>
      </c>
      <c r="N24" s="606">
        <v>0</v>
      </c>
      <c r="O24" s="606">
        <v>0</v>
      </c>
      <c r="P24" s="606">
        <v>0</v>
      </c>
      <c r="Q24" s="598">
        <v>0</v>
      </c>
      <c r="R24" s="606">
        <v>0</v>
      </c>
      <c r="S24" s="606">
        <v>0</v>
      </c>
      <c r="T24" s="606">
        <v>0</v>
      </c>
      <c r="U24" s="598"/>
      <c r="V24" s="606">
        <v>0</v>
      </c>
      <c r="W24" s="607">
        <f t="shared" si="1"/>
        <v>0</v>
      </c>
      <c r="X24" s="607"/>
      <c r="Y24" s="606">
        <v>0</v>
      </c>
      <c r="Z24" s="606">
        <v>0</v>
      </c>
      <c r="AA24" s="606">
        <v>0</v>
      </c>
    </row>
    <row r="25" spans="1:27">
      <c r="A25" s="598" t="str">
        <f>VLOOKUP(B25,[68]Supplier!$A:$B,2,FALSE)</f>
        <v>SCH029</v>
      </c>
      <c r="B25" s="599" t="s">
        <v>790</v>
      </c>
      <c r="C25" s="600">
        <v>12540</v>
      </c>
      <c r="D25" s="601">
        <v>62499.360000000001</v>
      </c>
      <c r="E25" s="601">
        <v>0</v>
      </c>
      <c r="F25" s="601">
        <v>31249.68</v>
      </c>
      <c r="G25" s="602">
        <v>31249.68</v>
      </c>
      <c r="H25" s="603">
        <v>12540</v>
      </c>
      <c r="I25" s="604">
        <v>31249.68</v>
      </c>
      <c r="J25" s="605">
        <f t="shared" si="0"/>
        <v>62499.360000000001</v>
      </c>
      <c r="K25" s="598">
        <v>50</v>
      </c>
      <c r="L25" s="598">
        <v>11</v>
      </c>
      <c r="M25" s="598">
        <v>8175</v>
      </c>
      <c r="N25" s="606">
        <v>50930.25</v>
      </c>
      <c r="O25" s="606">
        <v>2962.05</v>
      </c>
      <c r="P25" s="606">
        <v>53892.3</v>
      </c>
      <c r="Q25" s="598">
        <v>4440</v>
      </c>
      <c r="R25" s="606">
        <v>27661.200000000001</v>
      </c>
      <c r="S25" s="606">
        <v>864</v>
      </c>
      <c r="T25" s="606">
        <v>28525.200000000001</v>
      </c>
      <c r="U25" s="598">
        <v>12615</v>
      </c>
      <c r="V25" s="606">
        <v>82417.5</v>
      </c>
      <c r="W25" s="607">
        <f t="shared" si="1"/>
        <v>2367.4500000000003</v>
      </c>
      <c r="X25" s="607">
        <v>1458.6</v>
      </c>
      <c r="Y25" s="606">
        <v>0</v>
      </c>
      <c r="Z25" s="606">
        <v>19918.14</v>
      </c>
      <c r="AA25" s="606">
        <v>82417.5</v>
      </c>
    </row>
    <row r="26" spans="1:27">
      <c r="A26" s="598" t="str">
        <f>VLOOKUP(B26,[68]Supplier!$A:$B,2,FALSE)</f>
        <v>SCH030</v>
      </c>
      <c r="B26" s="599" t="s">
        <v>791</v>
      </c>
      <c r="C26" s="600">
        <v>10560</v>
      </c>
      <c r="D26" s="601">
        <v>52631.040000000001</v>
      </c>
      <c r="E26" s="601">
        <v>0</v>
      </c>
      <c r="F26" s="601">
        <v>26315.52</v>
      </c>
      <c r="G26" s="602">
        <v>26315.52</v>
      </c>
      <c r="H26" s="603">
        <v>10560</v>
      </c>
      <c r="I26" s="604">
        <v>26315.52</v>
      </c>
      <c r="J26" s="605">
        <f t="shared" si="0"/>
        <v>52631.040000000001</v>
      </c>
      <c r="K26" s="598">
        <v>47</v>
      </c>
      <c r="L26" s="598">
        <v>11</v>
      </c>
      <c r="M26" s="598">
        <v>7755</v>
      </c>
      <c r="N26" s="606">
        <v>48313.65</v>
      </c>
      <c r="O26" s="606">
        <v>2503.0500000000002</v>
      </c>
      <c r="P26" s="606">
        <v>50816.7</v>
      </c>
      <c r="Q26" s="598">
        <v>2970</v>
      </c>
      <c r="R26" s="606">
        <v>18503.099999999999</v>
      </c>
      <c r="S26" s="606">
        <v>999.9</v>
      </c>
      <c r="T26" s="606">
        <v>19503</v>
      </c>
      <c r="U26" s="598">
        <v>10725</v>
      </c>
      <c r="V26" s="606">
        <v>70319.7</v>
      </c>
      <c r="W26" s="607">
        <f t="shared" si="1"/>
        <v>3390.7500000000005</v>
      </c>
      <c r="X26" s="607">
        <v>112.2</v>
      </c>
      <c r="Y26" s="606">
        <v>0</v>
      </c>
      <c r="Z26" s="606">
        <v>17688.66</v>
      </c>
      <c r="AA26" s="606">
        <v>70319.7</v>
      </c>
    </row>
    <row r="27" spans="1:27">
      <c r="A27" s="598" t="str">
        <f>VLOOKUP(B27,[68]Supplier!$A:$B,2,FALSE)</f>
        <v>SCH031</v>
      </c>
      <c r="B27" s="599" t="s">
        <v>792</v>
      </c>
      <c r="C27" s="600"/>
      <c r="D27" s="601">
        <v>0</v>
      </c>
      <c r="E27" s="601">
        <v>0</v>
      </c>
      <c r="F27" s="601">
        <v>0</v>
      </c>
      <c r="G27" s="602">
        <v>0</v>
      </c>
      <c r="H27" s="603"/>
      <c r="I27" s="604">
        <v>0</v>
      </c>
      <c r="J27" s="605">
        <f t="shared" si="0"/>
        <v>0</v>
      </c>
      <c r="K27" s="598">
        <v>66</v>
      </c>
      <c r="L27" s="598">
        <v>11</v>
      </c>
      <c r="M27" s="598">
        <v>10725</v>
      </c>
      <c r="N27" s="606">
        <v>66816.75</v>
      </c>
      <c r="O27" s="606">
        <v>2341.35</v>
      </c>
      <c r="P27" s="606">
        <v>69158.100000000006</v>
      </c>
      <c r="Q27" s="598">
        <v>5384.5</v>
      </c>
      <c r="R27" s="606">
        <v>33545.440000000002</v>
      </c>
      <c r="S27" s="606">
        <v>1005.68</v>
      </c>
      <c r="T27" s="606">
        <v>34551.120000000003</v>
      </c>
      <c r="U27" s="598">
        <v>16109.5</v>
      </c>
      <c r="V27" s="606">
        <v>103709.2</v>
      </c>
      <c r="W27" s="607">
        <f t="shared" si="1"/>
        <v>3010.43</v>
      </c>
      <c r="X27" s="607">
        <v>336.6</v>
      </c>
      <c r="Y27" s="606">
        <v>0</v>
      </c>
      <c r="Z27" s="606">
        <v>103709.2</v>
      </c>
      <c r="AA27" s="606">
        <v>103709.2</v>
      </c>
    </row>
    <row r="28" spans="1:27">
      <c r="A28" s="598" t="e">
        <f>VLOOKUP(B28,[68]Supplier!$A:$B,2,FALSE)</f>
        <v>#N/A</v>
      </c>
      <c r="B28" s="599" t="s">
        <v>793</v>
      </c>
      <c r="C28" s="600">
        <v>3795</v>
      </c>
      <c r="D28" s="601">
        <v>18914.28</v>
      </c>
      <c r="E28" s="601">
        <v>0</v>
      </c>
      <c r="F28" s="601">
        <v>9457.14</v>
      </c>
      <c r="G28" s="602">
        <v>9457.14</v>
      </c>
      <c r="H28" s="603">
        <v>3795</v>
      </c>
      <c r="I28" s="604">
        <v>9457.14</v>
      </c>
      <c r="J28" s="605">
        <f t="shared" si="0"/>
        <v>18914.28</v>
      </c>
      <c r="K28" s="598">
        <v>16</v>
      </c>
      <c r="L28" s="598">
        <v>11</v>
      </c>
      <c r="M28" s="598">
        <v>2640</v>
      </c>
      <c r="N28" s="606">
        <v>16447.2</v>
      </c>
      <c r="O28" s="606">
        <v>620.4</v>
      </c>
      <c r="P28" s="606">
        <v>17067.599999999999</v>
      </c>
      <c r="Q28" s="598">
        <v>1155</v>
      </c>
      <c r="R28" s="606">
        <v>7195.65</v>
      </c>
      <c r="S28" s="606">
        <v>173.25</v>
      </c>
      <c r="T28" s="606">
        <v>7368.9</v>
      </c>
      <c r="U28" s="598">
        <v>3795</v>
      </c>
      <c r="V28" s="606">
        <v>24436.5</v>
      </c>
      <c r="W28" s="607">
        <f t="shared" si="1"/>
        <v>569.25</v>
      </c>
      <c r="X28" s="607">
        <v>224.4</v>
      </c>
      <c r="Y28" s="606">
        <v>0</v>
      </c>
      <c r="Z28" s="606">
        <v>5522.22</v>
      </c>
      <c r="AA28" s="606">
        <v>24436.5</v>
      </c>
    </row>
    <row r="29" spans="1:27">
      <c r="A29" s="598" t="str">
        <f>VLOOKUP(B29,[68]Supplier!$A:$B,2,FALSE)</f>
        <v>SCH082</v>
      </c>
      <c r="B29" s="599" t="s">
        <v>794</v>
      </c>
      <c r="C29" s="600">
        <v>2184</v>
      </c>
      <c r="D29" s="601">
        <v>10885.06</v>
      </c>
      <c r="E29" s="601">
        <v>0</v>
      </c>
      <c r="F29" s="601">
        <v>5442.53</v>
      </c>
      <c r="G29" s="602">
        <v>5442.53</v>
      </c>
      <c r="H29" s="603">
        <v>2184</v>
      </c>
      <c r="I29" s="604">
        <v>5442.53</v>
      </c>
      <c r="J29" s="605">
        <f t="shared" si="0"/>
        <v>10885.06</v>
      </c>
      <c r="K29" s="598">
        <v>12</v>
      </c>
      <c r="L29" s="598">
        <v>11.2</v>
      </c>
      <c r="M29" s="598">
        <v>2016</v>
      </c>
      <c r="N29" s="606">
        <v>12559.68</v>
      </c>
      <c r="O29" s="606">
        <v>423.36</v>
      </c>
      <c r="P29" s="606">
        <v>12983.04</v>
      </c>
      <c r="Q29" s="598">
        <v>0</v>
      </c>
      <c r="R29" s="606">
        <v>0</v>
      </c>
      <c r="S29" s="606">
        <v>0</v>
      </c>
      <c r="T29" s="606">
        <v>0</v>
      </c>
      <c r="U29" s="598">
        <v>2016</v>
      </c>
      <c r="V29" s="606">
        <v>12983.04</v>
      </c>
      <c r="W29" s="607">
        <f t="shared" si="1"/>
        <v>423.36</v>
      </c>
      <c r="X29" s="607"/>
      <c r="Y29" s="606">
        <v>0</v>
      </c>
      <c r="Z29" s="606">
        <v>2097.98</v>
      </c>
      <c r="AA29" s="606">
        <v>12983.04</v>
      </c>
    </row>
    <row r="30" spans="1:27">
      <c r="A30" s="598" t="str">
        <f>VLOOKUP(B30,[68]Supplier!$A:$B,2,FALSE)</f>
        <v>SCH033</v>
      </c>
      <c r="B30" s="599" t="s">
        <v>795</v>
      </c>
      <c r="C30" s="600">
        <v>1892</v>
      </c>
      <c r="D30" s="601">
        <v>9429.73</v>
      </c>
      <c r="E30" s="601">
        <v>0</v>
      </c>
      <c r="F30" s="601">
        <v>4714.87</v>
      </c>
      <c r="G30" s="602">
        <v>4714.87</v>
      </c>
      <c r="H30" s="603">
        <v>1892</v>
      </c>
      <c r="I30" s="604">
        <v>4714.8599999999997</v>
      </c>
      <c r="J30" s="605">
        <f t="shared" si="0"/>
        <v>9429.73</v>
      </c>
      <c r="K30" s="598">
        <v>9</v>
      </c>
      <c r="L30" s="598">
        <v>11</v>
      </c>
      <c r="M30" s="598">
        <v>1397</v>
      </c>
      <c r="N30" s="606">
        <v>8703.31</v>
      </c>
      <c r="O30" s="606">
        <v>453.31</v>
      </c>
      <c r="P30" s="606">
        <v>9156.6200000000008</v>
      </c>
      <c r="Q30" s="598">
        <v>495</v>
      </c>
      <c r="R30" s="606">
        <v>3083.85</v>
      </c>
      <c r="S30" s="606">
        <v>113.85</v>
      </c>
      <c r="T30" s="606">
        <v>3197.7</v>
      </c>
      <c r="U30" s="598">
        <v>1892</v>
      </c>
      <c r="V30" s="606">
        <v>12354.32</v>
      </c>
      <c r="W30" s="607">
        <f t="shared" si="1"/>
        <v>402.59999999999997</v>
      </c>
      <c r="X30" s="607">
        <v>164.56</v>
      </c>
      <c r="Y30" s="606">
        <v>317.7</v>
      </c>
      <c r="Z30" s="606">
        <v>3242.29</v>
      </c>
      <c r="AA30" s="606">
        <v>12354.32</v>
      </c>
    </row>
    <row r="31" spans="1:27">
      <c r="A31" s="598" t="str">
        <f>VLOOKUP(B31,[68]Supplier!$A:$B,2,FALSE)</f>
        <v>SCH034</v>
      </c>
      <c r="B31" s="599" t="s">
        <v>796</v>
      </c>
      <c r="C31" s="600">
        <v>7590</v>
      </c>
      <c r="D31" s="601">
        <v>37828.559999999998</v>
      </c>
      <c r="E31" s="601">
        <v>0</v>
      </c>
      <c r="F31" s="601">
        <v>18914.28</v>
      </c>
      <c r="G31" s="602">
        <v>18914.28</v>
      </c>
      <c r="H31" s="603">
        <v>7590</v>
      </c>
      <c r="I31" s="604">
        <v>18914.28</v>
      </c>
      <c r="J31" s="605">
        <f t="shared" si="0"/>
        <v>37828.559999999998</v>
      </c>
      <c r="K31" s="598">
        <v>34</v>
      </c>
      <c r="L31" s="598">
        <v>11</v>
      </c>
      <c r="M31" s="598">
        <v>5610</v>
      </c>
      <c r="N31" s="606">
        <v>34950.300000000003</v>
      </c>
      <c r="O31" s="606">
        <v>1184.7</v>
      </c>
      <c r="P31" s="606">
        <v>36135</v>
      </c>
      <c r="Q31" s="598">
        <v>1980</v>
      </c>
      <c r="R31" s="606">
        <v>12335.4</v>
      </c>
      <c r="S31" s="606">
        <v>376.2</v>
      </c>
      <c r="T31" s="606">
        <v>12711.6</v>
      </c>
      <c r="U31" s="598">
        <v>7590</v>
      </c>
      <c r="V31" s="606">
        <v>48846.6</v>
      </c>
      <c r="W31" s="607">
        <f t="shared" si="1"/>
        <v>1336.5</v>
      </c>
      <c r="X31" s="607">
        <v>224.4</v>
      </c>
      <c r="Y31" s="606">
        <v>0</v>
      </c>
      <c r="Z31" s="606">
        <v>11018.04</v>
      </c>
      <c r="AA31" s="606">
        <v>48846.6</v>
      </c>
    </row>
    <row r="32" spans="1:27">
      <c r="A32" s="598" t="str">
        <f>VLOOKUP(B32,[68]Supplier!$A:$B,2,FALSE)</f>
        <v>SCH035</v>
      </c>
      <c r="B32" s="599" t="s">
        <v>797</v>
      </c>
      <c r="C32" s="600">
        <v>1980</v>
      </c>
      <c r="D32" s="601">
        <v>9868.32</v>
      </c>
      <c r="E32" s="601">
        <v>0</v>
      </c>
      <c r="F32" s="601">
        <v>4934.16</v>
      </c>
      <c r="G32" s="602">
        <v>4934.16</v>
      </c>
      <c r="H32" s="603">
        <v>1980</v>
      </c>
      <c r="I32" s="604">
        <v>4934.16</v>
      </c>
      <c r="J32" s="605">
        <f t="shared" si="0"/>
        <v>9868.32</v>
      </c>
      <c r="K32" s="598">
        <v>15</v>
      </c>
      <c r="L32" s="598">
        <v>11</v>
      </c>
      <c r="M32" s="598">
        <v>2259</v>
      </c>
      <c r="N32" s="606">
        <v>14073.57</v>
      </c>
      <c r="O32" s="606">
        <v>737.61</v>
      </c>
      <c r="P32" s="606">
        <v>14811.18</v>
      </c>
      <c r="Q32" s="598">
        <v>960</v>
      </c>
      <c r="R32" s="606">
        <v>5980.8</v>
      </c>
      <c r="S32" s="606">
        <v>144</v>
      </c>
      <c r="T32" s="606">
        <v>6124.8</v>
      </c>
      <c r="U32" s="598">
        <v>3219</v>
      </c>
      <c r="V32" s="606">
        <v>20935.98</v>
      </c>
      <c r="W32" s="607">
        <f t="shared" si="1"/>
        <v>585.80999999999995</v>
      </c>
      <c r="X32" s="607">
        <v>295.8</v>
      </c>
      <c r="Y32" s="606">
        <v>0</v>
      </c>
      <c r="Z32" s="606">
        <v>11067.66</v>
      </c>
      <c r="AA32" s="606">
        <v>20935.98</v>
      </c>
    </row>
    <row r="33" spans="1:27">
      <c r="A33" s="598" t="str">
        <f>VLOOKUP(B33,[68]Supplier!$A:$B,2,FALSE)</f>
        <v>SCH036</v>
      </c>
      <c r="B33" s="599" t="s">
        <v>798</v>
      </c>
      <c r="C33" s="600">
        <v>6270</v>
      </c>
      <c r="D33" s="601">
        <v>31249.68</v>
      </c>
      <c r="E33" s="601">
        <v>0</v>
      </c>
      <c r="F33" s="601">
        <v>15624.84</v>
      </c>
      <c r="G33" s="602">
        <v>15624.84</v>
      </c>
      <c r="H33" s="603">
        <v>6270</v>
      </c>
      <c r="I33" s="604">
        <v>15624.84</v>
      </c>
      <c r="J33" s="605">
        <f t="shared" si="0"/>
        <v>31249.68</v>
      </c>
      <c r="K33" s="598">
        <v>24</v>
      </c>
      <c r="L33" s="598">
        <v>11</v>
      </c>
      <c r="M33" s="598">
        <v>3960</v>
      </c>
      <c r="N33" s="606">
        <v>24670.799999999999</v>
      </c>
      <c r="O33" s="606">
        <v>673.2</v>
      </c>
      <c r="P33" s="606">
        <v>25344</v>
      </c>
      <c r="Q33" s="598">
        <v>2310</v>
      </c>
      <c r="R33" s="606">
        <v>14391.3</v>
      </c>
      <c r="S33" s="606">
        <v>386.1</v>
      </c>
      <c r="T33" s="606">
        <v>14777.4</v>
      </c>
      <c r="U33" s="598">
        <v>6270</v>
      </c>
      <c r="V33" s="606">
        <v>40121.4</v>
      </c>
      <c r="W33" s="607">
        <f t="shared" si="1"/>
        <v>1059.3000000000002</v>
      </c>
      <c r="X33" s="607"/>
      <c r="Y33" s="606">
        <v>0</v>
      </c>
      <c r="Z33" s="606">
        <v>8871.7199999999993</v>
      </c>
      <c r="AA33" s="606">
        <v>40121.4</v>
      </c>
    </row>
    <row r="34" spans="1:27">
      <c r="A34" s="598" t="str">
        <f>VLOOKUP(B34,[68]Supplier!$A:$B,2,FALSE)</f>
        <v>SCH038</v>
      </c>
      <c r="B34" s="599" t="s">
        <v>881</v>
      </c>
      <c r="C34" s="600">
        <v>9279</v>
      </c>
      <c r="D34" s="601">
        <v>46246.54</v>
      </c>
      <c r="E34" s="601">
        <v>0</v>
      </c>
      <c r="F34" s="601">
        <v>23123.27</v>
      </c>
      <c r="G34" s="602">
        <v>23123.27</v>
      </c>
      <c r="H34" s="603">
        <v>9279</v>
      </c>
      <c r="I34" s="604">
        <v>23123.27</v>
      </c>
      <c r="J34" s="605">
        <f t="shared" si="0"/>
        <v>46246.54</v>
      </c>
      <c r="K34" s="598">
        <v>43</v>
      </c>
      <c r="L34" s="598">
        <v>11</v>
      </c>
      <c r="M34" s="598">
        <v>6690</v>
      </c>
      <c r="N34" s="606">
        <v>41678.699999999997</v>
      </c>
      <c r="O34" s="606">
        <v>2519.1</v>
      </c>
      <c r="P34" s="606">
        <v>44197.8</v>
      </c>
      <c r="Q34" s="598">
        <v>2874</v>
      </c>
      <c r="R34" s="606">
        <v>17905.02</v>
      </c>
      <c r="S34" s="606">
        <v>652.86</v>
      </c>
      <c r="T34" s="606">
        <v>18557.88</v>
      </c>
      <c r="U34" s="598">
        <v>9564</v>
      </c>
      <c r="V34" s="606">
        <v>62755.68</v>
      </c>
      <c r="W34" s="607">
        <f t="shared" si="1"/>
        <v>2315.16</v>
      </c>
      <c r="X34" s="607">
        <v>856.8</v>
      </c>
      <c r="Y34" s="606">
        <v>0</v>
      </c>
      <c r="Z34" s="606">
        <v>16509.14</v>
      </c>
      <c r="AA34" s="606">
        <v>62755.68</v>
      </c>
    </row>
    <row r="35" spans="1:27">
      <c r="A35" s="598" t="str">
        <f>VLOOKUP(B35,[68]Supplier!$A:$B,2,FALSE)</f>
        <v>SCH083</v>
      </c>
      <c r="B35" s="599" t="s">
        <v>801</v>
      </c>
      <c r="C35" s="600">
        <v>2805</v>
      </c>
      <c r="D35" s="601">
        <v>13980.12</v>
      </c>
      <c r="E35" s="601">
        <v>0</v>
      </c>
      <c r="F35" s="601">
        <v>6990.06</v>
      </c>
      <c r="G35" s="602">
        <v>6990.06</v>
      </c>
      <c r="H35" s="603">
        <v>2805</v>
      </c>
      <c r="I35" s="604">
        <v>6990.06</v>
      </c>
      <c r="J35" s="605">
        <f t="shared" si="0"/>
        <v>13980.12</v>
      </c>
      <c r="K35" s="598">
        <v>17</v>
      </c>
      <c r="L35" s="598">
        <v>11</v>
      </c>
      <c r="M35" s="598">
        <v>2805</v>
      </c>
      <c r="N35" s="606">
        <v>17475.150000000001</v>
      </c>
      <c r="O35" s="606">
        <v>499.95</v>
      </c>
      <c r="P35" s="606">
        <v>17975.099999999999</v>
      </c>
      <c r="Q35" s="598">
        <v>0</v>
      </c>
      <c r="R35" s="606">
        <v>0</v>
      </c>
      <c r="S35" s="606">
        <v>0</v>
      </c>
      <c r="T35" s="606">
        <v>0</v>
      </c>
      <c r="U35" s="598">
        <v>2805</v>
      </c>
      <c r="V35" s="606">
        <v>17975.099999999999</v>
      </c>
      <c r="W35" s="607">
        <f t="shared" si="1"/>
        <v>499.95</v>
      </c>
      <c r="X35" s="607"/>
      <c r="Y35" s="606">
        <v>0</v>
      </c>
      <c r="Z35" s="606">
        <v>3994.98</v>
      </c>
      <c r="AA35" s="606">
        <v>17975.099999999999</v>
      </c>
    </row>
    <row r="36" spans="1:27">
      <c r="A36" s="598" t="str">
        <f>VLOOKUP(B36,[68]Supplier!$A:$B,2,FALSE)</f>
        <v>SCH039</v>
      </c>
      <c r="B36" s="599" t="s">
        <v>802</v>
      </c>
      <c r="C36" s="600">
        <v>6000</v>
      </c>
      <c r="D36" s="601">
        <v>29904</v>
      </c>
      <c r="E36" s="601">
        <v>0</v>
      </c>
      <c r="F36" s="601">
        <v>14952</v>
      </c>
      <c r="G36" s="602">
        <v>14952</v>
      </c>
      <c r="H36" s="603">
        <v>6000</v>
      </c>
      <c r="I36" s="604">
        <v>14952</v>
      </c>
      <c r="J36" s="605">
        <f t="shared" si="0"/>
        <v>29904</v>
      </c>
      <c r="K36" s="598">
        <v>30</v>
      </c>
      <c r="L36" s="598">
        <v>11</v>
      </c>
      <c r="M36" s="598">
        <v>4950</v>
      </c>
      <c r="N36" s="606">
        <v>30838.5</v>
      </c>
      <c r="O36" s="606">
        <v>1230.9000000000001</v>
      </c>
      <c r="P36" s="606">
        <v>32069.4</v>
      </c>
      <c r="Q36" s="598">
        <v>2145</v>
      </c>
      <c r="R36" s="606">
        <v>13363.35</v>
      </c>
      <c r="S36" s="606">
        <v>361.35</v>
      </c>
      <c r="T36" s="606">
        <v>13724.7</v>
      </c>
      <c r="U36" s="598">
        <v>7095</v>
      </c>
      <c r="V36" s="606">
        <v>45794.1</v>
      </c>
      <c r="W36" s="607">
        <f t="shared" si="1"/>
        <v>1143.45</v>
      </c>
      <c r="X36" s="607">
        <v>448.8</v>
      </c>
      <c r="Y36" s="606">
        <v>0</v>
      </c>
      <c r="Z36" s="606">
        <v>15890.1</v>
      </c>
      <c r="AA36" s="606">
        <v>45794.1</v>
      </c>
    </row>
    <row r="37" spans="1:27">
      <c r="A37" s="598" t="str">
        <f>VLOOKUP(B37,[68]Supplier!$A:$B,2,FALSE)</f>
        <v>SCH040</v>
      </c>
      <c r="B37" s="599" t="s">
        <v>803</v>
      </c>
      <c r="C37" s="600">
        <v>12000</v>
      </c>
      <c r="D37" s="601">
        <v>59808</v>
      </c>
      <c r="E37" s="601">
        <v>0</v>
      </c>
      <c r="F37" s="601">
        <v>29904</v>
      </c>
      <c r="G37" s="602">
        <v>29904</v>
      </c>
      <c r="H37" s="603">
        <v>12000</v>
      </c>
      <c r="I37" s="604">
        <v>29904</v>
      </c>
      <c r="J37" s="605">
        <f t="shared" si="0"/>
        <v>59808</v>
      </c>
      <c r="K37" s="598">
        <v>56</v>
      </c>
      <c r="L37" s="598">
        <v>11.8</v>
      </c>
      <c r="M37" s="598">
        <v>9577.5</v>
      </c>
      <c r="N37" s="606">
        <v>59667.83</v>
      </c>
      <c r="O37" s="606">
        <v>2777.27</v>
      </c>
      <c r="P37" s="606">
        <v>62445.1</v>
      </c>
      <c r="Q37" s="598">
        <v>2886</v>
      </c>
      <c r="R37" s="606">
        <v>17979.78</v>
      </c>
      <c r="S37" s="606">
        <v>553.86</v>
      </c>
      <c r="T37" s="606">
        <v>18533.64</v>
      </c>
      <c r="U37" s="598">
        <v>12463.5</v>
      </c>
      <c r="V37" s="606">
        <v>80978.740000000005</v>
      </c>
      <c r="W37" s="607">
        <f t="shared" si="1"/>
        <v>2621.21</v>
      </c>
      <c r="X37" s="607">
        <v>709.92</v>
      </c>
      <c r="Y37" s="606">
        <v>0</v>
      </c>
      <c r="Z37" s="606">
        <v>21170.74</v>
      </c>
      <c r="AA37" s="606">
        <v>80978.740000000005</v>
      </c>
    </row>
    <row r="38" spans="1:27">
      <c r="A38" s="598" t="str">
        <f>VLOOKUP(B38,[68]Supplier!$A:$B,2,FALSE)</f>
        <v>SCH041</v>
      </c>
      <c r="B38" s="599" t="s">
        <v>804</v>
      </c>
      <c r="C38" s="600">
        <v>5610</v>
      </c>
      <c r="D38" s="601">
        <v>27960.240000000002</v>
      </c>
      <c r="E38" s="601">
        <v>0</v>
      </c>
      <c r="F38" s="601">
        <v>13980.12</v>
      </c>
      <c r="G38" s="602">
        <v>13980.12</v>
      </c>
      <c r="H38" s="603">
        <v>5610</v>
      </c>
      <c r="I38" s="604">
        <v>13980.12</v>
      </c>
      <c r="J38" s="605">
        <f t="shared" si="0"/>
        <v>27960.240000000002</v>
      </c>
      <c r="K38" s="598">
        <v>24</v>
      </c>
      <c r="L38" s="598">
        <v>11</v>
      </c>
      <c r="M38" s="598">
        <v>3960</v>
      </c>
      <c r="N38" s="606">
        <v>24670.799999999999</v>
      </c>
      <c r="O38" s="606">
        <v>706.2</v>
      </c>
      <c r="P38" s="606">
        <v>25377</v>
      </c>
      <c r="Q38" s="598">
        <v>1650</v>
      </c>
      <c r="R38" s="606">
        <v>10279.5</v>
      </c>
      <c r="S38" s="606">
        <v>247.5</v>
      </c>
      <c r="T38" s="606">
        <v>10527</v>
      </c>
      <c r="U38" s="598">
        <v>5610</v>
      </c>
      <c r="V38" s="606">
        <v>35904</v>
      </c>
      <c r="W38" s="607">
        <f t="shared" si="1"/>
        <v>841.5</v>
      </c>
      <c r="X38" s="607">
        <v>112.2</v>
      </c>
      <c r="Y38" s="606">
        <v>0</v>
      </c>
      <c r="Z38" s="606">
        <v>7943.76</v>
      </c>
      <c r="AA38" s="606">
        <v>35904</v>
      </c>
    </row>
    <row r="39" spans="1:27">
      <c r="A39" s="598" t="str">
        <f>VLOOKUP(B39,[68]Supplier!$A:$B,2,FALSE)</f>
        <v>SCH042</v>
      </c>
      <c r="B39" s="599" t="s">
        <v>805</v>
      </c>
      <c r="C39" s="600">
        <v>6435</v>
      </c>
      <c r="D39" s="601">
        <v>32072.04</v>
      </c>
      <c r="E39" s="601">
        <v>0</v>
      </c>
      <c r="F39" s="601">
        <v>16036.02</v>
      </c>
      <c r="G39" s="602">
        <v>16036.02</v>
      </c>
      <c r="H39" s="603">
        <v>6435</v>
      </c>
      <c r="I39" s="604">
        <v>16036.02</v>
      </c>
      <c r="J39" s="605">
        <f t="shared" si="0"/>
        <v>32072.04</v>
      </c>
      <c r="K39" s="598">
        <v>29</v>
      </c>
      <c r="L39" s="598">
        <v>11</v>
      </c>
      <c r="M39" s="598">
        <v>4785</v>
      </c>
      <c r="N39" s="606">
        <v>29810.55</v>
      </c>
      <c r="O39" s="606">
        <v>796.95</v>
      </c>
      <c r="P39" s="606">
        <v>30607.5</v>
      </c>
      <c r="Q39" s="598">
        <v>2145</v>
      </c>
      <c r="R39" s="606">
        <v>13363.35</v>
      </c>
      <c r="S39" s="606">
        <v>361.35</v>
      </c>
      <c r="T39" s="606">
        <v>13724.7</v>
      </c>
      <c r="U39" s="598">
        <v>6930</v>
      </c>
      <c r="V39" s="606">
        <v>44332.2</v>
      </c>
      <c r="W39" s="607">
        <f t="shared" si="1"/>
        <v>1158.3000000000002</v>
      </c>
      <c r="X39" s="607"/>
      <c r="Y39" s="606">
        <v>0</v>
      </c>
      <c r="Z39" s="606">
        <v>12260.16</v>
      </c>
      <c r="AA39" s="606">
        <v>44332.2</v>
      </c>
    </row>
    <row r="40" spans="1:27">
      <c r="A40" s="598" t="str">
        <f>VLOOKUP(B40,[68]Supplier!$A:$B,2,FALSE)</f>
        <v>SCH043</v>
      </c>
      <c r="B40" s="599" t="s">
        <v>806</v>
      </c>
      <c r="C40" s="600">
        <v>8580</v>
      </c>
      <c r="D40" s="601">
        <v>42762.720000000001</v>
      </c>
      <c r="E40" s="601">
        <v>0</v>
      </c>
      <c r="F40" s="601">
        <v>21381.360000000001</v>
      </c>
      <c r="G40" s="602">
        <v>21381.360000000001</v>
      </c>
      <c r="H40" s="603">
        <v>8580</v>
      </c>
      <c r="I40" s="604">
        <v>21381.360000000001</v>
      </c>
      <c r="J40" s="605">
        <f t="shared" si="0"/>
        <v>42762.720000000001</v>
      </c>
      <c r="K40" s="598">
        <v>52</v>
      </c>
      <c r="L40" s="598">
        <v>11</v>
      </c>
      <c r="M40" s="598">
        <v>8580</v>
      </c>
      <c r="N40" s="606">
        <v>53453.4</v>
      </c>
      <c r="O40" s="606">
        <v>1326.6</v>
      </c>
      <c r="P40" s="606">
        <v>54780</v>
      </c>
      <c r="Q40" s="598">
        <v>0</v>
      </c>
      <c r="R40" s="606">
        <v>0</v>
      </c>
      <c r="S40" s="606">
        <v>0</v>
      </c>
      <c r="T40" s="606">
        <v>0</v>
      </c>
      <c r="U40" s="598">
        <v>8580</v>
      </c>
      <c r="V40" s="606">
        <v>54780</v>
      </c>
      <c r="W40" s="607">
        <f t="shared" si="1"/>
        <v>1326.6</v>
      </c>
      <c r="X40" s="607"/>
      <c r="Y40" s="606">
        <v>0</v>
      </c>
      <c r="Z40" s="606">
        <v>12017.28</v>
      </c>
      <c r="AA40" s="606">
        <v>54780</v>
      </c>
    </row>
    <row r="41" spans="1:27">
      <c r="A41" s="598" t="e">
        <f>VLOOKUP(B41,[68]Supplier!$A:$B,2,FALSE)</f>
        <v>#N/A</v>
      </c>
      <c r="B41" s="599" t="s">
        <v>882</v>
      </c>
      <c r="C41" s="600">
        <v>8085</v>
      </c>
      <c r="D41" s="601">
        <v>40295.64</v>
      </c>
      <c r="E41" s="601">
        <v>0</v>
      </c>
      <c r="F41" s="601">
        <v>20147.82</v>
      </c>
      <c r="G41" s="602">
        <v>20147.82</v>
      </c>
      <c r="H41" s="603">
        <v>8085</v>
      </c>
      <c r="I41" s="604">
        <v>20147.82</v>
      </c>
      <c r="J41" s="605">
        <f t="shared" si="0"/>
        <v>40295.64</v>
      </c>
      <c r="K41" s="598">
        <v>38</v>
      </c>
      <c r="L41" s="598">
        <v>11</v>
      </c>
      <c r="M41" s="598">
        <v>6270</v>
      </c>
      <c r="N41" s="606">
        <v>39062.1</v>
      </c>
      <c r="O41" s="606">
        <v>1790.25</v>
      </c>
      <c r="P41" s="606">
        <v>40852.35</v>
      </c>
      <c r="Q41" s="598">
        <v>2010</v>
      </c>
      <c r="R41" s="606">
        <v>12522.3</v>
      </c>
      <c r="S41" s="606">
        <v>550.65</v>
      </c>
      <c r="T41" s="606">
        <v>13072.95</v>
      </c>
      <c r="U41" s="598">
        <v>8280</v>
      </c>
      <c r="V41" s="606">
        <v>53925.3</v>
      </c>
      <c r="W41" s="607">
        <f t="shared" si="1"/>
        <v>1779.9</v>
      </c>
      <c r="X41" s="607">
        <v>561</v>
      </c>
      <c r="Y41" s="606">
        <v>0</v>
      </c>
      <c r="Z41" s="606">
        <v>13629.66</v>
      </c>
      <c r="AA41" s="606">
        <v>53925.3</v>
      </c>
    </row>
    <row r="42" spans="1:27">
      <c r="A42" s="598" t="str">
        <f>VLOOKUP(B42,[68]Supplier!$A:$B,2,FALSE)</f>
        <v>SCH045</v>
      </c>
      <c r="B42" s="599" t="s">
        <v>809</v>
      </c>
      <c r="C42" s="600">
        <v>17820</v>
      </c>
      <c r="D42" s="601">
        <v>88814.88</v>
      </c>
      <c r="E42" s="601">
        <v>0</v>
      </c>
      <c r="F42" s="601">
        <v>44407.44</v>
      </c>
      <c r="G42" s="602">
        <v>44407.44</v>
      </c>
      <c r="H42" s="603">
        <v>17820</v>
      </c>
      <c r="I42" s="604">
        <v>44407.44</v>
      </c>
      <c r="J42" s="605">
        <f t="shared" si="0"/>
        <v>88814.88</v>
      </c>
      <c r="K42" s="598">
        <v>76</v>
      </c>
      <c r="L42" s="598">
        <v>11</v>
      </c>
      <c r="M42" s="598">
        <v>12420</v>
      </c>
      <c r="N42" s="606">
        <v>77376.600000000006</v>
      </c>
      <c r="O42" s="606">
        <v>2482.8000000000002</v>
      </c>
      <c r="P42" s="606">
        <v>79859.399999999994</v>
      </c>
      <c r="Q42" s="598">
        <v>5115</v>
      </c>
      <c r="R42" s="606">
        <v>31866.45</v>
      </c>
      <c r="S42" s="606">
        <v>806.85</v>
      </c>
      <c r="T42" s="606">
        <v>32673.3</v>
      </c>
      <c r="U42" s="598">
        <v>17535</v>
      </c>
      <c r="V42" s="606">
        <v>112532.7</v>
      </c>
      <c r="W42" s="607">
        <f t="shared" si="1"/>
        <v>2749.05</v>
      </c>
      <c r="X42" s="607">
        <v>540.6</v>
      </c>
      <c r="Y42" s="606">
        <v>0</v>
      </c>
      <c r="Z42" s="606">
        <v>23717.82</v>
      </c>
      <c r="AA42" s="606">
        <v>112532.7</v>
      </c>
    </row>
    <row r="43" spans="1:27">
      <c r="A43" s="598" t="str">
        <f>VLOOKUP(B43,[68]Supplier!$A:$B,2,FALSE)</f>
        <v>SCH046</v>
      </c>
      <c r="B43" s="599" t="s">
        <v>810</v>
      </c>
      <c r="C43" s="600">
        <v>13200</v>
      </c>
      <c r="D43" s="601">
        <v>65788.800000000003</v>
      </c>
      <c r="E43" s="601">
        <v>0</v>
      </c>
      <c r="F43" s="601">
        <v>32894.400000000001</v>
      </c>
      <c r="G43" s="602">
        <v>32894.400000000001</v>
      </c>
      <c r="H43" s="603">
        <v>13200</v>
      </c>
      <c r="I43" s="604">
        <v>32894.400000000001</v>
      </c>
      <c r="J43" s="605">
        <f t="shared" si="0"/>
        <v>65788.800000000003</v>
      </c>
      <c r="K43" s="598">
        <v>62</v>
      </c>
      <c r="L43" s="598">
        <v>11</v>
      </c>
      <c r="M43" s="598">
        <v>10230</v>
      </c>
      <c r="N43" s="606">
        <v>63732.9</v>
      </c>
      <c r="O43" s="606">
        <v>1692.9</v>
      </c>
      <c r="P43" s="606">
        <v>65425.8</v>
      </c>
      <c r="Q43" s="598">
        <v>3135</v>
      </c>
      <c r="R43" s="606">
        <v>19531.05</v>
      </c>
      <c r="S43" s="606">
        <v>549.45000000000005</v>
      </c>
      <c r="T43" s="606">
        <v>20080.5</v>
      </c>
      <c r="U43" s="598">
        <v>13365</v>
      </c>
      <c r="V43" s="606">
        <v>85506.3</v>
      </c>
      <c r="W43" s="607">
        <f t="shared" si="1"/>
        <v>2242.3500000000004</v>
      </c>
      <c r="X43" s="607"/>
      <c r="Y43" s="606">
        <v>0</v>
      </c>
      <c r="Z43" s="606">
        <v>19717.5</v>
      </c>
      <c r="AA43" s="606">
        <v>85506.3</v>
      </c>
    </row>
    <row r="44" spans="1:27">
      <c r="A44" s="598" t="str">
        <f>VLOOKUP(B44,[68]Supplier!$A:$B,2,FALSE)</f>
        <v>SCH047</v>
      </c>
      <c r="B44" s="599" t="s">
        <v>811</v>
      </c>
      <c r="C44" s="600"/>
      <c r="D44" s="601">
        <v>0</v>
      </c>
      <c r="E44" s="601">
        <v>-287.10000000000002</v>
      </c>
      <c r="F44" s="601">
        <v>0</v>
      </c>
      <c r="G44" s="602"/>
      <c r="H44" s="603"/>
      <c r="I44" s="604">
        <v>0</v>
      </c>
      <c r="J44" s="605">
        <f t="shared" si="0"/>
        <v>0</v>
      </c>
      <c r="K44" s="598">
        <v>31</v>
      </c>
      <c r="L44" s="598">
        <v>11</v>
      </c>
      <c r="M44" s="598">
        <v>4512</v>
      </c>
      <c r="N44" s="606">
        <v>28109.759999999998</v>
      </c>
      <c r="O44" s="606">
        <v>2198.4</v>
      </c>
      <c r="P44" s="606">
        <v>30308.16</v>
      </c>
      <c r="Q44" s="598">
        <v>1386</v>
      </c>
      <c r="R44" s="606">
        <v>8634.7800000000007</v>
      </c>
      <c r="S44" s="606">
        <v>382.14</v>
      </c>
      <c r="T44" s="606">
        <v>9016.92</v>
      </c>
      <c r="U44" s="598">
        <v>5898</v>
      </c>
      <c r="V44" s="606">
        <v>39325.08</v>
      </c>
      <c r="W44" s="607">
        <f t="shared" si="1"/>
        <v>1458.54</v>
      </c>
      <c r="X44" s="607">
        <v>1122</v>
      </c>
      <c r="Y44" s="606">
        <v>-287.10000000000002</v>
      </c>
      <c r="Z44" s="606">
        <v>39037.980000000003</v>
      </c>
      <c r="AA44" s="606">
        <v>39325.08</v>
      </c>
    </row>
    <row r="45" spans="1:27">
      <c r="A45" s="598" t="str">
        <f>VLOOKUP(B45,[68]Supplier!$A:$B,2,FALSE)</f>
        <v>SCH048</v>
      </c>
      <c r="B45" s="599" t="s">
        <v>812</v>
      </c>
      <c r="C45" s="600">
        <v>7095</v>
      </c>
      <c r="D45" s="601">
        <v>35361.480000000003</v>
      </c>
      <c r="E45" s="601">
        <v>0</v>
      </c>
      <c r="F45" s="601">
        <v>17680.740000000002</v>
      </c>
      <c r="G45" s="602">
        <v>17680.740000000002</v>
      </c>
      <c r="H45" s="603">
        <v>7095</v>
      </c>
      <c r="I45" s="604">
        <v>17680.740000000002</v>
      </c>
      <c r="J45" s="605">
        <f t="shared" si="0"/>
        <v>35361.480000000003</v>
      </c>
      <c r="K45" s="598">
        <v>27</v>
      </c>
      <c r="L45" s="598">
        <v>11</v>
      </c>
      <c r="M45" s="598">
        <v>4455</v>
      </c>
      <c r="N45" s="606">
        <v>27754.65</v>
      </c>
      <c r="O45" s="606">
        <v>707.85</v>
      </c>
      <c r="P45" s="606">
        <v>28462.5</v>
      </c>
      <c r="Q45" s="598">
        <v>2805</v>
      </c>
      <c r="R45" s="606">
        <v>17475.150000000001</v>
      </c>
      <c r="S45" s="606">
        <v>420.75</v>
      </c>
      <c r="T45" s="606">
        <v>17895.900000000001</v>
      </c>
      <c r="U45" s="598">
        <v>7260</v>
      </c>
      <c r="V45" s="606">
        <v>46358.400000000001</v>
      </c>
      <c r="W45" s="607">
        <f t="shared" si="1"/>
        <v>1128.5999999999999</v>
      </c>
      <c r="X45" s="607"/>
      <c r="Y45" s="606">
        <v>0</v>
      </c>
      <c r="Z45" s="606">
        <v>10996.92</v>
      </c>
      <c r="AA45" s="606">
        <v>46358.400000000001</v>
      </c>
    </row>
    <row r="46" spans="1:27">
      <c r="A46" s="598" t="str">
        <f>VLOOKUP(B46,[68]Supplier!$A:$B,2,FALSE)</f>
        <v>SCH049</v>
      </c>
      <c r="B46" s="599" t="s">
        <v>813</v>
      </c>
      <c r="C46" s="600">
        <v>7590</v>
      </c>
      <c r="D46" s="601">
        <v>37828.559999999998</v>
      </c>
      <c r="E46" s="601">
        <v>0</v>
      </c>
      <c r="F46" s="601">
        <v>18914.28</v>
      </c>
      <c r="G46" s="602">
        <v>18914.28</v>
      </c>
      <c r="H46" s="603">
        <v>7590</v>
      </c>
      <c r="I46" s="604">
        <v>18914.28</v>
      </c>
      <c r="J46" s="605">
        <f t="shared" si="0"/>
        <v>37828.559999999998</v>
      </c>
      <c r="K46" s="598">
        <v>37</v>
      </c>
      <c r="L46" s="598">
        <v>11</v>
      </c>
      <c r="M46" s="598">
        <v>6105</v>
      </c>
      <c r="N46" s="606">
        <v>38034.15</v>
      </c>
      <c r="O46" s="606">
        <v>1067.55</v>
      </c>
      <c r="P46" s="606">
        <v>39101.699999999997</v>
      </c>
      <c r="Q46" s="598">
        <v>1485</v>
      </c>
      <c r="R46" s="606">
        <v>9251.5499999999993</v>
      </c>
      <c r="S46" s="606">
        <v>262.35000000000002</v>
      </c>
      <c r="T46" s="606">
        <v>9513.9</v>
      </c>
      <c r="U46" s="598">
        <v>7590</v>
      </c>
      <c r="V46" s="606">
        <v>48615.6</v>
      </c>
      <c r="W46" s="607">
        <f t="shared" si="1"/>
        <v>1217.7</v>
      </c>
      <c r="X46" s="607">
        <v>112.2</v>
      </c>
      <c r="Y46" s="606">
        <v>0</v>
      </c>
      <c r="Z46" s="606">
        <v>10787.04</v>
      </c>
      <c r="AA46" s="606">
        <v>48615.6</v>
      </c>
    </row>
    <row r="47" spans="1:27">
      <c r="A47" s="598" t="str">
        <f>VLOOKUP(B47,[68]Supplier!$A:$B,2,FALSE)</f>
        <v>SCH052</v>
      </c>
      <c r="B47" s="599" t="s">
        <v>814</v>
      </c>
      <c r="C47" s="600">
        <v>4785</v>
      </c>
      <c r="D47" s="601">
        <v>23848.44</v>
      </c>
      <c r="E47" s="601">
        <v>0</v>
      </c>
      <c r="F47" s="601">
        <v>11924.22</v>
      </c>
      <c r="G47" s="602">
        <v>11924.22</v>
      </c>
      <c r="H47" s="603">
        <v>4785</v>
      </c>
      <c r="I47" s="604">
        <v>11924.22</v>
      </c>
      <c r="J47" s="605">
        <f t="shared" si="0"/>
        <v>23848.44</v>
      </c>
      <c r="K47" s="598">
        <v>24</v>
      </c>
      <c r="L47" s="598">
        <v>11</v>
      </c>
      <c r="M47" s="598">
        <v>3849</v>
      </c>
      <c r="N47" s="606">
        <v>23979.27</v>
      </c>
      <c r="O47" s="606">
        <v>1111.95</v>
      </c>
      <c r="P47" s="606">
        <v>25091.22</v>
      </c>
      <c r="Q47" s="598">
        <v>990</v>
      </c>
      <c r="R47" s="606">
        <v>6167.7</v>
      </c>
      <c r="S47" s="606">
        <v>188.1</v>
      </c>
      <c r="T47" s="606">
        <v>6355.8</v>
      </c>
      <c r="U47" s="598">
        <v>4839</v>
      </c>
      <c r="V47" s="606">
        <v>31447.02</v>
      </c>
      <c r="W47" s="607">
        <f t="shared" si="1"/>
        <v>963.44999999999993</v>
      </c>
      <c r="X47" s="607">
        <v>336.6</v>
      </c>
      <c r="Y47" s="606">
        <v>0</v>
      </c>
      <c r="Z47" s="606">
        <v>7598.58</v>
      </c>
      <c r="AA47" s="606">
        <v>31447.02</v>
      </c>
    </row>
    <row r="48" spans="1:27">
      <c r="A48" s="598" t="str">
        <f>VLOOKUP(B48,[68]Supplier!$A:$B,2,FALSE)</f>
        <v>SCH055</v>
      </c>
      <c r="B48" s="599" t="s">
        <v>815</v>
      </c>
      <c r="C48" s="600">
        <v>11490</v>
      </c>
      <c r="D48" s="601">
        <v>57266.16</v>
      </c>
      <c r="E48" s="601">
        <v>0</v>
      </c>
      <c r="F48" s="601">
        <v>28633.08</v>
      </c>
      <c r="G48" s="602">
        <v>28633.08</v>
      </c>
      <c r="H48" s="603">
        <v>11490</v>
      </c>
      <c r="I48" s="604">
        <v>28633.08</v>
      </c>
      <c r="J48" s="605">
        <f t="shared" si="0"/>
        <v>57266.16</v>
      </c>
      <c r="K48" s="598">
        <v>59</v>
      </c>
      <c r="L48" s="598">
        <v>11</v>
      </c>
      <c r="M48" s="598">
        <v>9555</v>
      </c>
      <c r="N48" s="606">
        <v>59527.65</v>
      </c>
      <c r="O48" s="606">
        <v>3926.85</v>
      </c>
      <c r="P48" s="606">
        <v>63454.5</v>
      </c>
      <c r="Q48" s="598">
        <v>1650</v>
      </c>
      <c r="R48" s="606">
        <v>10279.5</v>
      </c>
      <c r="S48" s="606">
        <v>405.9</v>
      </c>
      <c r="T48" s="606">
        <v>10685.4</v>
      </c>
      <c r="U48" s="598">
        <v>11205</v>
      </c>
      <c r="V48" s="606">
        <v>74139.899999999994</v>
      </c>
      <c r="W48" s="607">
        <f t="shared" si="1"/>
        <v>2537.5500000000002</v>
      </c>
      <c r="X48" s="607">
        <v>1795.2</v>
      </c>
      <c r="Y48" s="606">
        <v>0</v>
      </c>
      <c r="Z48" s="606">
        <v>16873.740000000002</v>
      </c>
      <c r="AA48" s="606">
        <v>74139.899999999994</v>
      </c>
    </row>
    <row r="49" spans="1:27">
      <c r="A49" s="598" t="str">
        <f>VLOOKUP(B49,[68]Supplier!$A:$B,2,FALSE)</f>
        <v>SCH056</v>
      </c>
      <c r="B49" s="599" t="s">
        <v>816</v>
      </c>
      <c r="C49" s="600">
        <v>8250</v>
      </c>
      <c r="D49" s="601">
        <v>41118</v>
      </c>
      <c r="E49" s="601">
        <v>0</v>
      </c>
      <c r="F49" s="601">
        <v>20559</v>
      </c>
      <c r="G49" s="602">
        <v>20559</v>
      </c>
      <c r="H49" s="603">
        <v>8250</v>
      </c>
      <c r="I49" s="604">
        <v>20559</v>
      </c>
      <c r="J49" s="605">
        <f t="shared" si="0"/>
        <v>41118</v>
      </c>
      <c r="K49" s="598">
        <v>32</v>
      </c>
      <c r="L49" s="598">
        <v>11</v>
      </c>
      <c r="M49" s="598">
        <v>5280</v>
      </c>
      <c r="N49" s="606">
        <v>32894.400000000001</v>
      </c>
      <c r="O49" s="606">
        <v>904.2</v>
      </c>
      <c r="P49" s="606">
        <v>33798.6</v>
      </c>
      <c r="Q49" s="598">
        <v>3135</v>
      </c>
      <c r="R49" s="606">
        <v>19531.05</v>
      </c>
      <c r="S49" s="606">
        <v>470.25</v>
      </c>
      <c r="T49" s="606">
        <v>20001.3</v>
      </c>
      <c r="U49" s="598">
        <v>8415</v>
      </c>
      <c r="V49" s="606">
        <v>53799.9</v>
      </c>
      <c r="W49" s="607">
        <f t="shared" si="1"/>
        <v>1262.25</v>
      </c>
      <c r="X49" s="607">
        <v>112.2</v>
      </c>
      <c r="Y49" s="606">
        <v>0</v>
      </c>
      <c r="Z49" s="606">
        <v>12681.9</v>
      </c>
      <c r="AA49" s="606">
        <v>53799.9</v>
      </c>
    </row>
    <row r="50" spans="1:27">
      <c r="A50" s="598" t="e">
        <f>VLOOKUP(B50,[68]Supplier!$A:$B,2,FALSE)</f>
        <v>#N/A</v>
      </c>
      <c r="B50" s="599" t="s">
        <v>883</v>
      </c>
      <c r="C50" s="600">
        <v>8745</v>
      </c>
      <c r="D50" s="601">
        <v>43585.08</v>
      </c>
      <c r="E50" s="601">
        <v>0</v>
      </c>
      <c r="F50" s="601">
        <v>21792.54</v>
      </c>
      <c r="G50" s="602">
        <v>21792.54</v>
      </c>
      <c r="H50" s="603">
        <v>8745</v>
      </c>
      <c r="I50" s="604">
        <v>21792.54</v>
      </c>
      <c r="J50" s="605">
        <f t="shared" si="0"/>
        <v>43585.08</v>
      </c>
      <c r="K50" s="598">
        <v>40</v>
      </c>
      <c r="L50" s="598">
        <v>11</v>
      </c>
      <c r="M50" s="598">
        <v>6600</v>
      </c>
      <c r="N50" s="606">
        <v>41118</v>
      </c>
      <c r="O50" s="606">
        <v>1557.6</v>
      </c>
      <c r="P50" s="606">
        <v>42675.6</v>
      </c>
      <c r="Q50" s="598">
        <v>2145</v>
      </c>
      <c r="R50" s="606">
        <v>13363.35</v>
      </c>
      <c r="S50" s="606">
        <v>321.75</v>
      </c>
      <c r="T50" s="606">
        <v>13685.1</v>
      </c>
      <c r="U50" s="598">
        <v>8745</v>
      </c>
      <c r="V50" s="606">
        <v>56360.7</v>
      </c>
      <c r="W50" s="607">
        <f t="shared" si="1"/>
        <v>1430.55</v>
      </c>
      <c r="X50" s="607">
        <v>448.8</v>
      </c>
      <c r="Y50" s="606">
        <v>0</v>
      </c>
      <c r="Z50" s="606">
        <v>12775.62</v>
      </c>
      <c r="AA50" s="606">
        <v>56360.7</v>
      </c>
    </row>
    <row r="51" spans="1:27">
      <c r="A51" s="598" t="str">
        <f>VLOOKUP(B51,[68]Supplier!$A:$B,2,FALSE)</f>
        <v>SCH059</v>
      </c>
      <c r="B51" s="599" t="s">
        <v>818</v>
      </c>
      <c r="C51" s="600">
        <v>9570</v>
      </c>
      <c r="D51" s="601">
        <v>47696.88</v>
      </c>
      <c r="E51" s="601">
        <v>0</v>
      </c>
      <c r="F51" s="601">
        <v>23848.44</v>
      </c>
      <c r="G51" s="602">
        <v>23848.44</v>
      </c>
      <c r="H51" s="603">
        <v>9570</v>
      </c>
      <c r="I51" s="604">
        <v>23848.44</v>
      </c>
      <c r="J51" s="605">
        <f t="shared" si="0"/>
        <v>47696.88</v>
      </c>
      <c r="K51" s="598">
        <v>39</v>
      </c>
      <c r="L51" s="598">
        <v>11</v>
      </c>
      <c r="M51" s="598">
        <v>6435</v>
      </c>
      <c r="N51" s="606">
        <v>40090.050000000003</v>
      </c>
      <c r="O51" s="606">
        <v>1084.05</v>
      </c>
      <c r="P51" s="606">
        <v>41174.1</v>
      </c>
      <c r="Q51" s="598">
        <v>3135</v>
      </c>
      <c r="R51" s="606">
        <v>19531.05</v>
      </c>
      <c r="S51" s="606">
        <v>549.45000000000005</v>
      </c>
      <c r="T51" s="606">
        <v>20080.5</v>
      </c>
      <c r="U51" s="598">
        <v>9570</v>
      </c>
      <c r="V51" s="606">
        <v>61254.6</v>
      </c>
      <c r="W51" s="607">
        <f t="shared" si="1"/>
        <v>1633.5</v>
      </c>
      <c r="X51" s="607"/>
      <c r="Y51" s="606">
        <v>0</v>
      </c>
      <c r="Z51" s="606">
        <v>13557.72</v>
      </c>
      <c r="AA51" s="606">
        <v>61254.6</v>
      </c>
    </row>
    <row r="52" spans="1:27">
      <c r="A52" s="598" t="str">
        <f>VLOOKUP(B52,[68]Supplier!$A:$B,2,FALSE)</f>
        <v>SCH060</v>
      </c>
      <c r="B52" s="599" t="s">
        <v>819</v>
      </c>
      <c r="C52" s="600">
        <v>6600</v>
      </c>
      <c r="D52" s="601">
        <v>32894.400000000001</v>
      </c>
      <c r="E52" s="601">
        <v>0</v>
      </c>
      <c r="F52" s="601">
        <v>16447.2</v>
      </c>
      <c r="G52" s="602">
        <v>16447.2</v>
      </c>
      <c r="H52" s="603">
        <v>6600</v>
      </c>
      <c r="I52" s="604">
        <v>16447.2</v>
      </c>
      <c r="J52" s="605">
        <f t="shared" si="0"/>
        <v>32894.400000000001</v>
      </c>
      <c r="K52" s="598">
        <v>31</v>
      </c>
      <c r="L52" s="598">
        <v>11</v>
      </c>
      <c r="M52" s="598">
        <v>4950</v>
      </c>
      <c r="N52" s="606">
        <v>30838.5</v>
      </c>
      <c r="O52" s="606">
        <v>1758.9</v>
      </c>
      <c r="P52" s="606">
        <v>32597.4</v>
      </c>
      <c r="Q52" s="598">
        <v>1650</v>
      </c>
      <c r="R52" s="606">
        <v>10279.5</v>
      </c>
      <c r="S52" s="606">
        <v>524.70000000000005</v>
      </c>
      <c r="T52" s="606">
        <v>10804.2</v>
      </c>
      <c r="U52" s="598">
        <v>6600</v>
      </c>
      <c r="V52" s="606">
        <v>43401.599999999999</v>
      </c>
      <c r="W52" s="607">
        <f t="shared" si="1"/>
        <v>2059.2000000000003</v>
      </c>
      <c r="X52" s="607">
        <v>224.4</v>
      </c>
      <c r="Y52" s="606">
        <v>0</v>
      </c>
      <c r="Z52" s="606">
        <v>10507.2</v>
      </c>
      <c r="AA52" s="606">
        <v>43401.599999999999</v>
      </c>
    </row>
    <row r="53" spans="1:27">
      <c r="A53" s="598" t="str">
        <f>VLOOKUP(B53,[68]Supplier!$A:$B,2,FALSE)</f>
        <v>SCH083</v>
      </c>
      <c r="B53" s="599" t="s">
        <v>820</v>
      </c>
      <c r="C53" s="600"/>
      <c r="D53" s="601">
        <v>0</v>
      </c>
      <c r="E53" s="601">
        <v>0</v>
      </c>
      <c r="F53" s="601">
        <v>0</v>
      </c>
      <c r="G53" s="602">
        <v>0</v>
      </c>
      <c r="H53" s="603"/>
      <c r="I53" s="604">
        <v>0</v>
      </c>
      <c r="J53" s="605">
        <f t="shared" si="0"/>
        <v>0</v>
      </c>
      <c r="K53" s="598">
        <v>21</v>
      </c>
      <c r="L53" s="598">
        <v>11</v>
      </c>
      <c r="M53" s="598">
        <v>3300</v>
      </c>
      <c r="N53" s="606">
        <v>20559.009999999998</v>
      </c>
      <c r="O53" s="606">
        <v>574.21</v>
      </c>
      <c r="P53" s="606">
        <v>21133.22</v>
      </c>
      <c r="Q53" s="598">
        <v>0</v>
      </c>
      <c r="R53" s="606">
        <v>0</v>
      </c>
      <c r="S53" s="606">
        <v>0</v>
      </c>
      <c r="T53" s="606">
        <v>0</v>
      </c>
      <c r="U53" s="598">
        <v>3300</v>
      </c>
      <c r="V53" s="606">
        <v>21133.22</v>
      </c>
      <c r="W53" s="607">
        <f t="shared" si="1"/>
        <v>574.21</v>
      </c>
      <c r="X53" s="607"/>
      <c r="Y53" s="606">
        <v>0</v>
      </c>
      <c r="Z53" s="606">
        <v>21133.22</v>
      </c>
      <c r="AA53" s="606">
        <v>21133.22</v>
      </c>
    </row>
    <row r="54" spans="1:27">
      <c r="A54" s="598" t="str">
        <f>VLOOKUP(B54,[68]Supplier!$A:$B,2,FALSE)</f>
        <v>SCH061</v>
      </c>
      <c r="B54" s="599" t="s">
        <v>821</v>
      </c>
      <c r="C54" s="600">
        <v>11957</v>
      </c>
      <c r="D54" s="601">
        <v>59593.69</v>
      </c>
      <c r="E54" s="601">
        <v>0</v>
      </c>
      <c r="F54" s="601">
        <v>29796.85</v>
      </c>
      <c r="G54" s="602">
        <v>29796.85</v>
      </c>
      <c r="H54" s="603">
        <v>11957</v>
      </c>
      <c r="I54" s="604">
        <v>29796.84</v>
      </c>
      <c r="J54" s="605">
        <f t="shared" si="0"/>
        <v>59593.69</v>
      </c>
      <c r="K54" s="598">
        <v>46</v>
      </c>
      <c r="L54" s="598">
        <v>12</v>
      </c>
      <c r="M54" s="598">
        <v>7791</v>
      </c>
      <c r="N54" s="606">
        <v>48537.93</v>
      </c>
      <c r="O54" s="606">
        <v>1679.85</v>
      </c>
      <c r="P54" s="606">
        <v>50217.78</v>
      </c>
      <c r="Q54" s="598">
        <v>4136.3999999999996</v>
      </c>
      <c r="R54" s="606">
        <v>25769.77</v>
      </c>
      <c r="S54" s="606">
        <v>741.42</v>
      </c>
      <c r="T54" s="606">
        <v>26511.19</v>
      </c>
      <c r="U54" s="598">
        <v>11927.4</v>
      </c>
      <c r="V54" s="606">
        <v>76728.97</v>
      </c>
      <c r="W54" s="607">
        <f t="shared" si="1"/>
        <v>2298.87</v>
      </c>
      <c r="X54" s="607">
        <v>122.4</v>
      </c>
      <c r="Y54" s="606">
        <v>0</v>
      </c>
      <c r="Z54" s="606">
        <v>17135.28</v>
      </c>
      <c r="AA54" s="606">
        <v>76728.97</v>
      </c>
    </row>
    <row r="55" spans="1:27">
      <c r="A55" s="598" t="str">
        <f>VLOOKUP(B55,[68]Supplier!$A:$B,2,FALSE)</f>
        <v>SCH062</v>
      </c>
      <c r="B55" s="599" t="s">
        <v>822</v>
      </c>
      <c r="C55" s="600">
        <v>5907</v>
      </c>
      <c r="D55" s="601">
        <v>29440.49</v>
      </c>
      <c r="E55" s="601">
        <v>0</v>
      </c>
      <c r="F55" s="601">
        <v>14720.25</v>
      </c>
      <c r="G55" s="602">
        <v>14720.25</v>
      </c>
      <c r="H55" s="603">
        <v>5907</v>
      </c>
      <c r="I55" s="604">
        <v>14720.24</v>
      </c>
      <c r="J55" s="605">
        <f t="shared" si="0"/>
        <v>29440.489999999998</v>
      </c>
      <c r="K55" s="598">
        <v>23</v>
      </c>
      <c r="L55" s="598">
        <v>11</v>
      </c>
      <c r="M55" s="598">
        <v>3795</v>
      </c>
      <c r="N55" s="606">
        <v>23642.85</v>
      </c>
      <c r="O55" s="606">
        <v>872.85</v>
      </c>
      <c r="P55" s="606">
        <v>24515.7</v>
      </c>
      <c r="Q55" s="598">
        <v>2178</v>
      </c>
      <c r="R55" s="606">
        <v>13568.94</v>
      </c>
      <c r="S55" s="606">
        <v>350.46</v>
      </c>
      <c r="T55" s="606">
        <v>13919.4</v>
      </c>
      <c r="U55" s="598">
        <v>5973</v>
      </c>
      <c r="V55" s="606">
        <v>38435.1</v>
      </c>
      <c r="W55" s="607">
        <f t="shared" si="1"/>
        <v>998.91</v>
      </c>
      <c r="X55" s="607">
        <v>224.4</v>
      </c>
      <c r="Y55" s="606">
        <v>0</v>
      </c>
      <c r="Z55" s="606">
        <v>8994.61</v>
      </c>
      <c r="AA55" s="606">
        <v>38435.1</v>
      </c>
    </row>
    <row r="56" spans="1:27">
      <c r="A56" s="598" t="str">
        <f>VLOOKUP(B56,[68]Supplier!$A:$B,2,FALSE)</f>
        <v>SCH063</v>
      </c>
      <c r="B56" s="599" t="s">
        <v>884</v>
      </c>
      <c r="C56" s="600"/>
      <c r="D56" s="601">
        <v>0</v>
      </c>
      <c r="E56" s="601">
        <v>0</v>
      </c>
      <c r="F56" s="601">
        <v>0</v>
      </c>
      <c r="G56" s="602">
        <v>0</v>
      </c>
      <c r="H56" s="603"/>
      <c r="I56" s="604">
        <v>0</v>
      </c>
      <c r="J56" s="605">
        <f t="shared" si="0"/>
        <v>0</v>
      </c>
      <c r="K56" s="598">
        <v>38</v>
      </c>
      <c r="L56" s="598">
        <v>11</v>
      </c>
      <c r="M56" s="598">
        <v>5986.09</v>
      </c>
      <c r="N56" s="606">
        <v>37293.339999999997</v>
      </c>
      <c r="O56" s="606">
        <v>1201.51</v>
      </c>
      <c r="P56" s="606">
        <v>38494.85</v>
      </c>
      <c r="Q56" s="598">
        <v>1166</v>
      </c>
      <c r="R56" s="606">
        <v>7264.18</v>
      </c>
      <c r="S56" s="606">
        <v>174.9</v>
      </c>
      <c r="T56" s="606">
        <v>7439.08</v>
      </c>
      <c r="U56" s="598">
        <v>7152.09</v>
      </c>
      <c r="V56" s="606">
        <v>45933.93</v>
      </c>
      <c r="W56" s="607">
        <f t="shared" si="1"/>
        <v>1152.01</v>
      </c>
      <c r="X56" s="607">
        <v>224.4</v>
      </c>
      <c r="Y56" s="606">
        <v>3183.65</v>
      </c>
      <c r="Z56" s="606">
        <v>49117.58</v>
      </c>
      <c r="AA56" s="606">
        <v>45933.93</v>
      </c>
    </row>
    <row r="57" spans="1:27">
      <c r="A57" s="598" t="str">
        <f>VLOOKUP(B57,[68]Supplier!$A:$B,2,FALSE)</f>
        <v>SCH064</v>
      </c>
      <c r="B57" s="599" t="s">
        <v>824</v>
      </c>
      <c r="C57" s="600">
        <v>7029</v>
      </c>
      <c r="D57" s="601">
        <v>35032.54</v>
      </c>
      <c r="E57" s="601">
        <v>0</v>
      </c>
      <c r="F57" s="601">
        <v>17516.27</v>
      </c>
      <c r="G57" s="602">
        <v>17516.27</v>
      </c>
      <c r="H57" s="603">
        <v>7029</v>
      </c>
      <c r="I57" s="604">
        <v>17516.27</v>
      </c>
      <c r="J57" s="605">
        <f t="shared" si="0"/>
        <v>35032.54</v>
      </c>
      <c r="K57" s="598">
        <v>29</v>
      </c>
      <c r="L57" s="598">
        <v>11</v>
      </c>
      <c r="M57" s="598">
        <v>4785</v>
      </c>
      <c r="N57" s="606">
        <v>29810.55</v>
      </c>
      <c r="O57" s="606">
        <v>1498.2</v>
      </c>
      <c r="P57" s="606">
        <v>31308.75</v>
      </c>
      <c r="Q57" s="598">
        <v>2442</v>
      </c>
      <c r="R57" s="606">
        <v>15213.66</v>
      </c>
      <c r="S57" s="606">
        <v>564.29999999999995</v>
      </c>
      <c r="T57" s="606">
        <v>15777.96</v>
      </c>
      <c r="U57" s="598">
        <v>7227</v>
      </c>
      <c r="V57" s="606">
        <v>47086.71</v>
      </c>
      <c r="W57" s="607">
        <f t="shared" si="1"/>
        <v>1613.7</v>
      </c>
      <c r="X57" s="607">
        <v>448.8</v>
      </c>
      <c r="Y57" s="606">
        <v>0</v>
      </c>
      <c r="Z57" s="606">
        <v>12054.17</v>
      </c>
      <c r="AA57" s="606">
        <v>47086.71</v>
      </c>
    </row>
    <row r="58" spans="1:27">
      <c r="A58" s="598" t="str">
        <f>VLOOKUP(B58,[68]Supplier!$A:$B,2,FALSE)</f>
        <v>SCH065</v>
      </c>
      <c r="B58" s="599" t="s">
        <v>825</v>
      </c>
      <c r="C58" s="600"/>
      <c r="D58" s="601">
        <v>0</v>
      </c>
      <c r="E58" s="601">
        <v>0</v>
      </c>
      <c r="F58" s="601">
        <v>0</v>
      </c>
      <c r="G58" s="602">
        <v>0</v>
      </c>
      <c r="H58" s="603"/>
      <c r="I58" s="604">
        <v>0</v>
      </c>
      <c r="J58" s="605">
        <f t="shared" si="0"/>
        <v>0</v>
      </c>
      <c r="K58" s="598">
        <v>60</v>
      </c>
      <c r="L58" s="598">
        <v>11</v>
      </c>
      <c r="M58" s="598">
        <v>9746</v>
      </c>
      <c r="N58" s="606">
        <v>60717.58</v>
      </c>
      <c r="O58" s="606">
        <v>3046.78</v>
      </c>
      <c r="P58" s="606">
        <v>63764.36</v>
      </c>
      <c r="Q58" s="598">
        <v>3135</v>
      </c>
      <c r="R58" s="606">
        <v>19531.05</v>
      </c>
      <c r="S58" s="606">
        <v>707.85</v>
      </c>
      <c r="T58" s="606">
        <v>20238.900000000001</v>
      </c>
      <c r="U58" s="598">
        <v>12881</v>
      </c>
      <c r="V58" s="606">
        <v>84003.26</v>
      </c>
      <c r="W58" s="607">
        <f t="shared" si="1"/>
        <v>2961.75</v>
      </c>
      <c r="X58" s="607">
        <v>792.88</v>
      </c>
      <c r="Y58" s="606">
        <v>-747.6</v>
      </c>
      <c r="Z58" s="606">
        <v>83255.66</v>
      </c>
      <c r="AA58" s="606">
        <v>84003.26</v>
      </c>
    </row>
    <row r="59" spans="1:27">
      <c r="A59" s="598" t="str">
        <f>VLOOKUP(B59,[68]Supplier!$A:$B,2,FALSE)</f>
        <v>SCH084</v>
      </c>
      <c r="B59" s="599" t="s">
        <v>826</v>
      </c>
      <c r="C59" s="600">
        <v>3465</v>
      </c>
      <c r="D59" s="601">
        <v>17269.560000000001</v>
      </c>
      <c r="E59" s="601">
        <v>0</v>
      </c>
      <c r="F59" s="601">
        <v>8634.7800000000007</v>
      </c>
      <c r="G59" s="602">
        <v>8634.7800000000007</v>
      </c>
      <c r="H59" s="603">
        <v>3465</v>
      </c>
      <c r="I59" s="604">
        <v>8634.7800000000007</v>
      </c>
      <c r="J59" s="605">
        <f t="shared" si="0"/>
        <v>17269.560000000001</v>
      </c>
      <c r="K59" s="598">
        <v>14</v>
      </c>
      <c r="L59" s="598">
        <v>11</v>
      </c>
      <c r="M59" s="598">
        <v>2310</v>
      </c>
      <c r="N59" s="606">
        <v>14391.3</v>
      </c>
      <c r="O59" s="606">
        <v>584.1</v>
      </c>
      <c r="P59" s="606">
        <v>14975.4</v>
      </c>
      <c r="Q59" s="598">
        <v>1155</v>
      </c>
      <c r="R59" s="606">
        <v>7195.65</v>
      </c>
      <c r="S59" s="606">
        <v>331.65</v>
      </c>
      <c r="T59" s="606">
        <v>7527.3</v>
      </c>
      <c r="U59" s="598">
        <v>3465</v>
      </c>
      <c r="V59" s="606">
        <v>22502.7</v>
      </c>
      <c r="W59" s="607">
        <f t="shared" si="1"/>
        <v>915.75</v>
      </c>
      <c r="X59" s="607"/>
      <c r="Y59" s="606">
        <v>0</v>
      </c>
      <c r="Z59" s="606">
        <v>5233.1400000000003</v>
      </c>
      <c r="AA59" s="606">
        <v>22502.7</v>
      </c>
    </row>
    <row r="60" spans="1:27">
      <c r="A60" s="598" t="str">
        <f>VLOOKUP(B60,[68]Supplier!$A:$B,2,FALSE)</f>
        <v>SCH066</v>
      </c>
      <c r="B60" s="599" t="s">
        <v>827</v>
      </c>
      <c r="C60" s="600">
        <v>6105</v>
      </c>
      <c r="D60" s="601">
        <v>30427.32</v>
      </c>
      <c r="E60" s="601">
        <v>0</v>
      </c>
      <c r="F60" s="601">
        <v>15213.66</v>
      </c>
      <c r="G60" s="602">
        <v>15213.66</v>
      </c>
      <c r="H60" s="603">
        <v>6105</v>
      </c>
      <c r="I60" s="604">
        <v>15213.66</v>
      </c>
      <c r="J60" s="605">
        <f t="shared" si="0"/>
        <v>30427.32</v>
      </c>
      <c r="K60" s="598">
        <v>31</v>
      </c>
      <c r="L60" s="598">
        <v>11</v>
      </c>
      <c r="M60" s="598">
        <v>5085</v>
      </c>
      <c r="N60" s="606">
        <v>31679.55</v>
      </c>
      <c r="O60" s="606">
        <v>1567.35</v>
      </c>
      <c r="P60" s="606">
        <v>33246.9</v>
      </c>
      <c r="Q60" s="598">
        <v>1290</v>
      </c>
      <c r="R60" s="606">
        <v>8036.7</v>
      </c>
      <c r="S60" s="606">
        <v>265.5</v>
      </c>
      <c r="T60" s="606">
        <v>8302.2000000000007</v>
      </c>
      <c r="U60" s="598">
        <v>6375</v>
      </c>
      <c r="V60" s="606">
        <v>41549.1</v>
      </c>
      <c r="W60" s="607">
        <f t="shared" si="1"/>
        <v>1496.25</v>
      </c>
      <c r="X60" s="607">
        <v>336.6</v>
      </c>
      <c r="Y60" s="606">
        <v>0</v>
      </c>
      <c r="Z60" s="606">
        <v>11121.78</v>
      </c>
      <c r="AA60" s="606">
        <v>41549.1</v>
      </c>
    </row>
    <row r="61" spans="1:27">
      <c r="A61" s="598" t="str">
        <f>VLOOKUP(B61,[68]Supplier!$A:$B,2,FALSE)</f>
        <v>SCH068</v>
      </c>
      <c r="B61" s="599" t="s">
        <v>828</v>
      </c>
      <c r="C61" s="600">
        <v>10956</v>
      </c>
      <c r="D61" s="601">
        <v>54604.7</v>
      </c>
      <c r="E61" s="601">
        <v>0</v>
      </c>
      <c r="F61" s="601">
        <v>27302.35</v>
      </c>
      <c r="G61" s="602">
        <v>27302.35</v>
      </c>
      <c r="H61" s="603">
        <v>10956</v>
      </c>
      <c r="I61" s="604">
        <v>27302.35</v>
      </c>
      <c r="J61" s="605">
        <f t="shared" si="0"/>
        <v>54604.7</v>
      </c>
      <c r="K61" s="598">
        <v>46</v>
      </c>
      <c r="L61" s="598">
        <v>11</v>
      </c>
      <c r="M61" s="598">
        <v>7554</v>
      </c>
      <c r="N61" s="606">
        <v>47061.42</v>
      </c>
      <c r="O61" s="606">
        <v>1476.3</v>
      </c>
      <c r="P61" s="606">
        <v>48537.72</v>
      </c>
      <c r="Q61" s="598">
        <v>3414</v>
      </c>
      <c r="R61" s="606">
        <v>21269.22</v>
      </c>
      <c r="S61" s="606">
        <v>551.70000000000005</v>
      </c>
      <c r="T61" s="606">
        <v>21820.92</v>
      </c>
      <c r="U61" s="598">
        <v>10968</v>
      </c>
      <c r="V61" s="606">
        <v>70358.64</v>
      </c>
      <c r="W61" s="607">
        <f t="shared" si="1"/>
        <v>1803.6</v>
      </c>
      <c r="X61" s="607">
        <v>224.4</v>
      </c>
      <c r="Y61" s="606">
        <v>0</v>
      </c>
      <c r="Z61" s="606">
        <v>15753.94</v>
      </c>
      <c r="AA61" s="606">
        <v>70358.64</v>
      </c>
    </row>
    <row r="62" spans="1:27">
      <c r="A62" s="598" t="str">
        <f>VLOOKUP(B62,[68]Supplier!$A:$B,2,FALSE)</f>
        <v>SCH069</v>
      </c>
      <c r="B62" s="599" t="s">
        <v>829</v>
      </c>
      <c r="C62" s="600">
        <v>5775</v>
      </c>
      <c r="D62" s="601">
        <v>28782.6</v>
      </c>
      <c r="E62" s="601">
        <v>0</v>
      </c>
      <c r="F62" s="601">
        <v>14391.3</v>
      </c>
      <c r="G62" s="602">
        <v>14391.3</v>
      </c>
      <c r="H62" s="603">
        <v>5775</v>
      </c>
      <c r="I62" s="604">
        <v>14391.3</v>
      </c>
      <c r="J62" s="605">
        <f t="shared" si="0"/>
        <v>28782.6</v>
      </c>
      <c r="K62" s="598">
        <v>28</v>
      </c>
      <c r="L62" s="598">
        <v>11</v>
      </c>
      <c r="M62" s="598">
        <v>4485</v>
      </c>
      <c r="N62" s="606">
        <v>27941.55</v>
      </c>
      <c r="O62" s="606">
        <v>1841.55</v>
      </c>
      <c r="P62" s="606">
        <v>29783.1</v>
      </c>
      <c r="Q62" s="598">
        <v>1155</v>
      </c>
      <c r="R62" s="606">
        <v>7195.65</v>
      </c>
      <c r="S62" s="606">
        <v>371.25</v>
      </c>
      <c r="T62" s="606">
        <v>7566.9</v>
      </c>
      <c r="U62" s="598">
        <v>5640</v>
      </c>
      <c r="V62" s="606">
        <v>37350</v>
      </c>
      <c r="W62" s="607">
        <f t="shared" si="1"/>
        <v>1764.0000000000002</v>
      </c>
      <c r="X62" s="607">
        <v>448.8</v>
      </c>
      <c r="Y62" s="606">
        <v>0</v>
      </c>
      <c r="Z62" s="606">
        <v>8567.4</v>
      </c>
      <c r="AA62" s="606">
        <v>37350</v>
      </c>
    </row>
    <row r="63" spans="1:27">
      <c r="A63" s="598" t="e">
        <f>VLOOKUP(B63,[68]Supplier!$A:$B,2,FALSE)</f>
        <v>#N/A</v>
      </c>
      <c r="B63" s="599" t="s">
        <v>885</v>
      </c>
      <c r="C63" s="600">
        <v>660</v>
      </c>
      <c r="D63" s="601">
        <v>3289.44</v>
      </c>
      <c r="E63" s="601">
        <v>0</v>
      </c>
      <c r="F63" s="601">
        <v>1644.72</v>
      </c>
      <c r="G63" s="602"/>
      <c r="H63" s="603">
        <v>660</v>
      </c>
      <c r="I63" s="604">
        <v>0</v>
      </c>
      <c r="J63" s="605">
        <f t="shared" si="0"/>
        <v>0</v>
      </c>
      <c r="K63" s="598">
        <v>3</v>
      </c>
      <c r="L63" s="598">
        <v>11</v>
      </c>
      <c r="M63" s="598">
        <v>495</v>
      </c>
      <c r="N63" s="606">
        <v>3083.85</v>
      </c>
      <c r="O63" s="606">
        <v>74.25</v>
      </c>
      <c r="P63" s="606">
        <v>3158.1</v>
      </c>
      <c r="Q63" s="598">
        <v>495</v>
      </c>
      <c r="R63" s="606">
        <v>3083.85</v>
      </c>
      <c r="S63" s="606">
        <v>74.25</v>
      </c>
      <c r="T63" s="606">
        <v>3158.1</v>
      </c>
      <c r="U63" s="598">
        <v>990</v>
      </c>
      <c r="V63" s="606">
        <v>6316.2</v>
      </c>
      <c r="W63" s="607">
        <f t="shared" si="1"/>
        <v>148.5</v>
      </c>
      <c r="X63" s="607"/>
      <c r="Y63" s="606">
        <v>0</v>
      </c>
      <c r="Z63" s="606">
        <v>6316.2</v>
      </c>
      <c r="AA63" s="606">
        <v>6316.2</v>
      </c>
    </row>
    <row r="64" spans="1:27">
      <c r="A64" s="598" t="e">
        <f>VLOOKUP(B64,[68]Supplier!$A:$B,2,FALSE)</f>
        <v>#N/A</v>
      </c>
      <c r="B64" s="599" t="s">
        <v>886</v>
      </c>
      <c r="C64" s="600">
        <v>5544</v>
      </c>
      <c r="D64" s="601">
        <v>27631.3</v>
      </c>
      <c r="E64" s="601">
        <v>0</v>
      </c>
      <c r="F64" s="601">
        <v>13815.65</v>
      </c>
      <c r="G64" s="602">
        <v>13815.65</v>
      </c>
      <c r="H64" s="603">
        <v>5544</v>
      </c>
      <c r="I64" s="604">
        <v>13815.65</v>
      </c>
      <c r="J64" s="605">
        <f t="shared" si="0"/>
        <v>27631.3</v>
      </c>
      <c r="K64" s="598">
        <v>29</v>
      </c>
      <c r="L64" s="598">
        <v>11</v>
      </c>
      <c r="M64" s="598">
        <v>3636</v>
      </c>
      <c r="N64" s="606">
        <v>22652.28</v>
      </c>
      <c r="O64" s="606">
        <v>1112.1300000000001</v>
      </c>
      <c r="P64" s="606">
        <v>23764.41</v>
      </c>
      <c r="Q64" s="598">
        <v>2076</v>
      </c>
      <c r="R64" s="606">
        <v>12933.48</v>
      </c>
      <c r="S64" s="606">
        <v>502.92</v>
      </c>
      <c r="T64" s="606">
        <v>13436.4</v>
      </c>
      <c r="U64" s="598">
        <v>5712</v>
      </c>
      <c r="V64" s="606">
        <v>37200.81</v>
      </c>
      <c r="W64" s="607">
        <f t="shared" si="1"/>
        <v>1278.4500000000003</v>
      </c>
      <c r="X64" s="607">
        <v>336.6</v>
      </c>
      <c r="Y64" s="606">
        <v>0</v>
      </c>
      <c r="Z64" s="606">
        <v>9569.51</v>
      </c>
      <c r="AA64" s="606">
        <v>37200.81</v>
      </c>
    </row>
    <row r="65" spans="1:28">
      <c r="A65" s="598" t="str">
        <f>VLOOKUP(B65,[68]Supplier!$A:$B,2,FALSE)</f>
        <v>SCH070</v>
      </c>
      <c r="B65" s="599" t="s">
        <v>830</v>
      </c>
      <c r="C65" s="600">
        <v>6930</v>
      </c>
      <c r="D65" s="601">
        <v>34539.120000000003</v>
      </c>
      <c r="E65" s="601">
        <v>0</v>
      </c>
      <c r="F65" s="601">
        <v>17269.560000000001</v>
      </c>
      <c r="G65" s="602">
        <v>17269.560000000001</v>
      </c>
      <c r="H65" s="603">
        <v>6930</v>
      </c>
      <c r="I65" s="604">
        <v>17269.560000000001</v>
      </c>
      <c r="J65" s="605">
        <f t="shared" si="0"/>
        <v>34539.120000000003</v>
      </c>
      <c r="K65" s="598">
        <v>31</v>
      </c>
      <c r="L65" s="598">
        <v>11</v>
      </c>
      <c r="M65" s="598">
        <v>5115</v>
      </c>
      <c r="N65" s="606">
        <v>31866.45</v>
      </c>
      <c r="O65" s="606">
        <v>1909.05</v>
      </c>
      <c r="P65" s="606">
        <v>33775.5</v>
      </c>
      <c r="Q65" s="598">
        <v>1815</v>
      </c>
      <c r="R65" s="606">
        <v>11307.45</v>
      </c>
      <c r="S65" s="606">
        <v>351.45</v>
      </c>
      <c r="T65" s="606">
        <v>11658.9</v>
      </c>
      <c r="U65" s="598">
        <v>6930</v>
      </c>
      <c r="V65" s="606">
        <v>45434.400000000001</v>
      </c>
      <c r="W65" s="607">
        <f t="shared" si="1"/>
        <v>1475.1</v>
      </c>
      <c r="X65" s="607">
        <v>785.4</v>
      </c>
      <c r="Y65" s="606">
        <v>0</v>
      </c>
      <c r="Z65" s="606">
        <v>10895.28</v>
      </c>
      <c r="AA65" s="606">
        <v>45434.400000000001</v>
      </c>
    </row>
    <row r="66" spans="1:28">
      <c r="A66" s="598" t="str">
        <f>VLOOKUP(B66,[68]Supplier!$A:$B,2,FALSE)</f>
        <v>SCH071</v>
      </c>
      <c r="B66" s="599" t="s">
        <v>831</v>
      </c>
      <c r="C66" s="600">
        <v>9570</v>
      </c>
      <c r="D66" s="601">
        <v>47696.88</v>
      </c>
      <c r="E66" s="601">
        <v>0</v>
      </c>
      <c r="F66" s="601">
        <v>23848.44</v>
      </c>
      <c r="G66" s="602">
        <v>23848.44</v>
      </c>
      <c r="H66" s="603">
        <v>9570</v>
      </c>
      <c r="I66" s="604">
        <v>23848.44</v>
      </c>
      <c r="J66" s="605">
        <f t="shared" si="0"/>
        <v>47696.88</v>
      </c>
      <c r="K66" s="598">
        <v>50</v>
      </c>
      <c r="L66" s="598">
        <v>11</v>
      </c>
      <c r="M66" s="598">
        <v>8250</v>
      </c>
      <c r="N66" s="606">
        <v>51397.5</v>
      </c>
      <c r="O66" s="606">
        <v>2948.55</v>
      </c>
      <c r="P66" s="606">
        <v>54346.05</v>
      </c>
      <c r="Q66" s="598">
        <v>1485</v>
      </c>
      <c r="R66" s="606">
        <v>9251.5499999999993</v>
      </c>
      <c r="S66" s="606">
        <v>420.75</v>
      </c>
      <c r="T66" s="606">
        <v>9672.2999999999993</v>
      </c>
      <c r="U66" s="598">
        <v>9735</v>
      </c>
      <c r="V66" s="606">
        <v>64018.35</v>
      </c>
      <c r="W66" s="607">
        <f t="shared" si="1"/>
        <v>2583.9</v>
      </c>
      <c r="X66" s="607">
        <v>785.4</v>
      </c>
      <c r="Y66" s="606">
        <v>0</v>
      </c>
      <c r="Z66" s="606">
        <v>16321.47</v>
      </c>
      <c r="AA66" s="606">
        <v>64018.35</v>
      </c>
    </row>
    <row r="67" spans="1:28">
      <c r="A67" s="598" t="str">
        <f>VLOOKUP(B67,[68]Supplier!$A:$B,2,FALSE)</f>
        <v>SCH072</v>
      </c>
      <c r="B67" s="599" t="s">
        <v>832</v>
      </c>
      <c r="C67" s="600">
        <v>10755</v>
      </c>
      <c r="D67" s="601">
        <v>53602.92</v>
      </c>
      <c r="E67" s="601">
        <v>0</v>
      </c>
      <c r="F67" s="601">
        <v>26801.46</v>
      </c>
      <c r="G67" s="602">
        <v>26801.46</v>
      </c>
      <c r="H67" s="603">
        <v>10755</v>
      </c>
      <c r="I67" s="604">
        <v>26801.46</v>
      </c>
      <c r="J67" s="605">
        <f t="shared" ref="J67:J73" si="2">G67+I67</f>
        <v>53602.92</v>
      </c>
      <c r="K67" s="598">
        <v>51</v>
      </c>
      <c r="L67" s="598">
        <v>11</v>
      </c>
      <c r="M67" s="598">
        <v>8250</v>
      </c>
      <c r="N67" s="606">
        <v>51397.5</v>
      </c>
      <c r="O67" s="606">
        <v>2716.5</v>
      </c>
      <c r="P67" s="606">
        <v>54114</v>
      </c>
      <c r="Q67" s="598">
        <v>2655</v>
      </c>
      <c r="R67" s="606">
        <v>16540.650000000001</v>
      </c>
      <c r="S67" s="606">
        <v>718.65</v>
      </c>
      <c r="T67" s="606">
        <v>17259.3</v>
      </c>
      <c r="U67" s="598">
        <v>10905</v>
      </c>
      <c r="V67" s="606">
        <v>71373.3</v>
      </c>
      <c r="W67" s="607">
        <f t="shared" ref="W67:W73" si="3">SUM(O67+S67)-X67</f>
        <v>2751.75</v>
      </c>
      <c r="X67" s="607">
        <v>683.4</v>
      </c>
      <c r="Y67" s="606">
        <v>0</v>
      </c>
      <c r="Z67" s="606">
        <v>17770.38</v>
      </c>
      <c r="AA67" s="606">
        <v>71373.3</v>
      </c>
    </row>
    <row r="68" spans="1:28">
      <c r="A68" s="598" t="str">
        <f>VLOOKUP(B68,[68]Supplier!$A:$B,2,FALSE)</f>
        <v>SCH073</v>
      </c>
      <c r="B68" s="599" t="s">
        <v>833</v>
      </c>
      <c r="C68" s="600">
        <v>18315</v>
      </c>
      <c r="D68" s="601">
        <v>91281.96</v>
      </c>
      <c r="E68" s="601">
        <v>0</v>
      </c>
      <c r="F68" s="601">
        <v>45640.98</v>
      </c>
      <c r="G68" s="602">
        <v>45640.98</v>
      </c>
      <c r="H68" s="603">
        <v>18315</v>
      </c>
      <c r="I68" s="604">
        <v>45640.98</v>
      </c>
      <c r="J68" s="605">
        <f t="shared" si="2"/>
        <v>91281.96</v>
      </c>
      <c r="K68" s="598">
        <v>97</v>
      </c>
      <c r="L68" s="598">
        <v>11</v>
      </c>
      <c r="M68" s="598">
        <v>15744</v>
      </c>
      <c r="N68" s="606">
        <v>98085.119999999995</v>
      </c>
      <c r="O68" s="606">
        <v>8453.4599999999991</v>
      </c>
      <c r="P68" s="606">
        <v>106538.6</v>
      </c>
      <c r="Q68" s="598">
        <v>3531</v>
      </c>
      <c r="R68" s="606">
        <v>21998.13</v>
      </c>
      <c r="S68" s="606">
        <v>1214.4000000000001</v>
      </c>
      <c r="T68" s="606">
        <v>23212.53</v>
      </c>
      <c r="U68" s="598">
        <v>19275</v>
      </c>
      <c r="V68" s="606">
        <v>129751.1</v>
      </c>
      <c r="W68" s="607">
        <f t="shared" si="3"/>
        <v>6862.8599999999988</v>
      </c>
      <c r="X68" s="607">
        <v>2805</v>
      </c>
      <c r="Y68" s="606">
        <v>0</v>
      </c>
      <c r="Z68" s="606">
        <v>38469.15</v>
      </c>
      <c r="AA68" s="606">
        <v>129751.1</v>
      </c>
    </row>
    <row r="69" spans="1:28">
      <c r="A69" s="598" t="str">
        <f>VLOOKUP(B69,[68]Supplier!$A:$B,2,FALSE)</f>
        <v>SCH075</v>
      </c>
      <c r="B69" s="599" t="s">
        <v>834</v>
      </c>
      <c r="C69" s="600">
        <v>1650</v>
      </c>
      <c r="D69" s="601">
        <v>8223.6</v>
      </c>
      <c r="E69" s="601">
        <v>0</v>
      </c>
      <c r="F69" s="601">
        <v>4111.8</v>
      </c>
      <c r="G69" s="602">
        <v>4111.8</v>
      </c>
      <c r="H69" s="603">
        <v>1650</v>
      </c>
      <c r="I69" s="604">
        <v>4111.8</v>
      </c>
      <c r="J69" s="605">
        <f t="shared" si="2"/>
        <v>8223.6</v>
      </c>
      <c r="K69" s="598">
        <v>16</v>
      </c>
      <c r="L69" s="598">
        <v>11</v>
      </c>
      <c r="M69" s="598">
        <v>2415</v>
      </c>
      <c r="N69" s="606">
        <v>15045.45</v>
      </c>
      <c r="O69" s="606">
        <v>401.85</v>
      </c>
      <c r="P69" s="606">
        <v>15447.3</v>
      </c>
      <c r="Q69" s="598">
        <v>0</v>
      </c>
      <c r="R69" s="606">
        <v>0</v>
      </c>
      <c r="S69" s="606">
        <v>0</v>
      </c>
      <c r="T69" s="606">
        <v>0</v>
      </c>
      <c r="U69" s="598">
        <v>2415</v>
      </c>
      <c r="V69" s="606">
        <v>15447.3</v>
      </c>
      <c r="W69" s="607"/>
      <c r="X69" s="607"/>
      <c r="Y69" s="606">
        <v>0</v>
      </c>
      <c r="Z69" s="606">
        <v>7223.7</v>
      </c>
      <c r="AA69" s="606">
        <v>15447.3</v>
      </c>
    </row>
    <row r="70" spans="1:28">
      <c r="A70" s="598" t="str">
        <f>VLOOKUP(B70,[68]Supplier!$A:$B,2,FALSE)</f>
        <v>SCH078</v>
      </c>
      <c r="B70" s="599" t="s">
        <v>887</v>
      </c>
      <c r="C70" s="600">
        <v>4620</v>
      </c>
      <c r="D70" s="601">
        <v>23026.080000000002</v>
      </c>
      <c r="E70" s="601">
        <v>248.82</v>
      </c>
      <c r="F70" s="601">
        <v>11513.04</v>
      </c>
      <c r="G70" s="602">
        <v>11761.86</v>
      </c>
      <c r="H70" s="603">
        <v>4620</v>
      </c>
      <c r="I70" s="604">
        <v>11513.04</v>
      </c>
      <c r="J70" s="605">
        <f t="shared" si="2"/>
        <v>23274.9</v>
      </c>
      <c r="K70" s="598">
        <v>23</v>
      </c>
      <c r="L70" s="598">
        <v>11</v>
      </c>
      <c r="M70" s="598">
        <v>3795</v>
      </c>
      <c r="N70" s="606">
        <v>23642.85</v>
      </c>
      <c r="O70" s="606">
        <v>1117.05</v>
      </c>
      <c r="P70" s="606">
        <v>24759.9</v>
      </c>
      <c r="Q70" s="598">
        <v>825</v>
      </c>
      <c r="R70" s="606">
        <v>5139.75</v>
      </c>
      <c r="S70" s="606">
        <v>202.95</v>
      </c>
      <c r="T70" s="606">
        <v>5342.7</v>
      </c>
      <c r="U70" s="598">
        <v>4620</v>
      </c>
      <c r="V70" s="606">
        <v>30102.6</v>
      </c>
      <c r="W70" s="607">
        <f t="shared" si="3"/>
        <v>1207.8</v>
      </c>
      <c r="X70" s="607">
        <v>112.2</v>
      </c>
      <c r="Y70" s="606">
        <v>0</v>
      </c>
      <c r="Z70" s="606">
        <v>7076.52</v>
      </c>
      <c r="AA70" s="606">
        <v>30102.6</v>
      </c>
    </row>
    <row r="71" spans="1:28">
      <c r="A71" s="598" t="str">
        <f>VLOOKUP(B71,[68]Supplier!$A:$B,2,FALSE)</f>
        <v>SCH079</v>
      </c>
      <c r="B71" s="599" t="s">
        <v>836</v>
      </c>
      <c r="C71" s="600"/>
      <c r="D71" s="601">
        <v>0</v>
      </c>
      <c r="E71" s="601">
        <v>0</v>
      </c>
      <c r="F71" s="601">
        <v>0</v>
      </c>
      <c r="G71" s="602">
        <v>0</v>
      </c>
      <c r="H71" s="603"/>
      <c r="I71" s="604">
        <v>0</v>
      </c>
      <c r="J71" s="605">
        <f t="shared" si="2"/>
        <v>0</v>
      </c>
      <c r="K71" s="598">
        <v>22</v>
      </c>
      <c r="L71" s="598">
        <v>11</v>
      </c>
      <c r="M71" s="598">
        <v>3330</v>
      </c>
      <c r="N71" s="606">
        <v>20745.900000000001</v>
      </c>
      <c r="O71" s="606">
        <v>1308.3</v>
      </c>
      <c r="P71" s="606">
        <v>22054.2</v>
      </c>
      <c r="Q71" s="598">
        <v>0</v>
      </c>
      <c r="R71" s="606">
        <v>0</v>
      </c>
      <c r="S71" s="606">
        <v>0</v>
      </c>
      <c r="T71" s="606">
        <v>0</v>
      </c>
      <c r="U71" s="598">
        <v>3330</v>
      </c>
      <c r="V71" s="606">
        <v>22054.2</v>
      </c>
      <c r="W71" s="607">
        <f t="shared" si="3"/>
        <v>798.3</v>
      </c>
      <c r="X71" s="607">
        <v>510</v>
      </c>
      <c r="Y71" s="606">
        <v>0</v>
      </c>
      <c r="Z71" s="606">
        <v>22054.2</v>
      </c>
      <c r="AA71" s="606">
        <v>22054.2</v>
      </c>
    </row>
    <row r="72" spans="1:28">
      <c r="A72" s="598" t="str">
        <f>VLOOKUP(B72,[68]Supplier!$A:$B,2,FALSE)</f>
        <v>SCH080</v>
      </c>
      <c r="B72" s="599" t="s">
        <v>837</v>
      </c>
      <c r="C72" s="600">
        <v>11760</v>
      </c>
      <c r="D72" s="601">
        <v>58611.839999999997</v>
      </c>
      <c r="E72" s="601">
        <v>0</v>
      </c>
      <c r="F72" s="601">
        <v>29305.919999999998</v>
      </c>
      <c r="G72" s="602">
        <v>29305.919999999998</v>
      </c>
      <c r="H72" s="603">
        <v>11760</v>
      </c>
      <c r="I72" s="604">
        <v>29305.919999999998</v>
      </c>
      <c r="J72" s="605">
        <f t="shared" si="2"/>
        <v>58611.839999999997</v>
      </c>
      <c r="K72" s="598">
        <v>55</v>
      </c>
      <c r="L72" s="598">
        <v>11</v>
      </c>
      <c r="M72" s="598">
        <v>8865</v>
      </c>
      <c r="N72" s="606">
        <v>55228.95</v>
      </c>
      <c r="O72" s="606">
        <v>3430.35</v>
      </c>
      <c r="P72" s="606">
        <v>58659.3</v>
      </c>
      <c r="Q72" s="598">
        <v>3075</v>
      </c>
      <c r="R72" s="606">
        <v>19157.25</v>
      </c>
      <c r="S72" s="606">
        <v>817.65</v>
      </c>
      <c r="T72" s="606">
        <v>19974.900000000001</v>
      </c>
      <c r="U72" s="598">
        <v>11940</v>
      </c>
      <c r="V72" s="606">
        <v>78634.2</v>
      </c>
      <c r="W72" s="607"/>
      <c r="X72" s="607">
        <v>1009.8</v>
      </c>
      <c r="Y72" s="606">
        <v>993</v>
      </c>
      <c r="Z72" s="606">
        <v>21015.360000000001</v>
      </c>
      <c r="AA72" s="606">
        <v>78634.2</v>
      </c>
    </row>
    <row r="73" spans="1:28" ht="15" thickBot="1">
      <c r="A73" s="598" t="str">
        <f>VLOOKUP(B73,[68]Supplier!$A:$B,2,FALSE)</f>
        <v>SCH081</v>
      </c>
      <c r="B73" s="599" t="s">
        <v>838</v>
      </c>
      <c r="C73" s="608"/>
      <c r="D73" s="609">
        <v>0</v>
      </c>
      <c r="E73" s="609">
        <v>0</v>
      </c>
      <c r="F73" s="609">
        <v>0</v>
      </c>
      <c r="G73" s="610">
        <v>0</v>
      </c>
      <c r="H73" s="611"/>
      <c r="I73" s="612">
        <v>0</v>
      </c>
      <c r="J73" s="605">
        <f t="shared" si="2"/>
        <v>0</v>
      </c>
      <c r="K73" s="598">
        <v>35</v>
      </c>
      <c r="L73" s="598">
        <v>11</v>
      </c>
      <c r="M73" s="598">
        <v>5610</v>
      </c>
      <c r="N73" s="606">
        <v>34950.300000000003</v>
      </c>
      <c r="O73" s="606">
        <v>1983.9</v>
      </c>
      <c r="P73" s="606">
        <v>36934.199999999997</v>
      </c>
      <c r="Q73" s="598">
        <v>495</v>
      </c>
      <c r="R73" s="606">
        <v>3083.85</v>
      </c>
      <c r="S73" s="606">
        <v>113.85</v>
      </c>
      <c r="T73" s="606">
        <v>3197.7</v>
      </c>
      <c r="U73" s="598">
        <v>6105</v>
      </c>
      <c r="V73" s="606">
        <v>40131.9</v>
      </c>
      <c r="W73" s="607">
        <f t="shared" si="3"/>
        <v>1873.35</v>
      </c>
      <c r="X73" s="607">
        <v>224.4</v>
      </c>
      <c r="Y73" s="606">
        <v>0</v>
      </c>
      <c r="Z73" s="606">
        <v>40131.9</v>
      </c>
      <c r="AA73" s="606">
        <v>40131.9</v>
      </c>
    </row>
    <row r="74" spans="1:28" s="613" customFormat="1">
      <c r="C74" s="614"/>
      <c r="J74" s="615"/>
      <c r="K74" s="616"/>
      <c r="L74" s="617"/>
      <c r="N74" s="618"/>
      <c r="O74" s="618"/>
      <c r="P74" s="618"/>
      <c r="Q74" s="619"/>
      <c r="R74" s="619"/>
      <c r="S74" s="619"/>
      <c r="T74" s="619"/>
      <c r="U74" s="619"/>
      <c r="V74" s="619"/>
      <c r="W74" s="620"/>
      <c r="X74" s="620"/>
      <c r="Y74" s="621"/>
      <c r="Z74" s="622"/>
      <c r="AA74" s="622"/>
      <c r="AB74" s="623"/>
    </row>
    <row r="75" spans="1:28" s="613" customFormat="1" ht="18">
      <c r="C75" s="614"/>
      <c r="J75" s="624"/>
      <c r="K75" s="617"/>
      <c r="L75" s="617"/>
      <c r="N75" s="618"/>
      <c r="O75" s="618"/>
      <c r="P75" s="618"/>
      <c r="Q75" s="619"/>
      <c r="R75" s="619"/>
      <c r="S75" s="619"/>
      <c r="T75" s="619"/>
      <c r="U75" s="619"/>
      <c r="V75" s="619"/>
      <c r="W75" s="619"/>
      <c r="X75" s="619"/>
      <c r="Y75" s="623"/>
      <c r="Z75" s="623"/>
      <c r="AA75" s="623"/>
    </row>
    <row r="76" spans="1:28" s="613" customFormat="1" ht="15" thickBot="1">
      <c r="C76" s="614"/>
      <c r="G76" s="625">
        <f>SUM(G2:G73)</f>
        <v>1225808.5699999998</v>
      </c>
      <c r="I76" s="625">
        <f>SUM(I2:I73)</f>
        <v>1223921.9999999998</v>
      </c>
      <c r="J76" s="626">
        <f>SUM(J2:J73)</f>
        <v>2449730.5699999994</v>
      </c>
      <c r="K76" s="617"/>
      <c r="L76" s="617"/>
      <c r="N76" s="618"/>
      <c r="O76" s="618"/>
      <c r="P76" s="618"/>
      <c r="Q76" s="619"/>
      <c r="R76" s="619"/>
      <c r="S76" s="619"/>
      <c r="T76" s="619"/>
      <c r="U76" s="619"/>
      <c r="V76" s="619"/>
      <c r="W76" s="619"/>
      <c r="X76" s="619"/>
      <c r="Y76" s="623"/>
      <c r="Z76" s="623"/>
      <c r="AA76" s="623"/>
    </row>
    <row r="77" spans="1:28" s="613" customFormat="1" ht="15" thickTop="1">
      <c r="C77" s="614"/>
      <c r="K77" s="617"/>
      <c r="L77" s="617"/>
      <c r="N77" s="618"/>
      <c r="O77" s="618"/>
      <c r="P77" s="618"/>
      <c r="Q77" s="619"/>
      <c r="R77" s="619"/>
      <c r="S77" s="619"/>
      <c r="T77" s="619"/>
      <c r="U77" s="619"/>
      <c r="V77" s="619"/>
      <c r="W77" s="619"/>
      <c r="X77" s="619"/>
      <c r="Y77" s="623"/>
      <c r="Z77" s="623"/>
      <c r="AA77" s="623"/>
    </row>
    <row r="78" spans="1:28" s="613" customFormat="1">
      <c r="C78" s="614"/>
      <c r="K78" s="617"/>
      <c r="L78" s="617"/>
      <c r="N78" s="618"/>
      <c r="O78" s="618"/>
      <c r="P78" s="618"/>
      <c r="Q78" s="619"/>
      <c r="R78" s="619"/>
      <c r="S78" s="619"/>
      <c r="T78" s="619"/>
      <c r="U78" s="619"/>
      <c r="V78" s="619"/>
      <c r="W78" s="619"/>
      <c r="X78" s="619"/>
      <c r="Y78" s="623"/>
      <c r="Z78" s="623"/>
      <c r="AA78" s="623"/>
    </row>
    <row r="79" spans="1:28" s="613" customFormat="1">
      <c r="C79" s="614"/>
      <c r="K79" s="617"/>
      <c r="L79" s="617"/>
      <c r="N79" s="618"/>
      <c r="O79" s="618"/>
      <c r="P79" s="618"/>
      <c r="Q79" s="619"/>
      <c r="R79" s="619"/>
      <c r="S79" s="619"/>
      <c r="T79" s="619"/>
      <c r="U79" s="619"/>
      <c r="V79" s="619"/>
      <c r="W79" s="619"/>
      <c r="X79" s="619"/>
      <c r="Y79" s="623"/>
      <c r="Z79" s="623"/>
      <c r="AA79" s="623"/>
    </row>
    <row r="80" spans="1:28" s="613" customFormat="1">
      <c r="C80" s="614"/>
      <c r="K80" s="617"/>
      <c r="L80" s="617"/>
      <c r="N80" s="618"/>
      <c r="O80" s="618"/>
      <c r="P80" s="618"/>
      <c r="Q80" s="619"/>
      <c r="R80" s="619"/>
      <c r="S80" s="619"/>
      <c r="T80" s="619"/>
      <c r="U80" s="619"/>
      <c r="V80" s="619"/>
      <c r="W80" s="619"/>
      <c r="X80" s="619"/>
      <c r="Y80" s="623"/>
      <c r="Z80" s="623"/>
      <c r="AA80" s="623"/>
    </row>
    <row r="81" spans="3:27" s="613" customFormat="1">
      <c r="C81" s="614"/>
      <c r="K81" s="617"/>
      <c r="L81" s="617"/>
      <c r="N81" s="618"/>
      <c r="O81" s="618"/>
      <c r="P81" s="618"/>
      <c r="Q81" s="619"/>
      <c r="R81" s="619"/>
      <c r="S81" s="619"/>
      <c r="T81" s="619"/>
      <c r="U81" s="619"/>
      <c r="V81" s="619"/>
      <c r="W81" s="619"/>
      <c r="X81" s="619"/>
      <c r="Y81" s="623"/>
      <c r="Z81" s="623"/>
      <c r="AA81" s="623"/>
    </row>
    <row r="82" spans="3:27" s="613" customFormat="1">
      <c r="C82" s="614"/>
      <c r="K82" s="617"/>
      <c r="L82" s="617"/>
      <c r="N82" s="618"/>
      <c r="O82" s="618"/>
      <c r="P82" s="618"/>
      <c r="Q82" s="619"/>
      <c r="R82" s="619"/>
      <c r="S82" s="619"/>
      <c r="T82" s="619"/>
      <c r="U82" s="619"/>
      <c r="V82" s="619"/>
      <c r="W82" s="619"/>
      <c r="X82" s="619"/>
      <c r="Y82" s="623"/>
      <c r="Z82" s="623"/>
      <c r="AA82" s="623"/>
    </row>
    <row r="83" spans="3:27" s="613" customFormat="1">
      <c r="C83" s="614"/>
      <c r="K83" s="617"/>
      <c r="L83" s="617"/>
      <c r="N83" s="618"/>
      <c r="O83" s="618"/>
      <c r="P83" s="618"/>
      <c r="Q83" s="619"/>
      <c r="R83" s="619"/>
      <c r="S83" s="619"/>
      <c r="T83" s="619"/>
      <c r="U83" s="619"/>
      <c r="V83" s="619"/>
      <c r="W83" s="619"/>
      <c r="X83" s="619"/>
      <c r="Y83" s="623"/>
      <c r="Z83" s="623"/>
      <c r="AA83" s="623"/>
    </row>
    <row r="84" spans="3:27" s="613" customFormat="1">
      <c r="C84" s="614"/>
      <c r="K84" s="617"/>
      <c r="L84" s="617"/>
      <c r="N84" s="618"/>
      <c r="O84" s="618"/>
      <c r="P84" s="618"/>
      <c r="Q84" s="619"/>
      <c r="R84" s="619"/>
      <c r="S84" s="619"/>
      <c r="T84" s="619"/>
      <c r="U84" s="619"/>
      <c r="V84" s="619"/>
      <c r="W84" s="619"/>
      <c r="X84" s="619"/>
      <c r="Y84" s="623"/>
      <c r="Z84" s="623"/>
      <c r="AA84" s="623"/>
    </row>
    <row r="85" spans="3:27" s="613" customFormat="1">
      <c r="C85" s="614"/>
      <c r="K85" s="617"/>
      <c r="L85" s="617"/>
      <c r="N85" s="618"/>
      <c r="O85" s="618"/>
      <c r="P85" s="618"/>
      <c r="Q85" s="619"/>
      <c r="R85" s="619"/>
      <c r="S85" s="619"/>
      <c r="T85" s="619"/>
      <c r="U85" s="619"/>
      <c r="V85" s="619"/>
      <c r="W85" s="619"/>
      <c r="X85" s="619"/>
      <c r="Y85" s="623"/>
      <c r="Z85" s="623"/>
      <c r="AA85" s="623"/>
    </row>
    <row r="86" spans="3:27" s="613" customFormat="1">
      <c r="C86" s="614"/>
      <c r="K86" s="617"/>
      <c r="L86" s="617"/>
      <c r="N86" s="618"/>
      <c r="O86" s="618"/>
      <c r="P86" s="618"/>
      <c r="Q86" s="619"/>
      <c r="R86" s="619"/>
      <c r="S86" s="619"/>
      <c r="T86" s="619"/>
      <c r="U86" s="619"/>
      <c r="V86" s="619"/>
      <c r="W86" s="619"/>
      <c r="X86" s="619"/>
      <c r="Y86" s="623"/>
      <c r="Z86" s="623"/>
      <c r="AA86" s="623"/>
    </row>
    <row r="87" spans="3:27" s="613" customFormat="1">
      <c r="C87" s="614"/>
      <c r="K87" s="617"/>
      <c r="L87" s="617"/>
      <c r="N87" s="618"/>
      <c r="O87" s="618"/>
      <c r="P87" s="618"/>
      <c r="Q87" s="619"/>
      <c r="R87" s="619"/>
      <c r="S87" s="619"/>
      <c r="T87" s="619"/>
      <c r="U87" s="619"/>
      <c r="V87" s="619"/>
      <c r="W87" s="619"/>
      <c r="X87" s="619"/>
      <c r="Y87" s="623"/>
      <c r="Z87" s="623"/>
      <c r="AA87" s="623"/>
    </row>
    <row r="88" spans="3:27" s="613" customFormat="1">
      <c r="C88" s="614"/>
      <c r="K88" s="617"/>
      <c r="L88" s="617"/>
      <c r="N88" s="618"/>
      <c r="O88" s="618"/>
      <c r="P88" s="618"/>
      <c r="Q88" s="619"/>
      <c r="R88" s="619"/>
      <c r="S88" s="619"/>
      <c r="T88" s="619"/>
      <c r="U88" s="619"/>
      <c r="V88" s="619"/>
      <c r="W88" s="619"/>
      <c r="X88" s="619"/>
      <c r="Y88" s="623"/>
      <c r="Z88" s="623"/>
      <c r="AA88" s="623"/>
    </row>
    <row r="89" spans="3:27" s="613" customFormat="1">
      <c r="C89" s="614"/>
      <c r="K89" s="617"/>
      <c r="L89" s="617"/>
      <c r="N89" s="618"/>
      <c r="O89" s="618"/>
      <c r="P89" s="618"/>
      <c r="Q89" s="619"/>
      <c r="R89" s="619"/>
      <c r="S89" s="619"/>
      <c r="T89" s="619"/>
      <c r="U89" s="619"/>
      <c r="V89" s="619"/>
      <c r="W89" s="619"/>
      <c r="X89" s="619"/>
      <c r="Y89" s="623"/>
      <c r="Z89" s="623"/>
      <c r="AA89" s="623"/>
    </row>
    <row r="90" spans="3:27" s="613" customFormat="1">
      <c r="C90" s="614"/>
      <c r="K90" s="617"/>
      <c r="L90" s="617"/>
      <c r="N90" s="618"/>
      <c r="O90" s="618"/>
      <c r="P90" s="618"/>
      <c r="Q90" s="619"/>
      <c r="R90" s="619"/>
      <c r="S90" s="619"/>
      <c r="T90" s="619"/>
      <c r="U90" s="619"/>
      <c r="V90" s="619"/>
      <c r="W90" s="619"/>
      <c r="X90" s="619"/>
      <c r="Y90" s="623"/>
      <c r="Z90" s="623"/>
      <c r="AA90" s="623"/>
    </row>
    <row r="91" spans="3:27" s="613" customFormat="1">
      <c r="C91" s="614"/>
      <c r="K91" s="617"/>
      <c r="L91" s="617"/>
      <c r="N91" s="618"/>
      <c r="O91" s="618"/>
      <c r="P91" s="618"/>
      <c r="Q91" s="619"/>
      <c r="R91" s="619"/>
      <c r="S91" s="619"/>
      <c r="T91" s="619"/>
      <c r="U91" s="619"/>
      <c r="V91" s="619"/>
      <c r="W91" s="619"/>
      <c r="X91" s="619"/>
      <c r="Y91" s="623"/>
      <c r="Z91" s="623"/>
      <c r="AA91" s="623"/>
    </row>
    <row r="92" spans="3:27" s="613" customFormat="1">
      <c r="C92" s="614"/>
      <c r="K92" s="617"/>
      <c r="L92" s="617"/>
      <c r="N92" s="618"/>
      <c r="O92" s="618"/>
      <c r="P92" s="618"/>
      <c r="Q92" s="619"/>
      <c r="R92" s="619"/>
      <c r="S92" s="619"/>
      <c r="T92" s="619"/>
      <c r="U92" s="619"/>
      <c r="V92" s="619"/>
      <c r="W92" s="619"/>
      <c r="X92" s="619"/>
      <c r="Y92" s="623"/>
      <c r="Z92" s="623"/>
      <c r="AA92" s="623"/>
    </row>
    <row r="93" spans="3:27" s="613" customFormat="1">
      <c r="C93" s="614"/>
      <c r="K93" s="617"/>
      <c r="L93" s="617"/>
      <c r="N93" s="618"/>
      <c r="O93" s="618"/>
      <c r="P93" s="618"/>
      <c r="Q93" s="619"/>
      <c r="R93" s="619"/>
      <c r="S93" s="619"/>
      <c r="T93" s="619"/>
      <c r="U93" s="619"/>
      <c r="V93" s="619"/>
      <c r="W93" s="619"/>
      <c r="X93" s="619"/>
      <c r="Y93" s="623"/>
      <c r="Z93" s="623"/>
      <c r="AA93" s="623"/>
    </row>
    <row r="94" spans="3:27" s="613" customFormat="1">
      <c r="C94" s="614"/>
      <c r="K94" s="617"/>
      <c r="L94" s="617"/>
      <c r="N94" s="618"/>
      <c r="O94" s="618"/>
      <c r="P94" s="618"/>
      <c r="Q94" s="619"/>
      <c r="R94" s="619"/>
      <c r="S94" s="619"/>
      <c r="T94" s="619"/>
      <c r="U94" s="619"/>
      <c r="V94" s="619"/>
      <c r="W94" s="619"/>
      <c r="X94" s="619"/>
      <c r="Y94" s="623"/>
      <c r="Z94" s="623"/>
      <c r="AA94" s="623"/>
    </row>
    <row r="95" spans="3:27" s="613" customFormat="1">
      <c r="C95" s="614"/>
      <c r="K95" s="617"/>
      <c r="L95" s="617"/>
      <c r="N95" s="618"/>
      <c r="O95" s="618"/>
      <c r="P95" s="618"/>
      <c r="Q95" s="619"/>
      <c r="R95" s="619"/>
      <c r="S95" s="619"/>
      <c r="T95" s="619"/>
      <c r="U95" s="619"/>
      <c r="V95" s="619"/>
      <c r="W95" s="619"/>
      <c r="X95" s="619"/>
      <c r="Y95" s="623"/>
      <c r="Z95" s="623"/>
      <c r="AA95" s="623"/>
    </row>
    <row r="96" spans="3:27" s="613" customFormat="1">
      <c r="C96" s="614"/>
      <c r="K96" s="617"/>
      <c r="L96" s="617"/>
      <c r="N96" s="618"/>
      <c r="O96" s="618"/>
      <c r="P96" s="618"/>
      <c r="Q96" s="619"/>
      <c r="R96" s="619"/>
      <c r="S96" s="619"/>
      <c r="T96" s="619"/>
      <c r="U96" s="619"/>
      <c r="V96" s="619"/>
      <c r="W96" s="619"/>
      <c r="X96" s="619"/>
      <c r="Y96" s="623"/>
      <c r="Z96" s="623"/>
      <c r="AA96" s="623"/>
    </row>
    <row r="97" spans="3:27" s="613" customFormat="1">
      <c r="C97" s="614"/>
      <c r="K97" s="617"/>
      <c r="L97" s="617"/>
      <c r="N97" s="618"/>
      <c r="O97" s="618"/>
      <c r="P97" s="618"/>
      <c r="Q97" s="619"/>
      <c r="R97" s="619"/>
      <c r="S97" s="619"/>
      <c r="T97" s="619"/>
      <c r="U97" s="619"/>
      <c r="V97" s="619"/>
      <c r="W97" s="619"/>
      <c r="X97" s="619"/>
      <c r="Y97" s="623"/>
      <c r="Z97" s="623"/>
      <c r="AA97" s="623"/>
    </row>
    <row r="98" spans="3:27" s="613" customFormat="1">
      <c r="C98" s="614"/>
      <c r="K98" s="617"/>
      <c r="L98" s="617"/>
      <c r="N98" s="618"/>
      <c r="O98" s="618"/>
      <c r="P98" s="618"/>
      <c r="Q98" s="619"/>
      <c r="R98" s="619"/>
      <c r="S98" s="619"/>
      <c r="T98" s="619"/>
      <c r="U98" s="619"/>
      <c r="V98" s="619"/>
      <c r="W98" s="619"/>
      <c r="X98" s="619"/>
      <c r="Y98" s="623"/>
      <c r="Z98" s="623"/>
      <c r="AA98" s="623"/>
    </row>
    <row r="99" spans="3:27" s="613" customFormat="1">
      <c r="C99" s="614"/>
      <c r="K99" s="617"/>
      <c r="L99" s="617"/>
      <c r="N99" s="618"/>
      <c r="O99" s="618"/>
      <c r="P99" s="618"/>
      <c r="Q99" s="619"/>
      <c r="R99" s="619"/>
      <c r="S99" s="619"/>
      <c r="T99" s="619"/>
      <c r="U99" s="619"/>
      <c r="V99" s="619"/>
      <c r="W99" s="619"/>
      <c r="X99" s="619"/>
      <c r="Y99" s="623"/>
      <c r="Z99" s="623"/>
      <c r="AA99" s="623"/>
    </row>
    <row r="100" spans="3:27" s="613" customFormat="1">
      <c r="C100" s="614"/>
      <c r="K100" s="617"/>
      <c r="L100" s="617"/>
      <c r="N100" s="618"/>
      <c r="O100" s="618"/>
      <c r="P100" s="618"/>
      <c r="Q100" s="619"/>
      <c r="R100" s="619"/>
      <c r="S100" s="619"/>
      <c r="T100" s="619"/>
      <c r="U100" s="619"/>
      <c r="V100" s="619"/>
      <c r="W100" s="619"/>
      <c r="X100" s="619"/>
      <c r="Y100" s="623"/>
      <c r="Z100" s="623"/>
      <c r="AA100" s="623"/>
    </row>
    <row r="101" spans="3:27" s="613" customFormat="1">
      <c r="C101" s="614"/>
      <c r="K101" s="617"/>
      <c r="L101" s="617"/>
      <c r="N101" s="618"/>
      <c r="O101" s="618"/>
      <c r="P101" s="618"/>
      <c r="Q101" s="619"/>
      <c r="R101" s="619"/>
      <c r="S101" s="619"/>
      <c r="T101" s="619"/>
      <c r="U101" s="619"/>
      <c r="V101" s="619"/>
      <c r="W101" s="619"/>
      <c r="X101" s="619"/>
      <c r="Y101" s="623"/>
      <c r="Z101" s="623"/>
      <c r="AA101" s="623"/>
    </row>
    <row r="102" spans="3:27" s="613" customFormat="1">
      <c r="C102" s="614"/>
      <c r="K102" s="617"/>
      <c r="L102" s="617"/>
      <c r="N102" s="618"/>
      <c r="O102" s="618"/>
      <c r="P102" s="618"/>
      <c r="Q102" s="619"/>
      <c r="R102" s="619"/>
      <c r="S102" s="619"/>
      <c r="T102" s="619"/>
      <c r="U102" s="619"/>
      <c r="V102" s="619"/>
      <c r="W102" s="619"/>
      <c r="X102" s="619"/>
      <c r="Y102" s="623"/>
      <c r="Z102" s="623"/>
      <c r="AA102" s="623"/>
    </row>
    <row r="103" spans="3:27" s="613" customFormat="1">
      <c r="C103" s="614"/>
      <c r="K103" s="617"/>
      <c r="L103" s="617"/>
      <c r="N103" s="618"/>
      <c r="O103" s="618"/>
      <c r="P103" s="618"/>
      <c r="Q103" s="619"/>
      <c r="R103" s="619"/>
      <c r="S103" s="619"/>
      <c r="T103" s="619"/>
      <c r="U103" s="619"/>
      <c r="V103" s="619"/>
      <c r="W103" s="619"/>
      <c r="X103" s="619"/>
      <c r="Y103" s="623"/>
      <c r="Z103" s="623"/>
      <c r="AA103" s="623"/>
    </row>
    <row r="104" spans="3:27" s="613" customFormat="1">
      <c r="C104" s="614"/>
      <c r="K104" s="617"/>
      <c r="L104" s="617"/>
      <c r="N104" s="618"/>
      <c r="O104" s="618"/>
      <c r="P104" s="618"/>
      <c r="Q104" s="619"/>
      <c r="R104" s="619"/>
      <c r="S104" s="619"/>
      <c r="T104" s="619"/>
      <c r="U104" s="619"/>
      <c r="V104" s="619"/>
      <c r="W104" s="619"/>
      <c r="X104" s="619"/>
      <c r="Y104" s="623"/>
      <c r="Z104" s="623"/>
      <c r="AA104" s="623"/>
    </row>
    <row r="105" spans="3:27" s="613" customFormat="1">
      <c r="C105" s="614"/>
      <c r="K105" s="617"/>
      <c r="L105" s="617"/>
      <c r="N105" s="618"/>
      <c r="O105" s="618"/>
      <c r="P105" s="618"/>
      <c r="Q105" s="619"/>
      <c r="R105" s="619"/>
      <c r="S105" s="619"/>
      <c r="T105" s="619"/>
      <c r="U105" s="619"/>
      <c r="V105" s="619"/>
      <c r="W105" s="619"/>
      <c r="X105" s="619"/>
      <c r="Y105" s="623"/>
      <c r="Z105" s="623"/>
      <c r="AA105" s="623"/>
    </row>
    <row r="106" spans="3:27" s="613" customFormat="1">
      <c r="C106" s="614"/>
      <c r="K106" s="617"/>
      <c r="L106" s="617"/>
      <c r="N106" s="618"/>
      <c r="O106" s="618"/>
      <c r="P106" s="618"/>
      <c r="Q106" s="619"/>
      <c r="R106" s="619"/>
      <c r="S106" s="619"/>
      <c r="T106" s="619"/>
      <c r="U106" s="619"/>
      <c r="V106" s="619"/>
      <c r="W106" s="619"/>
      <c r="X106" s="619"/>
      <c r="Y106" s="623"/>
      <c r="Z106" s="623"/>
      <c r="AA106" s="623"/>
    </row>
    <row r="107" spans="3:27" s="613" customFormat="1">
      <c r="C107" s="614"/>
      <c r="K107" s="617"/>
      <c r="L107" s="617"/>
      <c r="N107" s="618"/>
      <c r="O107" s="618"/>
      <c r="P107" s="618"/>
      <c r="Q107" s="619"/>
      <c r="R107" s="619"/>
      <c r="S107" s="619"/>
      <c r="T107" s="619"/>
      <c r="U107" s="619"/>
      <c r="V107" s="619"/>
      <c r="W107" s="619"/>
      <c r="X107" s="619"/>
      <c r="Y107" s="623"/>
      <c r="Z107" s="623"/>
      <c r="AA107" s="623"/>
    </row>
    <row r="108" spans="3:27" s="613" customFormat="1">
      <c r="C108" s="614"/>
      <c r="K108" s="617"/>
      <c r="L108" s="617"/>
      <c r="N108" s="618"/>
      <c r="O108" s="618"/>
      <c r="P108" s="618"/>
      <c r="Q108" s="619"/>
      <c r="R108" s="619"/>
      <c r="S108" s="619"/>
      <c r="T108" s="619"/>
      <c r="U108" s="619"/>
      <c r="V108" s="619"/>
      <c r="W108" s="619"/>
      <c r="X108" s="619"/>
      <c r="Y108" s="623"/>
      <c r="Z108" s="623"/>
      <c r="AA108" s="623"/>
    </row>
    <row r="109" spans="3:27" s="613" customFormat="1">
      <c r="C109" s="614"/>
      <c r="K109" s="617"/>
      <c r="L109" s="617"/>
      <c r="N109" s="618"/>
      <c r="O109" s="618"/>
      <c r="P109" s="618"/>
      <c r="Q109" s="619"/>
      <c r="R109" s="619"/>
      <c r="S109" s="619"/>
      <c r="T109" s="619"/>
      <c r="U109" s="619"/>
      <c r="V109" s="619"/>
      <c r="W109" s="619"/>
      <c r="X109" s="619"/>
      <c r="Y109" s="623"/>
      <c r="Z109" s="623"/>
      <c r="AA109" s="623"/>
    </row>
    <row r="110" spans="3:27" s="613" customFormat="1">
      <c r="C110" s="614"/>
      <c r="K110" s="617"/>
      <c r="L110" s="617"/>
      <c r="N110" s="618"/>
      <c r="O110" s="618"/>
      <c r="P110" s="618"/>
      <c r="Q110" s="619"/>
      <c r="R110" s="619"/>
      <c r="S110" s="619"/>
      <c r="T110" s="619"/>
      <c r="U110" s="619"/>
      <c r="V110" s="619"/>
      <c r="W110" s="619"/>
      <c r="X110" s="619"/>
      <c r="Y110" s="623"/>
      <c r="Z110" s="623"/>
      <c r="AA110" s="623"/>
    </row>
    <row r="111" spans="3:27" s="613" customFormat="1">
      <c r="C111" s="614"/>
      <c r="K111" s="617"/>
      <c r="L111" s="617"/>
      <c r="N111" s="618"/>
      <c r="O111" s="618"/>
      <c r="P111" s="618"/>
      <c r="Q111" s="619"/>
      <c r="R111" s="619"/>
      <c r="S111" s="619"/>
      <c r="T111" s="619"/>
      <c r="U111" s="619"/>
      <c r="V111" s="619"/>
      <c r="W111" s="619"/>
      <c r="X111" s="619"/>
      <c r="Y111" s="623"/>
      <c r="Z111" s="623"/>
      <c r="AA111" s="623"/>
    </row>
    <row r="112" spans="3:27" s="613" customFormat="1">
      <c r="C112" s="614"/>
      <c r="K112" s="617"/>
      <c r="L112" s="617"/>
      <c r="N112" s="618"/>
      <c r="O112" s="618"/>
      <c r="P112" s="618"/>
      <c r="Q112" s="619"/>
      <c r="R112" s="619"/>
      <c r="S112" s="619"/>
      <c r="T112" s="619"/>
      <c r="U112" s="619"/>
      <c r="V112" s="619"/>
      <c r="W112" s="619"/>
      <c r="X112" s="619"/>
      <c r="Y112" s="623"/>
      <c r="Z112" s="623"/>
      <c r="AA112" s="623"/>
    </row>
    <row r="113" spans="3:27" s="613" customFormat="1">
      <c r="C113" s="614"/>
      <c r="K113" s="617"/>
      <c r="L113" s="617"/>
      <c r="N113" s="618"/>
      <c r="O113" s="618"/>
      <c r="P113" s="618"/>
      <c r="Q113" s="619"/>
      <c r="R113" s="619"/>
      <c r="S113" s="619"/>
      <c r="T113" s="619"/>
      <c r="U113" s="619"/>
      <c r="V113" s="619"/>
      <c r="W113" s="619"/>
      <c r="X113" s="619"/>
      <c r="Y113" s="623"/>
      <c r="Z113" s="623"/>
      <c r="AA113" s="623"/>
    </row>
    <row r="114" spans="3:27" s="613" customFormat="1">
      <c r="C114" s="614"/>
      <c r="K114" s="617"/>
      <c r="L114" s="617"/>
      <c r="N114" s="618"/>
      <c r="O114" s="618"/>
      <c r="P114" s="618"/>
      <c r="Q114" s="619"/>
      <c r="R114" s="619"/>
      <c r="S114" s="619"/>
      <c r="T114" s="619"/>
      <c r="U114" s="619"/>
      <c r="V114" s="619"/>
      <c r="W114" s="619"/>
      <c r="X114" s="619"/>
      <c r="Y114" s="623"/>
      <c r="Z114" s="623"/>
      <c r="AA114" s="623"/>
    </row>
    <row r="115" spans="3:27" s="613" customFormat="1">
      <c r="C115" s="614"/>
      <c r="K115" s="617"/>
      <c r="L115" s="617"/>
      <c r="N115" s="618"/>
      <c r="O115" s="618"/>
      <c r="P115" s="618"/>
      <c r="Q115" s="619"/>
      <c r="R115" s="619"/>
      <c r="S115" s="619"/>
      <c r="T115" s="619"/>
      <c r="U115" s="619"/>
      <c r="V115" s="619"/>
      <c r="W115" s="619"/>
      <c r="X115" s="619"/>
      <c r="Y115" s="623"/>
      <c r="Z115" s="623"/>
      <c r="AA115" s="623"/>
    </row>
    <row r="116" spans="3:27" s="613" customFormat="1">
      <c r="C116" s="614"/>
      <c r="K116" s="617"/>
      <c r="L116" s="617"/>
      <c r="N116" s="618"/>
      <c r="O116" s="618"/>
      <c r="P116" s="618"/>
      <c r="Q116" s="619"/>
      <c r="R116" s="619"/>
      <c r="S116" s="619"/>
      <c r="T116" s="619"/>
      <c r="U116" s="619"/>
      <c r="V116" s="619"/>
      <c r="W116" s="619"/>
      <c r="X116" s="619"/>
      <c r="Y116" s="623"/>
      <c r="Z116" s="623"/>
      <c r="AA116" s="623"/>
    </row>
    <row r="117" spans="3:27" s="613" customFormat="1">
      <c r="C117" s="614"/>
      <c r="K117" s="617"/>
      <c r="L117" s="617"/>
      <c r="N117" s="618"/>
      <c r="O117" s="618"/>
      <c r="P117" s="618"/>
      <c r="Q117" s="619"/>
      <c r="R117" s="619"/>
      <c r="S117" s="619"/>
      <c r="T117" s="619"/>
      <c r="U117" s="619"/>
      <c r="V117" s="619"/>
      <c r="W117" s="619"/>
      <c r="X117" s="619"/>
      <c r="Y117" s="623"/>
      <c r="Z117" s="623"/>
      <c r="AA117" s="623"/>
    </row>
    <row r="118" spans="3:27" s="613" customFormat="1">
      <c r="C118" s="614"/>
      <c r="K118" s="617"/>
      <c r="L118" s="617"/>
      <c r="N118" s="618"/>
      <c r="O118" s="618"/>
      <c r="P118" s="618"/>
      <c r="Q118" s="619"/>
      <c r="R118" s="619"/>
      <c r="S118" s="619"/>
      <c r="T118" s="619"/>
      <c r="U118" s="619"/>
      <c r="V118" s="619"/>
      <c r="W118" s="619"/>
      <c r="X118" s="619"/>
      <c r="Y118" s="623"/>
      <c r="Z118" s="623"/>
      <c r="AA118" s="623"/>
    </row>
    <row r="119" spans="3:27" s="613" customFormat="1">
      <c r="C119" s="614"/>
      <c r="K119" s="617"/>
      <c r="L119" s="617"/>
      <c r="N119" s="618"/>
      <c r="O119" s="618"/>
      <c r="P119" s="618"/>
      <c r="Q119" s="619"/>
      <c r="R119" s="619"/>
      <c r="S119" s="619"/>
      <c r="T119" s="619"/>
      <c r="U119" s="619"/>
      <c r="V119" s="619"/>
      <c r="W119" s="619"/>
      <c r="X119" s="619"/>
      <c r="Y119" s="623"/>
      <c r="Z119" s="623"/>
      <c r="AA119" s="623"/>
    </row>
    <row r="120" spans="3:27" s="613" customFormat="1">
      <c r="C120" s="614"/>
      <c r="K120" s="617"/>
      <c r="L120" s="617"/>
      <c r="N120" s="618"/>
      <c r="O120" s="618"/>
      <c r="P120" s="618"/>
      <c r="Q120" s="619"/>
      <c r="R120" s="619"/>
      <c r="S120" s="619"/>
      <c r="T120" s="619"/>
      <c r="U120" s="619"/>
      <c r="V120" s="619"/>
      <c r="W120" s="619"/>
      <c r="X120" s="619"/>
      <c r="Y120" s="623"/>
      <c r="Z120" s="623"/>
      <c r="AA120" s="623"/>
    </row>
    <row r="121" spans="3:27" s="613" customFormat="1">
      <c r="C121" s="614"/>
      <c r="K121" s="617"/>
      <c r="L121" s="617"/>
      <c r="N121" s="618"/>
      <c r="O121" s="618"/>
      <c r="P121" s="618"/>
      <c r="Q121" s="619"/>
      <c r="R121" s="619"/>
      <c r="S121" s="619"/>
      <c r="T121" s="619"/>
      <c r="U121" s="619"/>
      <c r="V121" s="619"/>
      <c r="W121" s="619"/>
      <c r="X121" s="619"/>
      <c r="Y121" s="623"/>
      <c r="Z121" s="623"/>
      <c r="AA121" s="623"/>
    </row>
    <row r="122" spans="3:27" s="613" customFormat="1">
      <c r="C122" s="614"/>
      <c r="K122" s="617"/>
      <c r="L122" s="617"/>
      <c r="N122" s="618"/>
      <c r="O122" s="618"/>
      <c r="P122" s="618"/>
      <c r="Q122" s="619"/>
      <c r="R122" s="619"/>
      <c r="S122" s="619"/>
      <c r="T122" s="619"/>
      <c r="U122" s="619"/>
      <c r="V122" s="619"/>
      <c r="W122" s="619"/>
      <c r="X122" s="619"/>
      <c r="Y122" s="623"/>
      <c r="Z122" s="623"/>
      <c r="AA122" s="623"/>
    </row>
    <row r="123" spans="3:27" s="613" customFormat="1">
      <c r="C123" s="614"/>
      <c r="K123" s="617"/>
      <c r="L123" s="617"/>
      <c r="N123" s="618"/>
      <c r="O123" s="618"/>
      <c r="P123" s="618"/>
      <c r="Q123" s="619"/>
      <c r="R123" s="619"/>
      <c r="S123" s="619"/>
      <c r="T123" s="619"/>
      <c r="U123" s="619"/>
      <c r="V123" s="619"/>
      <c r="W123" s="619"/>
      <c r="X123" s="619"/>
      <c r="Y123" s="623"/>
      <c r="Z123" s="623"/>
      <c r="AA123" s="623"/>
    </row>
    <row r="124" spans="3:27" s="613" customFormat="1">
      <c r="C124" s="614"/>
      <c r="K124" s="617"/>
      <c r="L124" s="617"/>
      <c r="N124" s="618"/>
      <c r="O124" s="618"/>
      <c r="P124" s="618"/>
      <c r="Q124" s="619"/>
      <c r="R124" s="619"/>
      <c r="S124" s="619"/>
      <c r="T124" s="619"/>
      <c r="U124" s="619"/>
      <c r="V124" s="619"/>
      <c r="W124" s="619"/>
      <c r="X124" s="619"/>
      <c r="Y124" s="623"/>
      <c r="Z124" s="623"/>
      <c r="AA124" s="623"/>
    </row>
    <row r="125" spans="3:27" s="613" customFormat="1">
      <c r="C125" s="614"/>
      <c r="K125" s="617"/>
      <c r="L125" s="617"/>
      <c r="N125" s="618"/>
      <c r="O125" s="618"/>
      <c r="P125" s="618"/>
      <c r="Q125" s="619"/>
      <c r="R125" s="619"/>
      <c r="S125" s="619"/>
      <c r="T125" s="619"/>
      <c r="U125" s="619"/>
      <c r="V125" s="619"/>
      <c r="W125" s="619"/>
      <c r="X125" s="619"/>
      <c r="Y125" s="623"/>
      <c r="Z125" s="623"/>
      <c r="AA125" s="623"/>
    </row>
    <row r="126" spans="3:27" s="613" customFormat="1">
      <c r="C126" s="614"/>
      <c r="K126" s="617"/>
      <c r="L126" s="617"/>
      <c r="N126" s="618"/>
      <c r="O126" s="618"/>
      <c r="P126" s="618"/>
      <c r="Q126" s="619"/>
      <c r="R126" s="619"/>
      <c r="S126" s="619"/>
      <c r="T126" s="619"/>
      <c r="U126" s="619"/>
      <c r="V126" s="619"/>
      <c r="W126" s="619"/>
      <c r="X126" s="619"/>
      <c r="Y126" s="623"/>
      <c r="Z126" s="623"/>
      <c r="AA126" s="623"/>
    </row>
    <row r="127" spans="3:27" s="613" customFormat="1">
      <c r="C127" s="614"/>
      <c r="K127" s="617"/>
      <c r="L127" s="617"/>
      <c r="N127" s="618"/>
      <c r="O127" s="618"/>
      <c r="P127" s="618"/>
      <c r="Q127" s="619"/>
      <c r="R127" s="619"/>
      <c r="S127" s="619"/>
      <c r="T127" s="619"/>
      <c r="U127" s="619"/>
      <c r="V127" s="619"/>
      <c r="W127" s="619"/>
      <c r="X127" s="619"/>
      <c r="Y127" s="623"/>
      <c r="Z127" s="623"/>
      <c r="AA127" s="623"/>
    </row>
    <row r="128" spans="3:27" s="613" customFormat="1">
      <c r="C128" s="614"/>
      <c r="K128" s="617"/>
      <c r="L128" s="617"/>
      <c r="N128" s="618"/>
      <c r="O128" s="618"/>
      <c r="P128" s="618"/>
      <c r="Q128" s="619"/>
      <c r="R128" s="619"/>
      <c r="S128" s="619"/>
      <c r="T128" s="619"/>
      <c r="U128" s="619"/>
      <c r="V128" s="619"/>
      <c r="W128" s="619"/>
      <c r="X128" s="619"/>
      <c r="Y128" s="623"/>
      <c r="Z128" s="623"/>
      <c r="AA128" s="623"/>
    </row>
    <row r="129" spans="3:27" s="613" customFormat="1">
      <c r="C129" s="614"/>
      <c r="K129" s="617"/>
      <c r="L129" s="617"/>
      <c r="N129" s="618"/>
      <c r="O129" s="618"/>
      <c r="P129" s="618"/>
      <c r="Q129" s="619"/>
      <c r="R129" s="619"/>
      <c r="S129" s="619"/>
      <c r="T129" s="619"/>
      <c r="U129" s="619"/>
      <c r="V129" s="619"/>
      <c r="W129" s="619"/>
      <c r="X129" s="619"/>
      <c r="Y129" s="623"/>
      <c r="Z129" s="623"/>
      <c r="AA129" s="623"/>
    </row>
    <row r="130" spans="3:27" s="613" customFormat="1">
      <c r="C130" s="614"/>
      <c r="K130" s="617"/>
      <c r="L130" s="617"/>
      <c r="N130" s="618"/>
      <c r="O130" s="618"/>
      <c r="P130" s="618"/>
      <c r="Q130" s="619"/>
      <c r="R130" s="619"/>
      <c r="S130" s="619"/>
      <c r="T130" s="619"/>
      <c r="U130" s="619"/>
      <c r="V130" s="619"/>
      <c r="W130" s="619"/>
      <c r="X130" s="619"/>
      <c r="Y130" s="623"/>
      <c r="Z130" s="623"/>
      <c r="AA130" s="623"/>
    </row>
    <row r="131" spans="3:27" s="613" customFormat="1">
      <c r="C131" s="614"/>
      <c r="K131" s="617"/>
      <c r="L131" s="617"/>
      <c r="N131" s="618"/>
      <c r="O131" s="618"/>
      <c r="P131" s="618"/>
      <c r="Q131" s="619"/>
      <c r="R131" s="619"/>
      <c r="S131" s="619"/>
      <c r="T131" s="619"/>
      <c r="U131" s="619"/>
      <c r="V131" s="619"/>
      <c r="W131" s="619"/>
      <c r="X131" s="619"/>
      <c r="Y131" s="623"/>
      <c r="Z131" s="623"/>
      <c r="AA131" s="623"/>
    </row>
    <row r="132" spans="3:27" s="613" customFormat="1">
      <c r="C132" s="614"/>
      <c r="K132" s="617"/>
      <c r="L132" s="617"/>
      <c r="N132" s="618"/>
      <c r="O132" s="618"/>
      <c r="P132" s="618"/>
      <c r="Q132" s="619"/>
      <c r="R132" s="619"/>
      <c r="S132" s="619"/>
      <c r="T132" s="619"/>
      <c r="U132" s="619"/>
      <c r="V132" s="619"/>
      <c r="W132" s="619"/>
      <c r="X132" s="619"/>
      <c r="Y132" s="623"/>
      <c r="Z132" s="623"/>
      <c r="AA132" s="623"/>
    </row>
    <row r="133" spans="3:27" s="613" customFormat="1">
      <c r="C133" s="614"/>
      <c r="K133" s="617"/>
      <c r="L133" s="617"/>
      <c r="N133" s="618"/>
      <c r="O133" s="618"/>
      <c r="P133" s="618"/>
      <c r="Q133" s="619"/>
      <c r="R133" s="619"/>
      <c r="S133" s="619"/>
      <c r="T133" s="619"/>
      <c r="U133" s="619"/>
      <c r="V133" s="619"/>
      <c r="W133" s="619"/>
      <c r="X133" s="619"/>
      <c r="Y133" s="623"/>
      <c r="Z133" s="623"/>
      <c r="AA133" s="623"/>
    </row>
    <row r="134" spans="3:27" s="613" customFormat="1">
      <c r="C134" s="614"/>
      <c r="K134" s="617"/>
      <c r="L134" s="617"/>
      <c r="N134" s="618"/>
      <c r="O134" s="618"/>
      <c r="P134" s="618"/>
      <c r="Q134" s="619"/>
      <c r="R134" s="619"/>
      <c r="S134" s="619"/>
      <c r="T134" s="619"/>
      <c r="U134" s="619"/>
      <c r="V134" s="619"/>
      <c r="W134" s="619"/>
      <c r="X134" s="619"/>
      <c r="Y134" s="623"/>
      <c r="Z134" s="623"/>
      <c r="AA134" s="623"/>
    </row>
    <row r="135" spans="3:27" s="613" customFormat="1">
      <c r="C135" s="614"/>
      <c r="K135" s="617"/>
      <c r="L135" s="617"/>
      <c r="N135" s="618"/>
      <c r="O135" s="618"/>
      <c r="P135" s="618"/>
      <c r="Q135" s="619"/>
      <c r="R135" s="619"/>
      <c r="S135" s="619"/>
      <c r="T135" s="619"/>
      <c r="U135" s="619"/>
      <c r="V135" s="619"/>
      <c r="W135" s="619"/>
      <c r="X135" s="619"/>
      <c r="Y135" s="623"/>
      <c r="Z135" s="623"/>
      <c r="AA135" s="623"/>
    </row>
    <row r="136" spans="3:27" s="613" customFormat="1">
      <c r="C136" s="614"/>
      <c r="K136" s="617"/>
      <c r="L136" s="617"/>
      <c r="N136" s="618"/>
      <c r="O136" s="618"/>
      <c r="P136" s="618"/>
      <c r="Q136" s="619"/>
      <c r="R136" s="619"/>
      <c r="S136" s="619"/>
      <c r="T136" s="619"/>
      <c r="U136" s="619"/>
      <c r="V136" s="619"/>
      <c r="W136" s="619"/>
      <c r="X136" s="619"/>
      <c r="Y136" s="623"/>
      <c r="Z136" s="623"/>
      <c r="AA136" s="623"/>
    </row>
    <row r="137" spans="3:27" s="613" customFormat="1">
      <c r="C137" s="614"/>
      <c r="K137" s="617"/>
      <c r="L137" s="617"/>
      <c r="N137" s="618"/>
      <c r="O137" s="618"/>
      <c r="P137" s="618"/>
      <c r="Q137" s="619"/>
      <c r="R137" s="619"/>
      <c r="S137" s="619"/>
      <c r="T137" s="619"/>
      <c r="U137" s="619"/>
      <c r="V137" s="619"/>
      <c r="W137" s="619"/>
      <c r="X137" s="619"/>
      <c r="Y137" s="623"/>
      <c r="Z137" s="623"/>
      <c r="AA137" s="623"/>
    </row>
    <row r="138" spans="3:27" s="613" customFormat="1">
      <c r="C138" s="614"/>
      <c r="K138" s="617"/>
      <c r="L138" s="617"/>
      <c r="N138" s="618"/>
      <c r="O138" s="618"/>
      <c r="P138" s="618"/>
      <c r="Q138" s="619"/>
      <c r="R138" s="619"/>
      <c r="S138" s="619"/>
      <c r="T138" s="619"/>
      <c r="U138" s="619"/>
      <c r="V138" s="619"/>
      <c r="W138" s="619"/>
      <c r="X138" s="619"/>
      <c r="Y138" s="623"/>
      <c r="Z138" s="623"/>
      <c r="AA138" s="623"/>
    </row>
    <row r="139" spans="3:27" s="613" customFormat="1">
      <c r="C139" s="614"/>
      <c r="K139" s="617"/>
      <c r="L139" s="617"/>
      <c r="N139" s="618"/>
      <c r="O139" s="618"/>
      <c r="P139" s="618"/>
      <c r="Q139" s="619"/>
      <c r="R139" s="619"/>
      <c r="S139" s="619"/>
      <c r="T139" s="619"/>
      <c r="U139" s="619"/>
      <c r="V139" s="619"/>
      <c r="W139" s="619"/>
      <c r="X139" s="619"/>
      <c r="Y139" s="623"/>
      <c r="Z139" s="623"/>
      <c r="AA139" s="623"/>
    </row>
    <row r="140" spans="3:27" s="613" customFormat="1">
      <c r="C140" s="614"/>
      <c r="K140" s="617"/>
      <c r="L140" s="617"/>
      <c r="N140" s="618"/>
      <c r="O140" s="618"/>
      <c r="P140" s="618"/>
      <c r="Q140" s="619"/>
      <c r="R140" s="619"/>
      <c r="S140" s="619"/>
      <c r="T140" s="619"/>
      <c r="U140" s="619"/>
      <c r="V140" s="619"/>
      <c r="W140" s="619"/>
      <c r="X140" s="619"/>
      <c r="Y140" s="623"/>
      <c r="Z140" s="623"/>
      <c r="AA140" s="623"/>
    </row>
    <row r="141" spans="3:27" s="613" customFormat="1">
      <c r="C141" s="614"/>
      <c r="K141" s="617"/>
      <c r="L141" s="617"/>
      <c r="N141" s="618"/>
      <c r="O141" s="618"/>
      <c r="P141" s="618"/>
      <c r="Q141" s="619"/>
      <c r="R141" s="619"/>
      <c r="S141" s="619"/>
      <c r="T141" s="619"/>
      <c r="U141" s="619"/>
      <c r="V141" s="619"/>
      <c r="W141" s="619"/>
      <c r="X141" s="619"/>
      <c r="Y141" s="623"/>
      <c r="Z141" s="623"/>
      <c r="AA141" s="623"/>
    </row>
    <row r="142" spans="3:27" s="613" customFormat="1">
      <c r="C142" s="614"/>
      <c r="K142" s="617"/>
      <c r="L142" s="617"/>
      <c r="N142" s="618"/>
      <c r="O142" s="618"/>
      <c r="P142" s="618"/>
      <c r="Q142" s="619"/>
      <c r="R142" s="619"/>
      <c r="S142" s="619"/>
      <c r="T142" s="619"/>
      <c r="U142" s="619"/>
      <c r="V142" s="619"/>
      <c r="W142" s="619"/>
      <c r="X142" s="619"/>
      <c r="Y142" s="623"/>
      <c r="Z142" s="623"/>
      <c r="AA142" s="623"/>
    </row>
    <row r="143" spans="3:27" s="613" customFormat="1">
      <c r="C143" s="614"/>
      <c r="K143" s="617"/>
      <c r="L143" s="617"/>
      <c r="N143" s="618"/>
      <c r="O143" s="618"/>
      <c r="P143" s="618"/>
      <c r="Q143" s="619"/>
      <c r="R143" s="619"/>
      <c r="S143" s="619"/>
      <c r="T143" s="619"/>
      <c r="U143" s="619"/>
      <c r="V143" s="619"/>
      <c r="W143" s="619"/>
      <c r="X143" s="619"/>
      <c r="Y143" s="623"/>
      <c r="Z143" s="623"/>
      <c r="AA143" s="623"/>
    </row>
    <row r="144" spans="3:27" s="613" customFormat="1">
      <c r="C144" s="614"/>
      <c r="K144" s="617"/>
      <c r="L144" s="617"/>
      <c r="N144" s="618"/>
      <c r="O144" s="618"/>
      <c r="P144" s="618"/>
      <c r="Q144" s="619"/>
      <c r="R144" s="619"/>
      <c r="S144" s="619"/>
      <c r="T144" s="619"/>
      <c r="U144" s="619"/>
      <c r="V144" s="619"/>
      <c r="W144" s="619"/>
      <c r="X144" s="619"/>
      <c r="Y144" s="623"/>
      <c r="Z144" s="623"/>
      <c r="AA144" s="623"/>
    </row>
    <row r="145" spans="3:27" s="613" customFormat="1">
      <c r="C145" s="614"/>
      <c r="K145" s="617"/>
      <c r="L145" s="617"/>
      <c r="N145" s="618"/>
      <c r="O145" s="618"/>
      <c r="P145" s="618"/>
      <c r="Q145" s="619"/>
      <c r="R145" s="619"/>
      <c r="S145" s="619"/>
      <c r="T145" s="619"/>
      <c r="U145" s="619"/>
      <c r="V145" s="619"/>
      <c r="W145" s="619"/>
      <c r="X145" s="619"/>
      <c r="Y145" s="623"/>
      <c r="Z145" s="623"/>
      <c r="AA145" s="623"/>
    </row>
    <row r="146" spans="3:27" s="613" customFormat="1">
      <c r="C146" s="614"/>
      <c r="K146" s="617"/>
      <c r="L146" s="617"/>
      <c r="N146" s="618"/>
      <c r="O146" s="618"/>
      <c r="P146" s="618"/>
      <c r="Q146" s="619"/>
      <c r="R146" s="619"/>
      <c r="S146" s="619"/>
      <c r="T146" s="619"/>
      <c r="U146" s="619"/>
      <c r="V146" s="619"/>
      <c r="W146" s="619"/>
      <c r="X146" s="619"/>
      <c r="Y146" s="623"/>
      <c r="Z146" s="623"/>
      <c r="AA146" s="623"/>
    </row>
    <row r="147" spans="3:27" s="613" customFormat="1">
      <c r="C147" s="614"/>
      <c r="K147" s="617"/>
      <c r="L147" s="617"/>
      <c r="N147" s="618"/>
      <c r="O147" s="618"/>
      <c r="P147" s="618"/>
      <c r="Q147" s="619"/>
      <c r="R147" s="619"/>
      <c r="S147" s="619"/>
      <c r="T147" s="619"/>
      <c r="U147" s="619"/>
      <c r="V147" s="619"/>
      <c r="W147" s="619"/>
      <c r="X147" s="619"/>
      <c r="Y147" s="623"/>
      <c r="Z147" s="623"/>
      <c r="AA147" s="623"/>
    </row>
    <row r="148" spans="3:27" s="613" customFormat="1">
      <c r="C148" s="614"/>
      <c r="K148" s="617"/>
      <c r="L148" s="617"/>
      <c r="N148" s="618"/>
      <c r="O148" s="618"/>
      <c r="P148" s="618"/>
      <c r="Q148" s="619"/>
      <c r="R148" s="619"/>
      <c r="S148" s="619"/>
      <c r="T148" s="619"/>
      <c r="U148" s="619"/>
      <c r="V148" s="619"/>
      <c r="W148" s="619"/>
      <c r="X148" s="619"/>
      <c r="Y148" s="623"/>
      <c r="Z148" s="623"/>
      <c r="AA148" s="623"/>
    </row>
    <row r="149" spans="3:27" s="613" customFormat="1">
      <c r="C149" s="614"/>
      <c r="K149" s="617"/>
      <c r="L149" s="617"/>
      <c r="N149" s="618"/>
      <c r="O149" s="618"/>
      <c r="P149" s="618"/>
      <c r="Q149" s="619"/>
      <c r="R149" s="619"/>
      <c r="S149" s="619"/>
      <c r="T149" s="619"/>
      <c r="U149" s="619"/>
      <c r="V149" s="619"/>
      <c r="W149" s="619"/>
      <c r="X149" s="619"/>
      <c r="Y149" s="623"/>
      <c r="Z149" s="623"/>
      <c r="AA149" s="623"/>
    </row>
    <row r="150" spans="3:27" s="613" customFormat="1">
      <c r="C150" s="614"/>
      <c r="K150" s="617"/>
      <c r="L150" s="617"/>
      <c r="N150" s="618"/>
      <c r="O150" s="618"/>
      <c r="P150" s="618"/>
      <c r="Q150" s="619"/>
      <c r="R150" s="619"/>
      <c r="S150" s="619"/>
      <c r="T150" s="619"/>
      <c r="U150" s="619"/>
      <c r="V150" s="619"/>
      <c r="W150" s="619"/>
      <c r="X150" s="619"/>
      <c r="Y150" s="623"/>
      <c r="Z150" s="623"/>
      <c r="AA150" s="623"/>
    </row>
    <row r="151" spans="3:27" s="613" customFormat="1">
      <c r="C151" s="614"/>
      <c r="K151" s="617"/>
      <c r="L151" s="617"/>
      <c r="N151" s="618"/>
      <c r="O151" s="618"/>
      <c r="P151" s="618"/>
      <c r="Q151" s="619"/>
      <c r="R151" s="619"/>
      <c r="S151" s="619"/>
      <c r="T151" s="619"/>
      <c r="U151" s="619"/>
      <c r="V151" s="619"/>
      <c r="W151" s="619"/>
      <c r="X151" s="619"/>
      <c r="Y151" s="623"/>
      <c r="Z151" s="623"/>
      <c r="AA151" s="623"/>
    </row>
    <row r="152" spans="3:27" s="613" customFormat="1">
      <c r="C152" s="614"/>
      <c r="K152" s="617"/>
      <c r="L152" s="617"/>
      <c r="N152" s="618"/>
      <c r="O152" s="618"/>
      <c r="P152" s="618"/>
      <c r="Q152" s="619"/>
      <c r="R152" s="619"/>
      <c r="S152" s="619"/>
      <c r="T152" s="619"/>
      <c r="U152" s="619"/>
      <c r="V152" s="619"/>
      <c r="W152" s="619"/>
      <c r="X152" s="619"/>
      <c r="Y152" s="623"/>
      <c r="Z152" s="623"/>
      <c r="AA152" s="623"/>
    </row>
    <row r="153" spans="3:27" s="613" customFormat="1">
      <c r="C153" s="614"/>
      <c r="K153" s="617"/>
      <c r="L153" s="617"/>
      <c r="N153" s="618"/>
      <c r="O153" s="618"/>
      <c r="P153" s="618"/>
      <c r="Q153" s="619"/>
      <c r="R153" s="619"/>
      <c r="S153" s="619"/>
      <c r="T153" s="619"/>
      <c r="U153" s="619"/>
      <c r="V153" s="619"/>
      <c r="W153" s="619"/>
      <c r="X153" s="619"/>
      <c r="Y153" s="623"/>
      <c r="Z153" s="623"/>
      <c r="AA153" s="623"/>
    </row>
    <row r="154" spans="3:27" s="613" customFormat="1">
      <c r="C154" s="614"/>
      <c r="K154" s="617"/>
      <c r="L154" s="617"/>
      <c r="N154" s="618"/>
      <c r="O154" s="618"/>
      <c r="P154" s="618"/>
      <c r="Q154" s="619"/>
      <c r="R154" s="619"/>
      <c r="S154" s="619"/>
      <c r="T154" s="619"/>
      <c r="U154" s="619"/>
      <c r="V154" s="619"/>
      <c r="W154" s="619"/>
      <c r="X154" s="619"/>
      <c r="Y154" s="623"/>
      <c r="Z154" s="623"/>
      <c r="AA154" s="623"/>
    </row>
    <row r="155" spans="3:27" s="613" customFormat="1">
      <c r="C155" s="614"/>
      <c r="K155" s="617"/>
      <c r="L155" s="617"/>
      <c r="N155" s="618"/>
      <c r="O155" s="618"/>
      <c r="P155" s="618"/>
      <c r="Q155" s="619"/>
      <c r="R155" s="619"/>
      <c r="S155" s="619"/>
      <c r="T155" s="619"/>
      <c r="U155" s="619"/>
      <c r="V155" s="619"/>
      <c r="W155" s="619"/>
      <c r="X155" s="619"/>
      <c r="Y155" s="623"/>
      <c r="Z155" s="623"/>
      <c r="AA155" s="623"/>
    </row>
    <row r="156" spans="3:27" s="613" customFormat="1">
      <c r="C156" s="614"/>
      <c r="K156" s="617"/>
      <c r="L156" s="617"/>
      <c r="N156" s="618"/>
      <c r="O156" s="618"/>
      <c r="P156" s="618"/>
      <c r="Q156" s="619"/>
      <c r="R156" s="619"/>
      <c r="S156" s="619"/>
      <c r="T156" s="619"/>
      <c r="U156" s="619"/>
      <c r="V156" s="619"/>
      <c r="W156" s="619"/>
      <c r="X156" s="619"/>
      <c r="Y156" s="623"/>
      <c r="Z156" s="623"/>
      <c r="AA156" s="623"/>
    </row>
    <row r="157" spans="3:27" s="613" customFormat="1">
      <c r="C157" s="614"/>
      <c r="K157" s="617"/>
      <c r="L157" s="617"/>
      <c r="N157" s="618"/>
      <c r="O157" s="618"/>
      <c r="P157" s="618"/>
      <c r="Q157" s="619"/>
      <c r="R157" s="619"/>
      <c r="S157" s="619"/>
      <c r="T157" s="619"/>
      <c r="U157" s="619"/>
      <c r="V157" s="619"/>
      <c r="W157" s="619"/>
      <c r="X157" s="619"/>
      <c r="Y157" s="623"/>
      <c r="Z157" s="623"/>
      <c r="AA157" s="623"/>
    </row>
    <row r="158" spans="3:27" s="613" customFormat="1">
      <c r="C158" s="614"/>
      <c r="K158" s="617"/>
      <c r="L158" s="617"/>
      <c r="N158" s="618"/>
      <c r="O158" s="618"/>
      <c r="P158" s="618"/>
      <c r="Q158" s="619"/>
      <c r="R158" s="619"/>
      <c r="S158" s="619"/>
      <c r="T158" s="619"/>
      <c r="U158" s="619"/>
      <c r="V158" s="619"/>
      <c r="W158" s="619"/>
      <c r="X158" s="619"/>
      <c r="Y158" s="623"/>
      <c r="Z158" s="623"/>
      <c r="AA158" s="623"/>
    </row>
    <row r="159" spans="3:27" s="613" customFormat="1">
      <c r="C159" s="614"/>
      <c r="K159" s="617"/>
      <c r="L159" s="617"/>
      <c r="N159" s="618"/>
      <c r="O159" s="618"/>
      <c r="P159" s="618"/>
      <c r="Q159" s="619"/>
      <c r="R159" s="619"/>
      <c r="S159" s="619"/>
      <c r="T159" s="619"/>
      <c r="U159" s="619"/>
      <c r="V159" s="619"/>
      <c r="W159" s="619"/>
      <c r="X159" s="619"/>
      <c r="Y159" s="623"/>
      <c r="Z159" s="623"/>
      <c r="AA159" s="623"/>
    </row>
    <row r="160" spans="3:27" s="613" customFormat="1">
      <c r="C160" s="614"/>
      <c r="K160" s="617"/>
      <c r="L160" s="617"/>
      <c r="N160" s="618"/>
      <c r="O160" s="618"/>
      <c r="P160" s="618"/>
      <c r="Q160" s="619"/>
      <c r="R160" s="619"/>
      <c r="S160" s="619"/>
      <c r="T160" s="619"/>
      <c r="U160" s="619"/>
      <c r="V160" s="619"/>
      <c r="W160" s="619"/>
      <c r="X160" s="619"/>
      <c r="Y160" s="623"/>
      <c r="Z160" s="623"/>
      <c r="AA160" s="623"/>
    </row>
    <row r="161" spans="3:27" s="613" customFormat="1">
      <c r="C161" s="614"/>
      <c r="K161" s="617"/>
      <c r="L161" s="617"/>
      <c r="N161" s="618"/>
      <c r="O161" s="618"/>
      <c r="P161" s="618"/>
      <c r="Q161" s="619"/>
      <c r="R161" s="619"/>
      <c r="S161" s="619"/>
      <c r="T161" s="619"/>
      <c r="U161" s="619"/>
      <c r="V161" s="619"/>
      <c r="W161" s="619"/>
      <c r="X161" s="619"/>
      <c r="Y161" s="623"/>
      <c r="Z161" s="623"/>
      <c r="AA161" s="623"/>
    </row>
    <row r="162" spans="3:27" s="613" customFormat="1">
      <c r="C162" s="614"/>
      <c r="K162" s="617"/>
      <c r="L162" s="617"/>
      <c r="N162" s="618"/>
      <c r="O162" s="618"/>
      <c r="P162" s="618"/>
      <c r="Q162" s="619"/>
      <c r="R162" s="619"/>
      <c r="S162" s="619"/>
      <c r="T162" s="619"/>
      <c r="U162" s="619"/>
      <c r="V162" s="619"/>
      <c r="W162" s="619"/>
      <c r="X162" s="619"/>
      <c r="Y162" s="623"/>
      <c r="Z162" s="623"/>
      <c r="AA162" s="623"/>
    </row>
    <row r="163" spans="3:27" s="613" customFormat="1">
      <c r="C163" s="614"/>
      <c r="K163" s="617"/>
      <c r="L163" s="617"/>
      <c r="N163" s="618"/>
      <c r="O163" s="618"/>
      <c r="P163" s="618"/>
      <c r="Q163" s="619"/>
      <c r="R163" s="619"/>
      <c r="S163" s="619"/>
      <c r="T163" s="619"/>
      <c r="U163" s="619"/>
      <c r="V163" s="619"/>
      <c r="W163" s="619"/>
      <c r="X163" s="619"/>
      <c r="Y163" s="623"/>
      <c r="Z163" s="623"/>
      <c r="AA163" s="623"/>
    </row>
    <row r="164" spans="3:27" s="613" customFormat="1">
      <c r="C164" s="614"/>
      <c r="K164" s="617"/>
      <c r="L164" s="617"/>
      <c r="N164" s="618"/>
      <c r="O164" s="618"/>
      <c r="P164" s="618"/>
      <c r="Q164" s="619"/>
      <c r="R164" s="619"/>
      <c r="S164" s="619"/>
      <c r="T164" s="619"/>
      <c r="U164" s="619"/>
      <c r="V164" s="619"/>
      <c r="W164" s="619"/>
      <c r="X164" s="619"/>
      <c r="Y164" s="623"/>
      <c r="Z164" s="623"/>
      <c r="AA164" s="623"/>
    </row>
    <row r="165" spans="3:27" s="613" customFormat="1">
      <c r="C165" s="614"/>
      <c r="K165" s="617"/>
      <c r="L165" s="617"/>
      <c r="N165" s="618"/>
      <c r="O165" s="618"/>
      <c r="P165" s="618"/>
      <c r="Q165" s="619"/>
      <c r="R165" s="619"/>
      <c r="S165" s="619"/>
      <c r="T165" s="619"/>
      <c r="U165" s="619"/>
      <c r="V165" s="619"/>
      <c r="W165" s="619"/>
      <c r="X165" s="619"/>
      <c r="Y165" s="623"/>
      <c r="Z165" s="623"/>
      <c r="AA165" s="623"/>
    </row>
    <row r="166" spans="3:27" s="613" customFormat="1">
      <c r="C166" s="614"/>
      <c r="K166" s="617"/>
      <c r="L166" s="617"/>
      <c r="N166" s="618"/>
      <c r="O166" s="618"/>
      <c r="P166" s="618"/>
      <c r="Q166" s="619"/>
      <c r="R166" s="619"/>
      <c r="S166" s="619"/>
      <c r="T166" s="619"/>
      <c r="U166" s="619"/>
      <c r="V166" s="619"/>
      <c r="W166" s="619"/>
      <c r="X166" s="619"/>
      <c r="Y166" s="623"/>
      <c r="Z166" s="623"/>
      <c r="AA166" s="623"/>
    </row>
    <row r="167" spans="3:27" s="613" customFormat="1">
      <c r="C167" s="614"/>
      <c r="K167" s="617"/>
      <c r="L167" s="617"/>
      <c r="N167" s="618"/>
      <c r="O167" s="618"/>
      <c r="P167" s="618"/>
      <c r="Q167" s="619"/>
      <c r="R167" s="619"/>
      <c r="S167" s="619"/>
      <c r="T167" s="619"/>
      <c r="U167" s="619"/>
      <c r="V167" s="619"/>
      <c r="W167" s="619"/>
      <c r="X167" s="619"/>
      <c r="Y167" s="623"/>
      <c r="Z167" s="623"/>
      <c r="AA167" s="623"/>
    </row>
    <row r="168" spans="3:27" s="613" customFormat="1">
      <c r="C168" s="614"/>
      <c r="K168" s="617"/>
      <c r="L168" s="617"/>
      <c r="N168" s="618"/>
      <c r="O168" s="618"/>
      <c r="P168" s="618"/>
      <c r="Q168" s="619"/>
      <c r="R168" s="619"/>
      <c r="S168" s="619"/>
      <c r="T168" s="619"/>
      <c r="U168" s="619"/>
      <c r="V168" s="619"/>
      <c r="W168" s="619"/>
      <c r="X168" s="619"/>
      <c r="Y168" s="623"/>
      <c r="Z168" s="623"/>
      <c r="AA168" s="623"/>
    </row>
    <row r="169" spans="3:27" s="613" customFormat="1">
      <c r="C169" s="614"/>
      <c r="K169" s="617"/>
      <c r="L169" s="617"/>
      <c r="N169" s="618"/>
      <c r="O169" s="618"/>
      <c r="P169" s="618"/>
      <c r="Q169" s="619"/>
      <c r="R169" s="619"/>
      <c r="S169" s="619"/>
      <c r="T169" s="619"/>
      <c r="U169" s="619"/>
      <c r="V169" s="619"/>
      <c r="W169" s="619"/>
      <c r="X169" s="619"/>
      <c r="Y169" s="623"/>
      <c r="Z169" s="623"/>
      <c r="AA169" s="623"/>
    </row>
    <row r="170" spans="3:27" s="613" customFormat="1">
      <c r="C170" s="614"/>
      <c r="K170" s="617"/>
      <c r="L170" s="617"/>
      <c r="N170" s="618"/>
      <c r="O170" s="618"/>
      <c r="P170" s="618"/>
      <c r="Q170" s="619"/>
      <c r="R170" s="619"/>
      <c r="S170" s="619"/>
      <c r="T170" s="619"/>
      <c r="U170" s="619"/>
      <c r="V170" s="619"/>
      <c r="W170" s="619"/>
      <c r="X170" s="619"/>
      <c r="Y170" s="623"/>
      <c r="Z170" s="623"/>
      <c r="AA170" s="623"/>
    </row>
    <row r="171" spans="3:27" s="613" customFormat="1">
      <c r="C171" s="614"/>
      <c r="K171" s="617"/>
      <c r="L171" s="617"/>
      <c r="N171" s="618"/>
      <c r="O171" s="618"/>
      <c r="P171" s="618"/>
      <c r="Q171" s="619"/>
      <c r="R171" s="619"/>
      <c r="S171" s="619"/>
      <c r="T171" s="619"/>
      <c r="U171" s="619"/>
      <c r="V171" s="619"/>
      <c r="W171" s="619"/>
      <c r="X171" s="619"/>
      <c r="Y171" s="623"/>
      <c r="Z171" s="623"/>
      <c r="AA171" s="623"/>
    </row>
    <row r="172" spans="3:27" s="613" customFormat="1">
      <c r="C172" s="614"/>
      <c r="K172" s="617"/>
      <c r="L172" s="617"/>
      <c r="N172" s="618"/>
      <c r="O172" s="618"/>
      <c r="P172" s="618"/>
      <c r="Q172" s="619"/>
      <c r="R172" s="619"/>
      <c r="S172" s="619"/>
      <c r="T172" s="619"/>
      <c r="U172" s="619"/>
      <c r="V172" s="619"/>
      <c r="W172" s="619"/>
      <c r="X172" s="619"/>
      <c r="Y172" s="623"/>
      <c r="Z172" s="623"/>
      <c r="AA172" s="623"/>
    </row>
    <row r="173" spans="3:27" s="613" customFormat="1">
      <c r="C173" s="614"/>
      <c r="K173" s="617"/>
      <c r="L173" s="617"/>
      <c r="N173" s="618"/>
      <c r="O173" s="618"/>
      <c r="P173" s="618"/>
      <c r="Q173" s="619"/>
      <c r="R173" s="619"/>
      <c r="S173" s="619"/>
      <c r="T173" s="619"/>
      <c r="U173" s="619"/>
      <c r="V173" s="619"/>
      <c r="W173" s="619"/>
      <c r="X173" s="619"/>
      <c r="Y173" s="623"/>
      <c r="Z173" s="623"/>
      <c r="AA173" s="623"/>
    </row>
    <row r="174" spans="3:27" s="613" customFormat="1">
      <c r="C174" s="614"/>
      <c r="K174" s="617"/>
      <c r="L174" s="617"/>
      <c r="N174" s="618"/>
      <c r="O174" s="618"/>
      <c r="P174" s="618"/>
      <c r="Q174" s="619"/>
      <c r="R174" s="619"/>
      <c r="S174" s="619"/>
      <c r="T174" s="619"/>
      <c r="U174" s="619"/>
      <c r="V174" s="619"/>
      <c r="W174" s="619"/>
      <c r="X174" s="619"/>
      <c r="Y174" s="623"/>
      <c r="Z174" s="623"/>
      <c r="AA174" s="623"/>
    </row>
    <row r="175" spans="3:27" s="613" customFormat="1">
      <c r="C175" s="614"/>
      <c r="K175" s="617"/>
      <c r="L175" s="617"/>
      <c r="N175" s="618"/>
      <c r="O175" s="618"/>
      <c r="P175" s="618"/>
      <c r="Q175" s="619"/>
      <c r="R175" s="619"/>
      <c r="S175" s="619"/>
      <c r="T175" s="619"/>
      <c r="U175" s="619"/>
      <c r="V175" s="619"/>
      <c r="W175" s="619"/>
      <c r="X175" s="619"/>
      <c r="Y175" s="623"/>
      <c r="Z175" s="623"/>
      <c r="AA175" s="623"/>
    </row>
    <row r="176" spans="3:27" s="613" customFormat="1">
      <c r="C176" s="614"/>
      <c r="K176" s="617"/>
      <c r="L176" s="617"/>
      <c r="N176" s="618"/>
      <c r="O176" s="618"/>
      <c r="P176" s="618"/>
      <c r="Q176" s="619"/>
      <c r="R176" s="619"/>
      <c r="S176" s="619"/>
      <c r="T176" s="619"/>
      <c r="U176" s="619"/>
      <c r="V176" s="619"/>
      <c r="W176" s="619"/>
      <c r="X176" s="619"/>
      <c r="Y176" s="623"/>
      <c r="Z176" s="623"/>
      <c r="AA176" s="623"/>
    </row>
    <row r="177" spans="3:27" s="613" customFormat="1">
      <c r="C177" s="614"/>
      <c r="K177" s="617"/>
      <c r="L177" s="617"/>
      <c r="N177" s="618"/>
      <c r="O177" s="618"/>
      <c r="P177" s="618"/>
      <c r="Q177" s="619"/>
      <c r="R177" s="619"/>
      <c r="S177" s="619"/>
      <c r="T177" s="619"/>
      <c r="U177" s="619"/>
      <c r="V177" s="619"/>
      <c r="W177" s="619"/>
      <c r="X177" s="619"/>
      <c r="Y177" s="623"/>
      <c r="Z177" s="623"/>
      <c r="AA177" s="623"/>
    </row>
    <row r="178" spans="3:27" s="613" customFormat="1">
      <c r="C178" s="614"/>
      <c r="K178" s="617"/>
      <c r="L178" s="617"/>
      <c r="N178" s="618"/>
      <c r="O178" s="618"/>
      <c r="P178" s="618"/>
      <c r="Q178" s="619"/>
      <c r="R178" s="619"/>
      <c r="S178" s="619"/>
      <c r="T178" s="619"/>
      <c r="U178" s="619"/>
      <c r="V178" s="619"/>
      <c r="W178" s="619"/>
      <c r="X178" s="619"/>
      <c r="Y178" s="623"/>
      <c r="Z178" s="623"/>
      <c r="AA178" s="623"/>
    </row>
    <row r="179" spans="3:27" s="613" customFormat="1">
      <c r="C179" s="614"/>
      <c r="K179" s="617"/>
      <c r="L179" s="617"/>
      <c r="N179" s="618"/>
      <c r="O179" s="618"/>
      <c r="P179" s="618"/>
      <c r="Q179" s="619"/>
      <c r="R179" s="619"/>
      <c r="S179" s="619"/>
      <c r="T179" s="619"/>
      <c r="U179" s="619"/>
      <c r="V179" s="619"/>
      <c r="W179" s="619"/>
      <c r="X179" s="619"/>
      <c r="Y179" s="623"/>
      <c r="Z179" s="623"/>
      <c r="AA179" s="623"/>
    </row>
    <row r="180" spans="3:27" s="613" customFormat="1">
      <c r="C180" s="614"/>
      <c r="K180" s="617"/>
      <c r="L180" s="617"/>
      <c r="N180" s="618"/>
      <c r="O180" s="618"/>
      <c r="P180" s="618"/>
      <c r="Q180" s="619"/>
      <c r="R180" s="619"/>
      <c r="S180" s="619"/>
      <c r="T180" s="619"/>
      <c r="U180" s="619"/>
      <c r="V180" s="619"/>
      <c r="W180" s="619"/>
      <c r="X180" s="619"/>
      <c r="Y180" s="623"/>
      <c r="Z180" s="623"/>
      <c r="AA180" s="623"/>
    </row>
    <row r="181" spans="3:27" s="613" customFormat="1">
      <c r="C181" s="614"/>
      <c r="K181" s="617"/>
      <c r="L181" s="617"/>
      <c r="N181" s="618"/>
      <c r="O181" s="618"/>
      <c r="P181" s="618"/>
      <c r="Q181" s="619"/>
      <c r="R181" s="619"/>
      <c r="S181" s="619"/>
      <c r="T181" s="619"/>
      <c r="U181" s="619"/>
      <c r="V181" s="619"/>
      <c r="W181" s="619"/>
      <c r="X181" s="619"/>
      <c r="Y181" s="623"/>
      <c r="Z181" s="623"/>
      <c r="AA181" s="623"/>
    </row>
    <row r="182" spans="3:27" s="613" customFormat="1">
      <c r="C182" s="614"/>
      <c r="K182" s="617"/>
      <c r="L182" s="617"/>
      <c r="N182" s="618"/>
      <c r="O182" s="618"/>
      <c r="P182" s="618"/>
      <c r="Q182" s="619"/>
      <c r="R182" s="619"/>
      <c r="S182" s="619"/>
      <c r="T182" s="619"/>
      <c r="U182" s="619"/>
      <c r="V182" s="619"/>
      <c r="W182" s="619"/>
      <c r="X182" s="619"/>
      <c r="Y182" s="623"/>
      <c r="Z182" s="623"/>
      <c r="AA182" s="623"/>
    </row>
    <row r="183" spans="3:27" s="613" customFormat="1">
      <c r="C183" s="614"/>
      <c r="K183" s="617"/>
      <c r="L183" s="617"/>
      <c r="N183" s="618"/>
      <c r="O183" s="618"/>
      <c r="P183" s="618"/>
      <c r="Q183" s="619"/>
      <c r="R183" s="619"/>
      <c r="S183" s="619"/>
      <c r="T183" s="619"/>
      <c r="U183" s="619"/>
      <c r="V183" s="619"/>
      <c r="W183" s="619"/>
      <c r="X183" s="619"/>
      <c r="Y183" s="623"/>
      <c r="Z183" s="623"/>
      <c r="AA183" s="623"/>
    </row>
    <row r="184" spans="3:27" s="613" customFormat="1">
      <c r="C184" s="614"/>
      <c r="K184" s="617"/>
      <c r="L184" s="617"/>
      <c r="N184" s="618"/>
      <c r="O184" s="618"/>
      <c r="P184" s="618"/>
      <c r="Q184" s="619"/>
      <c r="R184" s="619"/>
      <c r="S184" s="619"/>
      <c r="T184" s="619"/>
      <c r="U184" s="619"/>
      <c r="V184" s="619"/>
      <c r="W184" s="619"/>
      <c r="X184" s="619"/>
      <c r="Y184" s="623"/>
      <c r="Z184" s="623"/>
      <c r="AA184" s="623"/>
    </row>
    <row r="185" spans="3:27" s="613" customFormat="1">
      <c r="C185" s="614"/>
      <c r="K185" s="617"/>
      <c r="L185" s="617"/>
      <c r="N185" s="618"/>
      <c r="O185" s="618"/>
      <c r="P185" s="618"/>
      <c r="Q185" s="619"/>
      <c r="R185" s="619"/>
      <c r="S185" s="619"/>
      <c r="T185" s="619"/>
      <c r="U185" s="619"/>
      <c r="V185" s="619"/>
      <c r="W185" s="619"/>
      <c r="X185" s="619"/>
      <c r="Y185" s="623"/>
      <c r="Z185" s="623"/>
      <c r="AA185" s="623"/>
    </row>
    <row r="186" spans="3:27" s="613" customFormat="1">
      <c r="C186" s="614"/>
      <c r="K186" s="617"/>
      <c r="L186" s="617"/>
      <c r="N186" s="618"/>
      <c r="O186" s="618"/>
      <c r="P186" s="618"/>
      <c r="Q186" s="619"/>
      <c r="R186" s="619"/>
      <c r="S186" s="619"/>
      <c r="T186" s="619"/>
      <c r="U186" s="619"/>
      <c r="V186" s="619"/>
      <c r="W186" s="619"/>
      <c r="X186" s="619"/>
      <c r="Y186" s="623"/>
      <c r="Z186" s="623"/>
      <c r="AA186" s="623"/>
    </row>
    <row r="187" spans="3:27" s="613" customFormat="1">
      <c r="C187" s="614"/>
      <c r="K187" s="617"/>
      <c r="L187" s="617"/>
      <c r="N187" s="618"/>
      <c r="O187" s="618"/>
      <c r="P187" s="618"/>
      <c r="Q187" s="619"/>
      <c r="R187" s="619"/>
      <c r="S187" s="619"/>
      <c r="T187" s="619"/>
      <c r="U187" s="619"/>
      <c r="V187" s="619"/>
      <c r="W187" s="619"/>
      <c r="X187" s="619"/>
      <c r="Y187" s="623"/>
      <c r="Z187" s="623"/>
      <c r="AA187" s="623"/>
    </row>
    <row r="188" spans="3:27" s="613" customFormat="1">
      <c r="C188" s="614"/>
      <c r="K188" s="617"/>
      <c r="L188" s="617"/>
      <c r="N188" s="618"/>
      <c r="O188" s="618"/>
      <c r="P188" s="618"/>
      <c r="Q188" s="619"/>
      <c r="R188" s="619"/>
      <c r="S188" s="619"/>
      <c r="T188" s="619"/>
      <c r="U188" s="619"/>
      <c r="V188" s="619"/>
      <c r="W188" s="619"/>
      <c r="X188" s="619"/>
      <c r="Y188" s="623"/>
      <c r="Z188" s="623"/>
      <c r="AA188" s="623"/>
    </row>
    <row r="189" spans="3:27" s="613" customFormat="1">
      <c r="C189" s="614"/>
      <c r="K189" s="617"/>
      <c r="L189" s="617"/>
      <c r="N189" s="618"/>
      <c r="O189" s="618"/>
      <c r="P189" s="618"/>
      <c r="Q189" s="619"/>
      <c r="R189" s="619"/>
      <c r="S189" s="619"/>
      <c r="T189" s="619"/>
      <c r="U189" s="619"/>
      <c r="V189" s="619"/>
      <c r="W189" s="619"/>
      <c r="X189" s="619"/>
      <c r="Y189" s="623"/>
      <c r="Z189" s="623"/>
      <c r="AA189" s="623"/>
    </row>
    <row r="190" spans="3:27" s="613" customFormat="1">
      <c r="C190" s="614"/>
      <c r="K190" s="617"/>
      <c r="L190" s="617"/>
      <c r="N190" s="618"/>
      <c r="O190" s="618"/>
      <c r="P190" s="618"/>
      <c r="Q190" s="619"/>
      <c r="R190" s="619"/>
      <c r="S190" s="619"/>
      <c r="T190" s="619"/>
      <c r="U190" s="619"/>
      <c r="V190" s="619"/>
      <c r="W190" s="619"/>
      <c r="X190" s="619"/>
      <c r="Y190" s="623"/>
      <c r="Z190" s="623"/>
      <c r="AA190" s="623"/>
    </row>
    <row r="191" spans="3:27" s="613" customFormat="1">
      <c r="C191" s="614"/>
      <c r="K191" s="617"/>
      <c r="L191" s="617"/>
      <c r="N191" s="618"/>
      <c r="O191" s="618"/>
      <c r="P191" s="618"/>
      <c r="Q191" s="619"/>
      <c r="R191" s="619"/>
      <c r="S191" s="619"/>
      <c r="T191" s="619"/>
      <c r="U191" s="619"/>
      <c r="V191" s="619"/>
      <c r="W191" s="619"/>
      <c r="X191" s="619"/>
      <c r="Y191" s="623"/>
      <c r="Z191" s="623"/>
      <c r="AA191" s="623"/>
    </row>
    <row r="192" spans="3:27" s="613" customFormat="1">
      <c r="C192" s="614"/>
      <c r="K192" s="617"/>
      <c r="L192" s="617"/>
      <c r="N192" s="618"/>
      <c r="O192" s="618"/>
      <c r="P192" s="618"/>
      <c r="Q192" s="619"/>
      <c r="R192" s="619"/>
      <c r="S192" s="619"/>
      <c r="T192" s="619"/>
      <c r="U192" s="619"/>
      <c r="V192" s="619"/>
      <c r="W192" s="619"/>
      <c r="X192" s="619"/>
      <c r="Y192" s="623"/>
      <c r="Z192" s="623"/>
      <c r="AA192" s="623"/>
    </row>
    <row r="193" spans="3:27" s="613" customFormat="1">
      <c r="C193" s="614"/>
      <c r="K193" s="617"/>
      <c r="L193" s="617"/>
      <c r="N193" s="618"/>
      <c r="O193" s="618"/>
      <c r="P193" s="618"/>
      <c r="Q193" s="619"/>
      <c r="R193" s="619"/>
      <c r="S193" s="619"/>
      <c r="T193" s="619"/>
      <c r="U193" s="619"/>
      <c r="V193" s="619"/>
      <c r="W193" s="619"/>
      <c r="X193" s="619"/>
      <c r="Y193" s="623"/>
      <c r="Z193" s="623"/>
      <c r="AA193" s="623"/>
    </row>
    <row r="194" spans="3:27" s="613" customFormat="1">
      <c r="C194" s="614"/>
      <c r="K194" s="617"/>
      <c r="L194" s="617"/>
      <c r="N194" s="618"/>
      <c r="O194" s="618"/>
      <c r="P194" s="618"/>
      <c r="Q194" s="619"/>
      <c r="R194" s="619"/>
      <c r="S194" s="619"/>
      <c r="T194" s="619"/>
      <c r="U194" s="619"/>
      <c r="V194" s="619"/>
      <c r="W194" s="619"/>
      <c r="X194" s="619"/>
      <c r="Y194" s="623"/>
      <c r="Z194" s="623"/>
      <c r="AA194" s="623"/>
    </row>
    <row r="195" spans="3:27" s="613" customFormat="1">
      <c r="C195" s="614"/>
      <c r="K195" s="617"/>
      <c r="L195" s="617"/>
      <c r="N195" s="618"/>
      <c r="O195" s="618"/>
      <c r="P195" s="618"/>
      <c r="Q195" s="619"/>
      <c r="R195" s="619"/>
      <c r="S195" s="619"/>
      <c r="T195" s="619"/>
      <c r="U195" s="619"/>
      <c r="V195" s="619"/>
      <c r="W195" s="619"/>
      <c r="X195" s="619"/>
      <c r="Y195" s="623"/>
      <c r="Z195" s="623"/>
      <c r="AA195" s="623"/>
    </row>
    <row r="196" spans="3:27" s="613" customFormat="1">
      <c r="C196" s="614"/>
      <c r="K196" s="617"/>
      <c r="L196" s="617"/>
      <c r="N196" s="618"/>
      <c r="O196" s="618"/>
      <c r="P196" s="618"/>
      <c r="Q196" s="619"/>
      <c r="R196" s="619"/>
      <c r="S196" s="619"/>
      <c r="T196" s="619"/>
      <c r="U196" s="619"/>
      <c r="V196" s="619"/>
      <c r="W196" s="619"/>
      <c r="X196" s="619"/>
      <c r="Y196" s="623"/>
      <c r="Z196" s="623"/>
      <c r="AA196" s="623"/>
    </row>
    <row r="197" spans="3:27" s="613" customFormat="1">
      <c r="C197" s="614"/>
      <c r="K197" s="617"/>
      <c r="L197" s="617"/>
      <c r="N197" s="618"/>
      <c r="O197" s="618"/>
      <c r="P197" s="618"/>
      <c r="Q197" s="619"/>
      <c r="R197" s="619"/>
      <c r="S197" s="619"/>
      <c r="T197" s="619"/>
      <c r="U197" s="619"/>
      <c r="V197" s="619"/>
      <c r="W197" s="619"/>
      <c r="X197" s="619"/>
      <c r="Y197" s="623"/>
      <c r="Z197" s="623"/>
      <c r="AA197" s="623"/>
    </row>
    <row r="198" spans="3:27" s="613" customFormat="1">
      <c r="C198" s="614"/>
      <c r="K198" s="617"/>
      <c r="L198" s="617"/>
      <c r="N198" s="618"/>
      <c r="O198" s="618"/>
      <c r="P198" s="618"/>
      <c r="Q198" s="619"/>
      <c r="R198" s="619"/>
      <c r="S198" s="619"/>
      <c r="T198" s="619"/>
      <c r="U198" s="619"/>
      <c r="V198" s="619"/>
      <c r="W198" s="619"/>
      <c r="X198" s="619"/>
      <c r="Y198" s="623"/>
      <c r="Z198" s="623"/>
      <c r="AA198" s="623"/>
    </row>
    <row r="199" spans="3:27" s="613" customFormat="1">
      <c r="C199" s="614"/>
      <c r="K199" s="617"/>
      <c r="L199" s="617"/>
      <c r="N199" s="618"/>
      <c r="O199" s="618"/>
      <c r="P199" s="618"/>
      <c r="Q199" s="619"/>
      <c r="R199" s="619"/>
      <c r="S199" s="619"/>
      <c r="T199" s="619"/>
      <c r="U199" s="619"/>
      <c r="V199" s="619"/>
      <c r="W199" s="619"/>
      <c r="X199" s="619"/>
      <c r="Y199" s="623"/>
      <c r="Z199" s="623"/>
      <c r="AA199" s="623"/>
    </row>
    <row r="200" spans="3:27" s="613" customFormat="1">
      <c r="C200" s="614"/>
      <c r="K200" s="617"/>
      <c r="L200" s="617"/>
      <c r="N200" s="618"/>
      <c r="O200" s="618"/>
      <c r="P200" s="618"/>
      <c r="Q200" s="619"/>
      <c r="R200" s="619"/>
      <c r="S200" s="619"/>
      <c r="T200" s="619"/>
      <c r="U200" s="619"/>
      <c r="V200" s="619"/>
      <c r="W200" s="619"/>
      <c r="X200" s="619"/>
      <c r="Y200" s="623"/>
      <c r="Z200" s="623"/>
      <c r="AA200" s="623"/>
    </row>
    <row r="201" spans="3:27" s="613" customFormat="1">
      <c r="C201" s="614"/>
      <c r="K201" s="617"/>
      <c r="L201" s="617"/>
      <c r="N201" s="618"/>
      <c r="O201" s="618"/>
      <c r="P201" s="618"/>
      <c r="Q201" s="619"/>
      <c r="R201" s="619"/>
      <c r="S201" s="619"/>
      <c r="T201" s="619"/>
      <c r="U201" s="619"/>
      <c r="V201" s="619"/>
      <c r="W201" s="619"/>
      <c r="X201" s="619"/>
      <c r="Y201" s="623"/>
      <c r="Z201" s="623"/>
      <c r="AA201" s="623"/>
    </row>
    <row r="202" spans="3:27" s="613" customFormat="1">
      <c r="C202" s="614"/>
      <c r="K202" s="617"/>
      <c r="L202" s="617"/>
      <c r="N202" s="618"/>
      <c r="O202" s="618"/>
      <c r="P202" s="618"/>
      <c r="Q202" s="619"/>
      <c r="R202" s="619"/>
      <c r="S202" s="619"/>
      <c r="T202" s="619"/>
      <c r="U202" s="619"/>
      <c r="V202" s="619"/>
      <c r="W202" s="619"/>
      <c r="X202" s="619"/>
      <c r="Y202" s="623"/>
      <c r="Z202" s="623"/>
      <c r="AA202" s="623"/>
    </row>
    <row r="203" spans="3:27" s="613" customFormat="1">
      <c r="C203" s="614"/>
      <c r="K203" s="617"/>
      <c r="L203" s="617"/>
      <c r="N203" s="618"/>
      <c r="O203" s="618"/>
      <c r="P203" s="618"/>
      <c r="Q203" s="619"/>
      <c r="R203" s="619"/>
      <c r="S203" s="619"/>
      <c r="T203" s="619"/>
      <c r="U203" s="619"/>
      <c r="V203" s="619"/>
      <c r="W203" s="619"/>
      <c r="X203" s="619"/>
      <c r="Y203" s="623"/>
      <c r="Z203" s="623"/>
      <c r="AA203" s="623"/>
    </row>
    <row r="204" spans="3:27" s="613" customFormat="1">
      <c r="C204" s="614"/>
      <c r="K204" s="617"/>
      <c r="L204" s="617"/>
      <c r="N204" s="618"/>
      <c r="O204" s="618"/>
      <c r="P204" s="618"/>
      <c r="Q204" s="619"/>
      <c r="R204" s="619"/>
      <c r="S204" s="619"/>
      <c r="T204" s="619"/>
      <c r="U204" s="619"/>
      <c r="V204" s="619"/>
      <c r="W204" s="619"/>
      <c r="X204" s="619"/>
      <c r="Y204" s="623"/>
      <c r="Z204" s="623"/>
      <c r="AA204" s="623"/>
    </row>
    <row r="205" spans="3:27" s="613" customFormat="1">
      <c r="C205" s="614"/>
      <c r="K205" s="617"/>
      <c r="L205" s="617"/>
      <c r="N205" s="618"/>
      <c r="O205" s="618"/>
      <c r="P205" s="618"/>
      <c r="Q205" s="619"/>
      <c r="R205" s="619"/>
      <c r="S205" s="619"/>
      <c r="T205" s="619"/>
      <c r="U205" s="619"/>
      <c r="V205" s="619"/>
      <c r="W205" s="619"/>
      <c r="X205" s="619"/>
      <c r="Y205" s="623"/>
      <c r="Z205" s="623"/>
      <c r="AA205" s="623"/>
    </row>
    <row r="206" spans="3:27" s="613" customFormat="1">
      <c r="C206" s="614"/>
      <c r="K206" s="617"/>
      <c r="L206" s="617"/>
      <c r="N206" s="618"/>
      <c r="O206" s="618"/>
      <c r="P206" s="618"/>
      <c r="Q206" s="619"/>
      <c r="R206" s="619"/>
      <c r="S206" s="619"/>
      <c r="T206" s="619"/>
      <c r="U206" s="619"/>
      <c r="V206" s="619"/>
      <c r="W206" s="619"/>
      <c r="X206" s="619"/>
      <c r="Y206" s="623"/>
      <c r="Z206" s="623"/>
      <c r="AA206" s="623"/>
    </row>
    <row r="207" spans="3:27" s="613" customFormat="1">
      <c r="C207" s="614"/>
      <c r="K207" s="617"/>
      <c r="L207" s="617"/>
      <c r="N207" s="618"/>
      <c r="O207" s="618"/>
      <c r="P207" s="618"/>
      <c r="Q207" s="619"/>
      <c r="R207" s="619"/>
      <c r="S207" s="619"/>
      <c r="T207" s="619"/>
      <c r="U207" s="619"/>
      <c r="V207" s="619"/>
      <c r="W207" s="619"/>
      <c r="X207" s="619"/>
      <c r="Y207" s="623"/>
      <c r="Z207" s="623"/>
      <c r="AA207" s="623"/>
    </row>
    <row r="208" spans="3:27" s="613" customFormat="1">
      <c r="C208" s="614"/>
      <c r="K208" s="617"/>
      <c r="L208" s="617"/>
      <c r="N208" s="618"/>
      <c r="O208" s="618"/>
      <c r="P208" s="618"/>
      <c r="Q208" s="619"/>
      <c r="R208" s="619"/>
      <c r="S208" s="619"/>
      <c r="T208" s="619"/>
      <c r="U208" s="619"/>
      <c r="V208" s="619"/>
      <c r="W208" s="619"/>
      <c r="X208" s="619"/>
      <c r="Y208" s="623"/>
      <c r="Z208" s="623"/>
      <c r="AA208" s="623"/>
    </row>
    <row r="209" spans="3:27" s="613" customFormat="1">
      <c r="C209" s="614"/>
      <c r="K209" s="617"/>
      <c r="L209" s="617"/>
      <c r="N209" s="618"/>
      <c r="O209" s="618"/>
      <c r="P209" s="618"/>
      <c r="Q209" s="619"/>
      <c r="R209" s="619"/>
      <c r="S209" s="619"/>
      <c r="T209" s="619"/>
      <c r="U209" s="619"/>
      <c r="V209" s="619"/>
      <c r="W209" s="619"/>
      <c r="X209" s="619"/>
      <c r="Y209" s="623"/>
      <c r="Z209" s="623"/>
      <c r="AA209" s="623"/>
    </row>
    <row r="210" spans="3:27" s="613" customFormat="1">
      <c r="C210" s="614"/>
      <c r="K210" s="617"/>
      <c r="L210" s="617"/>
      <c r="N210" s="618"/>
      <c r="O210" s="618"/>
      <c r="P210" s="618"/>
      <c r="Q210" s="619"/>
      <c r="R210" s="619"/>
      <c r="S210" s="619"/>
      <c r="T210" s="619"/>
      <c r="U210" s="619"/>
      <c r="V210" s="619"/>
      <c r="W210" s="619"/>
      <c r="X210" s="619"/>
      <c r="Y210" s="623"/>
      <c r="Z210" s="623"/>
      <c r="AA210" s="623"/>
    </row>
    <row r="211" spans="3:27" s="613" customFormat="1">
      <c r="C211" s="614"/>
      <c r="K211" s="617"/>
      <c r="L211" s="617"/>
      <c r="N211" s="618"/>
      <c r="O211" s="618"/>
      <c r="P211" s="618"/>
      <c r="Q211" s="619"/>
      <c r="R211" s="619"/>
      <c r="S211" s="619"/>
      <c r="T211" s="619"/>
      <c r="U211" s="619"/>
      <c r="V211" s="619"/>
      <c r="W211" s="619"/>
      <c r="X211" s="619"/>
      <c r="Y211" s="623"/>
      <c r="Z211" s="623"/>
      <c r="AA211" s="623"/>
    </row>
    <row r="212" spans="3:27" s="613" customFormat="1">
      <c r="C212" s="614"/>
      <c r="K212" s="617"/>
      <c r="L212" s="617"/>
      <c r="N212" s="618"/>
      <c r="O212" s="618"/>
      <c r="P212" s="618"/>
      <c r="Q212" s="619"/>
      <c r="R212" s="619"/>
      <c r="S212" s="619"/>
      <c r="T212" s="619"/>
      <c r="U212" s="619"/>
      <c r="V212" s="619"/>
      <c r="W212" s="619"/>
      <c r="X212" s="619"/>
      <c r="Y212" s="623"/>
      <c r="Z212" s="623"/>
      <c r="AA212" s="623"/>
    </row>
    <row r="213" spans="3:27" s="613" customFormat="1">
      <c r="C213" s="614"/>
      <c r="K213" s="617"/>
      <c r="L213" s="617"/>
      <c r="N213" s="618"/>
      <c r="O213" s="618"/>
      <c r="P213" s="618"/>
      <c r="Q213" s="619"/>
      <c r="R213" s="619"/>
      <c r="S213" s="619"/>
      <c r="T213" s="619"/>
      <c r="U213" s="619"/>
      <c r="V213" s="619"/>
      <c r="W213" s="619"/>
      <c r="X213" s="619"/>
      <c r="Y213" s="623"/>
      <c r="Z213" s="623"/>
      <c r="AA213" s="623"/>
    </row>
    <row r="214" spans="3:27" s="613" customFormat="1">
      <c r="C214" s="614"/>
      <c r="K214" s="617"/>
      <c r="L214" s="617"/>
      <c r="N214" s="618"/>
      <c r="O214" s="618"/>
      <c r="P214" s="618"/>
      <c r="Q214" s="619"/>
      <c r="R214" s="619"/>
      <c r="S214" s="619"/>
      <c r="T214" s="619"/>
      <c r="U214" s="619"/>
      <c r="V214" s="619"/>
      <c r="W214" s="619"/>
      <c r="X214" s="619"/>
      <c r="Y214" s="623"/>
      <c r="Z214" s="623"/>
      <c r="AA214" s="623"/>
    </row>
    <row r="215" spans="3:27" s="613" customFormat="1">
      <c r="C215" s="614"/>
      <c r="K215" s="617"/>
      <c r="L215" s="617"/>
      <c r="N215" s="618"/>
      <c r="O215" s="618"/>
      <c r="P215" s="618"/>
      <c r="Q215" s="619"/>
      <c r="R215" s="619"/>
      <c r="S215" s="619"/>
      <c r="T215" s="619"/>
      <c r="U215" s="619"/>
      <c r="V215" s="619"/>
      <c r="W215" s="619"/>
      <c r="X215" s="619"/>
      <c r="Y215" s="623"/>
      <c r="Z215" s="623"/>
      <c r="AA215" s="623"/>
    </row>
    <row r="216" spans="3:27" s="613" customFormat="1">
      <c r="C216" s="614"/>
      <c r="K216" s="617"/>
      <c r="L216" s="617"/>
      <c r="N216" s="618"/>
      <c r="O216" s="618"/>
      <c r="P216" s="618"/>
      <c r="Q216" s="619"/>
      <c r="R216" s="619"/>
      <c r="S216" s="619"/>
      <c r="T216" s="619"/>
      <c r="U216" s="619"/>
      <c r="V216" s="619"/>
      <c r="W216" s="619"/>
      <c r="X216" s="619"/>
      <c r="Y216" s="623"/>
      <c r="Z216" s="623"/>
      <c r="AA216" s="623"/>
    </row>
    <row r="217" spans="3:27" s="613" customFormat="1">
      <c r="C217" s="614"/>
      <c r="K217" s="617"/>
      <c r="L217" s="617"/>
      <c r="N217" s="618"/>
      <c r="O217" s="618"/>
      <c r="P217" s="618"/>
      <c r="Q217" s="619"/>
      <c r="R217" s="619"/>
      <c r="S217" s="619"/>
      <c r="T217" s="619"/>
      <c r="U217" s="619"/>
      <c r="V217" s="619"/>
      <c r="W217" s="619"/>
      <c r="X217" s="619"/>
      <c r="Y217" s="623"/>
      <c r="Z217" s="623"/>
      <c r="AA217" s="623"/>
    </row>
    <row r="218" spans="3:27" s="613" customFormat="1">
      <c r="C218" s="614"/>
      <c r="K218" s="617"/>
      <c r="L218" s="617"/>
      <c r="N218" s="618"/>
      <c r="O218" s="618"/>
      <c r="P218" s="618"/>
      <c r="Q218" s="619"/>
      <c r="R218" s="619"/>
      <c r="S218" s="619"/>
      <c r="T218" s="619"/>
      <c r="U218" s="619"/>
      <c r="V218" s="619"/>
      <c r="W218" s="619"/>
      <c r="X218" s="619"/>
      <c r="Y218" s="623"/>
      <c r="Z218" s="623"/>
      <c r="AA218" s="623"/>
    </row>
    <row r="219" spans="3:27" s="613" customFormat="1">
      <c r="C219" s="614"/>
      <c r="K219" s="617"/>
      <c r="L219" s="617"/>
      <c r="N219" s="618"/>
      <c r="O219" s="618"/>
      <c r="P219" s="618"/>
      <c r="Q219" s="619"/>
      <c r="R219" s="619"/>
      <c r="S219" s="619"/>
      <c r="T219" s="619"/>
      <c r="U219" s="619"/>
      <c r="V219" s="619"/>
      <c r="W219" s="619"/>
      <c r="X219" s="619"/>
      <c r="Y219" s="623"/>
      <c r="Z219" s="623"/>
      <c r="AA219" s="623"/>
    </row>
    <row r="220" spans="3:27" s="613" customFormat="1">
      <c r="C220" s="614"/>
      <c r="K220" s="617"/>
      <c r="L220" s="617"/>
      <c r="N220" s="618"/>
      <c r="O220" s="618"/>
      <c r="P220" s="618"/>
      <c r="Q220" s="619"/>
      <c r="R220" s="619"/>
      <c r="S220" s="619"/>
      <c r="T220" s="619"/>
      <c r="U220" s="619"/>
      <c r="V220" s="619"/>
      <c r="W220" s="619"/>
      <c r="X220" s="619"/>
      <c r="Y220" s="623"/>
      <c r="Z220" s="623"/>
      <c r="AA220" s="623"/>
    </row>
    <row r="221" spans="3:27" s="613" customFormat="1">
      <c r="C221" s="614"/>
      <c r="K221" s="617"/>
      <c r="L221" s="617"/>
      <c r="N221" s="618"/>
      <c r="O221" s="618"/>
      <c r="P221" s="618"/>
      <c r="Q221" s="619"/>
      <c r="R221" s="619"/>
      <c r="S221" s="619"/>
      <c r="T221" s="619"/>
      <c r="U221" s="619"/>
      <c r="V221" s="619"/>
      <c r="W221" s="619"/>
      <c r="X221" s="619"/>
      <c r="Y221" s="623"/>
      <c r="Z221" s="623"/>
      <c r="AA221" s="623"/>
    </row>
    <row r="222" spans="3:27" s="613" customFormat="1">
      <c r="C222" s="614"/>
      <c r="K222" s="617"/>
      <c r="L222" s="617"/>
      <c r="N222" s="618"/>
      <c r="O222" s="618"/>
      <c r="P222" s="618"/>
      <c r="Q222" s="619"/>
      <c r="R222" s="619"/>
      <c r="S222" s="619"/>
      <c r="T222" s="619"/>
      <c r="U222" s="619"/>
      <c r="V222" s="619"/>
      <c r="W222" s="619"/>
      <c r="X222" s="619"/>
      <c r="Y222" s="623"/>
      <c r="Z222" s="623"/>
      <c r="AA222" s="623"/>
    </row>
    <row r="223" spans="3:27" s="613" customFormat="1">
      <c r="C223" s="614"/>
      <c r="K223" s="617"/>
      <c r="L223" s="617"/>
      <c r="N223" s="618"/>
      <c r="O223" s="618"/>
      <c r="P223" s="618"/>
      <c r="Q223" s="619"/>
      <c r="R223" s="619"/>
      <c r="S223" s="619"/>
      <c r="T223" s="619"/>
      <c r="U223" s="619"/>
      <c r="V223" s="619"/>
      <c r="W223" s="619"/>
      <c r="X223" s="619"/>
      <c r="Y223" s="623"/>
      <c r="Z223" s="623"/>
      <c r="AA223" s="623"/>
    </row>
    <row r="224" spans="3:27" s="613" customFormat="1">
      <c r="C224" s="614"/>
      <c r="K224" s="617"/>
      <c r="L224" s="617"/>
      <c r="N224" s="618"/>
      <c r="O224" s="618"/>
      <c r="P224" s="618"/>
      <c r="Q224" s="619"/>
      <c r="R224" s="619"/>
      <c r="S224" s="619"/>
      <c r="T224" s="619"/>
      <c r="U224" s="619"/>
      <c r="V224" s="619"/>
      <c r="W224" s="619"/>
      <c r="X224" s="619"/>
      <c r="Y224" s="623"/>
      <c r="Z224" s="623"/>
      <c r="AA224" s="623"/>
    </row>
    <row r="225" spans="3:27" s="613" customFormat="1">
      <c r="C225" s="614"/>
      <c r="K225" s="617"/>
      <c r="L225" s="617"/>
      <c r="N225" s="618"/>
      <c r="O225" s="618"/>
      <c r="P225" s="618"/>
      <c r="Q225" s="619"/>
      <c r="R225" s="619"/>
      <c r="S225" s="619"/>
      <c r="T225" s="619"/>
      <c r="U225" s="619"/>
      <c r="V225" s="619"/>
      <c r="W225" s="619"/>
      <c r="X225" s="619"/>
      <c r="Y225" s="623"/>
      <c r="Z225" s="623"/>
      <c r="AA225" s="623"/>
    </row>
    <row r="226" spans="3:27" s="613" customFormat="1">
      <c r="C226" s="614"/>
      <c r="K226" s="617"/>
      <c r="L226" s="617"/>
      <c r="N226" s="618"/>
      <c r="O226" s="618"/>
      <c r="P226" s="618"/>
      <c r="Q226" s="619"/>
      <c r="R226" s="619"/>
      <c r="S226" s="619"/>
      <c r="T226" s="619"/>
      <c r="U226" s="619"/>
      <c r="V226" s="619"/>
      <c r="W226" s="619"/>
      <c r="X226" s="619"/>
      <c r="Y226" s="623"/>
      <c r="Z226" s="623"/>
      <c r="AA226" s="623"/>
    </row>
    <row r="227" spans="3:27" s="613" customFormat="1">
      <c r="C227" s="614"/>
      <c r="K227" s="617"/>
      <c r="L227" s="617"/>
      <c r="N227" s="618"/>
      <c r="O227" s="618"/>
      <c r="P227" s="618"/>
      <c r="Q227" s="619"/>
      <c r="R227" s="619"/>
      <c r="S227" s="619"/>
      <c r="T227" s="619"/>
      <c r="U227" s="619"/>
      <c r="V227" s="619"/>
      <c r="W227" s="619"/>
      <c r="X227" s="619"/>
      <c r="Y227" s="623"/>
      <c r="Z227" s="623"/>
      <c r="AA227" s="623"/>
    </row>
    <row r="228" spans="3:27" s="613" customFormat="1">
      <c r="C228" s="614"/>
      <c r="K228" s="617"/>
      <c r="L228" s="617"/>
      <c r="N228" s="618"/>
      <c r="O228" s="618"/>
      <c r="P228" s="618"/>
      <c r="Q228" s="619"/>
      <c r="R228" s="619"/>
      <c r="S228" s="619"/>
      <c r="T228" s="619"/>
      <c r="U228" s="619"/>
      <c r="V228" s="619"/>
      <c r="W228" s="619"/>
      <c r="X228" s="619"/>
      <c r="Y228" s="623"/>
      <c r="Z228" s="623"/>
      <c r="AA228" s="623"/>
    </row>
    <row r="229" spans="3:27" s="613" customFormat="1">
      <c r="C229" s="614"/>
      <c r="K229" s="617"/>
      <c r="L229" s="617"/>
      <c r="N229" s="618"/>
      <c r="O229" s="618"/>
      <c r="P229" s="618"/>
      <c r="Q229" s="619"/>
      <c r="R229" s="619"/>
      <c r="S229" s="619"/>
      <c r="T229" s="619"/>
      <c r="U229" s="619"/>
      <c r="V229" s="619"/>
      <c r="W229" s="619"/>
      <c r="X229" s="619"/>
      <c r="Y229" s="623"/>
      <c r="Z229" s="623"/>
      <c r="AA229" s="623"/>
    </row>
    <row r="230" spans="3:27" s="613" customFormat="1">
      <c r="C230" s="614"/>
      <c r="K230" s="617"/>
      <c r="L230" s="617"/>
      <c r="N230" s="618"/>
      <c r="O230" s="618"/>
      <c r="P230" s="618"/>
      <c r="Q230" s="619"/>
      <c r="R230" s="619"/>
      <c r="S230" s="619"/>
      <c r="T230" s="619"/>
      <c r="U230" s="619"/>
      <c r="V230" s="619"/>
      <c r="W230" s="619"/>
      <c r="X230" s="619"/>
      <c r="Y230" s="623"/>
      <c r="Z230" s="623"/>
      <c r="AA230" s="623"/>
    </row>
    <row r="231" spans="3:27" s="613" customFormat="1">
      <c r="C231" s="614"/>
      <c r="K231" s="617"/>
      <c r="L231" s="617"/>
      <c r="N231" s="618"/>
      <c r="O231" s="618"/>
      <c r="P231" s="618"/>
      <c r="Q231" s="619"/>
      <c r="R231" s="619"/>
      <c r="S231" s="619"/>
      <c r="T231" s="619"/>
      <c r="U231" s="619"/>
      <c r="V231" s="619"/>
      <c r="W231" s="619"/>
      <c r="X231" s="619"/>
      <c r="Y231" s="623"/>
      <c r="Z231" s="623"/>
      <c r="AA231" s="623"/>
    </row>
    <row r="232" spans="3:27" s="613" customFormat="1">
      <c r="C232" s="614"/>
      <c r="K232" s="617"/>
      <c r="L232" s="617"/>
      <c r="N232" s="618"/>
      <c r="O232" s="618"/>
      <c r="P232" s="618"/>
      <c r="Q232" s="619"/>
      <c r="R232" s="619"/>
      <c r="S232" s="619"/>
      <c r="T232" s="619"/>
      <c r="U232" s="619"/>
      <c r="V232" s="619"/>
      <c r="W232" s="619"/>
      <c r="X232" s="619"/>
      <c r="Y232" s="623"/>
      <c r="Z232" s="623"/>
      <c r="AA232" s="623"/>
    </row>
    <row r="233" spans="3:27" s="613" customFormat="1">
      <c r="C233" s="614"/>
      <c r="K233" s="617"/>
      <c r="L233" s="617"/>
      <c r="N233" s="618"/>
      <c r="O233" s="618"/>
      <c r="P233" s="618"/>
      <c r="Q233" s="619"/>
      <c r="R233" s="619"/>
      <c r="S233" s="619"/>
      <c r="T233" s="619"/>
      <c r="U233" s="619"/>
      <c r="V233" s="619"/>
      <c r="W233" s="619"/>
      <c r="X233" s="619"/>
      <c r="Y233" s="623"/>
      <c r="Z233" s="623"/>
      <c r="AA233" s="623"/>
    </row>
    <row r="234" spans="3:27" s="613" customFormat="1">
      <c r="C234" s="614"/>
      <c r="K234" s="617"/>
      <c r="L234" s="617"/>
      <c r="N234" s="618"/>
      <c r="O234" s="618"/>
      <c r="P234" s="618"/>
      <c r="Q234" s="619"/>
      <c r="R234" s="619"/>
      <c r="S234" s="619"/>
      <c r="T234" s="619"/>
      <c r="U234" s="619"/>
      <c r="V234" s="619"/>
      <c r="W234" s="619"/>
      <c r="X234" s="619"/>
      <c r="Y234" s="623"/>
      <c r="Z234" s="623"/>
      <c r="AA234" s="623"/>
    </row>
    <row r="235" spans="3:27" s="613" customFormat="1">
      <c r="C235" s="614"/>
      <c r="K235" s="617"/>
      <c r="L235" s="617"/>
      <c r="N235" s="618"/>
      <c r="O235" s="618"/>
      <c r="P235" s="618"/>
      <c r="Q235" s="619"/>
      <c r="R235" s="619"/>
      <c r="S235" s="619"/>
      <c r="T235" s="619"/>
      <c r="U235" s="619"/>
      <c r="V235" s="619"/>
      <c r="W235" s="619"/>
      <c r="X235" s="619"/>
      <c r="Y235" s="623"/>
      <c r="Z235" s="623"/>
      <c r="AA235" s="623"/>
    </row>
    <row r="236" spans="3:27" s="613" customFormat="1">
      <c r="C236" s="614"/>
      <c r="K236" s="617"/>
      <c r="L236" s="617"/>
      <c r="N236" s="618"/>
      <c r="O236" s="618"/>
      <c r="P236" s="618"/>
      <c r="Q236" s="619"/>
      <c r="R236" s="619"/>
      <c r="S236" s="619"/>
      <c r="T236" s="619"/>
      <c r="U236" s="619"/>
      <c r="V236" s="619"/>
      <c r="W236" s="619"/>
      <c r="X236" s="619"/>
      <c r="Y236" s="623"/>
      <c r="Z236" s="623"/>
      <c r="AA236" s="623"/>
    </row>
    <row r="237" spans="3:27" s="613" customFormat="1">
      <c r="C237" s="614"/>
      <c r="K237" s="617"/>
      <c r="L237" s="617"/>
      <c r="N237" s="618"/>
      <c r="O237" s="618"/>
      <c r="P237" s="618"/>
      <c r="Q237" s="619"/>
      <c r="R237" s="619"/>
      <c r="S237" s="619"/>
      <c r="T237" s="619"/>
      <c r="U237" s="619"/>
      <c r="V237" s="619"/>
      <c r="W237" s="619"/>
      <c r="X237" s="619"/>
      <c r="Y237" s="623"/>
      <c r="Z237" s="623"/>
      <c r="AA237" s="623"/>
    </row>
    <row r="238" spans="3:27" s="613" customFormat="1">
      <c r="C238" s="614"/>
      <c r="K238" s="617"/>
      <c r="L238" s="617"/>
      <c r="N238" s="618"/>
      <c r="O238" s="618"/>
      <c r="P238" s="618"/>
      <c r="Q238" s="619"/>
      <c r="R238" s="619"/>
      <c r="S238" s="619"/>
      <c r="T238" s="619"/>
      <c r="U238" s="619"/>
      <c r="V238" s="619"/>
      <c r="W238" s="619"/>
      <c r="X238" s="619"/>
      <c r="Y238" s="623"/>
      <c r="Z238" s="623"/>
      <c r="AA238" s="623"/>
    </row>
    <row r="239" spans="3:27" s="613" customFormat="1">
      <c r="C239" s="614"/>
      <c r="K239" s="617"/>
      <c r="L239" s="617"/>
      <c r="N239" s="618"/>
      <c r="O239" s="618"/>
      <c r="P239" s="618"/>
      <c r="Q239" s="619"/>
      <c r="R239" s="619"/>
      <c r="S239" s="619"/>
      <c r="T239" s="619"/>
      <c r="U239" s="619"/>
      <c r="V239" s="619"/>
      <c r="W239" s="619"/>
      <c r="X239" s="619"/>
      <c r="Y239" s="623"/>
      <c r="Z239" s="623"/>
      <c r="AA239" s="623"/>
    </row>
    <row r="240" spans="3:27" s="613" customFormat="1">
      <c r="C240" s="614"/>
      <c r="K240" s="617"/>
      <c r="L240" s="617"/>
      <c r="N240" s="618"/>
      <c r="O240" s="618"/>
      <c r="P240" s="618"/>
      <c r="Q240" s="619"/>
      <c r="R240" s="619"/>
      <c r="S240" s="619"/>
      <c r="T240" s="619"/>
      <c r="U240" s="619"/>
      <c r="V240" s="619"/>
      <c r="W240" s="619"/>
      <c r="X240" s="619"/>
      <c r="Y240" s="623"/>
      <c r="Z240" s="623"/>
      <c r="AA240" s="623"/>
    </row>
    <row r="241" spans="3:27" s="613" customFormat="1">
      <c r="C241" s="614"/>
      <c r="K241" s="617"/>
      <c r="L241" s="617"/>
      <c r="N241" s="618"/>
      <c r="O241" s="618"/>
      <c r="P241" s="618"/>
      <c r="Q241" s="619"/>
      <c r="R241" s="619"/>
      <c r="S241" s="619"/>
      <c r="T241" s="619"/>
      <c r="U241" s="619"/>
      <c r="V241" s="619"/>
      <c r="W241" s="619"/>
      <c r="X241" s="619"/>
      <c r="Y241" s="623"/>
      <c r="Z241" s="623"/>
      <c r="AA241" s="623"/>
    </row>
    <row r="242" spans="3:27" s="613" customFormat="1">
      <c r="C242" s="614"/>
      <c r="K242" s="617"/>
      <c r="L242" s="617"/>
      <c r="N242" s="618"/>
      <c r="O242" s="618"/>
      <c r="P242" s="618"/>
      <c r="Q242" s="619"/>
      <c r="R242" s="619"/>
      <c r="S242" s="619"/>
      <c r="T242" s="619"/>
      <c r="U242" s="619"/>
      <c r="V242" s="619"/>
      <c r="W242" s="619"/>
      <c r="X242" s="619"/>
      <c r="Y242" s="623"/>
      <c r="Z242" s="623"/>
      <c r="AA242" s="623"/>
    </row>
    <row r="243" spans="3:27" s="613" customFormat="1">
      <c r="C243" s="614"/>
      <c r="K243" s="617"/>
      <c r="L243" s="617"/>
      <c r="N243" s="618"/>
      <c r="O243" s="618"/>
      <c r="P243" s="618"/>
      <c r="Q243" s="619"/>
      <c r="R243" s="619"/>
      <c r="S243" s="619"/>
      <c r="T243" s="619"/>
      <c r="U243" s="619"/>
      <c r="V243" s="619"/>
      <c r="W243" s="619"/>
      <c r="X243" s="619"/>
      <c r="Y243" s="623"/>
      <c r="Z243" s="623"/>
      <c r="AA243" s="623"/>
    </row>
    <row r="244" spans="3:27" s="613" customFormat="1">
      <c r="C244" s="614"/>
      <c r="K244" s="617"/>
      <c r="L244" s="617"/>
      <c r="N244" s="618"/>
      <c r="O244" s="618"/>
      <c r="P244" s="618"/>
      <c r="Q244" s="619"/>
      <c r="R244" s="619"/>
      <c r="S244" s="619"/>
      <c r="T244" s="619"/>
      <c r="U244" s="619"/>
      <c r="V244" s="619"/>
      <c r="W244" s="619"/>
      <c r="X244" s="619"/>
      <c r="Y244" s="623"/>
      <c r="Z244" s="623"/>
      <c r="AA244" s="623"/>
    </row>
    <row r="245" spans="3:27" s="613" customFormat="1">
      <c r="C245" s="614"/>
      <c r="K245" s="617"/>
      <c r="L245" s="617"/>
      <c r="N245" s="618"/>
      <c r="O245" s="618"/>
      <c r="P245" s="618"/>
      <c r="Q245" s="619"/>
      <c r="R245" s="619"/>
      <c r="S245" s="619"/>
      <c r="T245" s="619"/>
      <c r="U245" s="619"/>
      <c r="V245" s="619"/>
      <c r="W245" s="619"/>
      <c r="X245" s="619"/>
      <c r="Y245" s="623"/>
      <c r="Z245" s="623"/>
      <c r="AA245" s="623"/>
    </row>
    <row r="246" spans="3:27" s="613" customFormat="1">
      <c r="C246" s="614"/>
      <c r="K246" s="617"/>
      <c r="L246" s="617"/>
      <c r="N246" s="618"/>
      <c r="O246" s="618"/>
      <c r="P246" s="618"/>
      <c r="Q246" s="619"/>
      <c r="R246" s="619"/>
      <c r="S246" s="619"/>
      <c r="T246" s="619"/>
      <c r="U246" s="619"/>
      <c r="V246" s="619"/>
      <c r="W246" s="619"/>
      <c r="X246" s="619"/>
      <c r="Y246" s="623"/>
      <c r="Z246" s="623"/>
      <c r="AA246" s="623"/>
    </row>
    <row r="247" spans="3:27" s="613" customFormat="1">
      <c r="C247" s="614"/>
      <c r="K247" s="617"/>
      <c r="L247" s="617"/>
      <c r="N247" s="618"/>
      <c r="O247" s="618"/>
      <c r="P247" s="618"/>
      <c r="Q247" s="619"/>
      <c r="R247" s="619"/>
      <c r="S247" s="619"/>
      <c r="T247" s="619"/>
      <c r="U247" s="619"/>
      <c r="V247" s="619"/>
      <c r="W247" s="619"/>
      <c r="X247" s="619"/>
      <c r="Y247" s="623"/>
      <c r="Z247" s="623"/>
      <c r="AA247" s="623"/>
    </row>
    <row r="248" spans="3:27" s="613" customFormat="1">
      <c r="C248" s="614"/>
      <c r="K248" s="617"/>
      <c r="L248" s="617"/>
      <c r="N248" s="618"/>
      <c r="O248" s="618"/>
      <c r="P248" s="618"/>
      <c r="Q248" s="619"/>
      <c r="R248" s="619"/>
      <c r="S248" s="619"/>
      <c r="T248" s="619"/>
      <c r="U248" s="619"/>
      <c r="V248" s="619"/>
      <c r="W248" s="619"/>
      <c r="X248" s="619"/>
      <c r="Y248" s="623"/>
      <c r="Z248" s="623"/>
      <c r="AA248" s="623"/>
    </row>
    <row r="249" spans="3:27" s="613" customFormat="1">
      <c r="C249" s="614"/>
      <c r="K249" s="617"/>
      <c r="L249" s="617"/>
      <c r="N249" s="618"/>
      <c r="O249" s="618"/>
      <c r="P249" s="618"/>
      <c r="Q249" s="619"/>
      <c r="R249" s="619"/>
      <c r="S249" s="619"/>
      <c r="T249" s="619"/>
      <c r="U249" s="619"/>
      <c r="V249" s="619"/>
      <c r="W249" s="619"/>
      <c r="X249" s="619"/>
      <c r="Y249" s="623"/>
      <c r="Z249" s="623"/>
      <c r="AA249" s="623"/>
    </row>
    <row r="250" spans="3:27" s="613" customFormat="1">
      <c r="C250" s="614"/>
      <c r="K250" s="617"/>
      <c r="L250" s="617"/>
      <c r="N250" s="618"/>
      <c r="O250" s="618"/>
      <c r="P250" s="618"/>
      <c r="Q250" s="619"/>
      <c r="R250" s="619"/>
      <c r="S250" s="619"/>
      <c r="T250" s="619"/>
      <c r="U250" s="619"/>
      <c r="V250" s="619"/>
      <c r="W250" s="619"/>
      <c r="X250" s="619"/>
      <c r="Y250" s="623"/>
      <c r="Z250" s="623"/>
      <c r="AA250" s="623"/>
    </row>
    <row r="251" spans="3:27" s="613" customFormat="1">
      <c r="C251" s="614"/>
      <c r="K251" s="617"/>
      <c r="L251" s="617"/>
      <c r="N251" s="618"/>
      <c r="O251" s="618"/>
      <c r="P251" s="618"/>
      <c r="Q251" s="619"/>
      <c r="R251" s="619"/>
      <c r="S251" s="619"/>
      <c r="T251" s="619"/>
      <c r="U251" s="619"/>
      <c r="V251" s="619"/>
      <c r="W251" s="619"/>
      <c r="X251" s="619"/>
      <c r="Y251" s="623"/>
      <c r="Z251" s="623"/>
      <c r="AA251" s="623"/>
    </row>
    <row r="252" spans="3:27" s="613" customFormat="1">
      <c r="C252" s="614"/>
      <c r="K252" s="617"/>
      <c r="L252" s="617"/>
      <c r="N252" s="618"/>
      <c r="O252" s="618"/>
      <c r="P252" s="618"/>
      <c r="Q252" s="619"/>
      <c r="R252" s="619"/>
      <c r="S252" s="619"/>
      <c r="T252" s="619"/>
      <c r="U252" s="619"/>
      <c r="V252" s="619"/>
      <c r="W252" s="619"/>
      <c r="X252" s="619"/>
      <c r="Y252" s="623"/>
      <c r="Z252" s="623"/>
      <c r="AA252" s="623"/>
    </row>
    <row r="253" spans="3:27" s="613" customFormat="1">
      <c r="C253" s="614"/>
      <c r="K253" s="617"/>
      <c r="L253" s="617"/>
      <c r="N253" s="618"/>
      <c r="O253" s="618"/>
      <c r="P253" s="618"/>
      <c r="Q253" s="619"/>
      <c r="R253" s="619"/>
      <c r="S253" s="619"/>
      <c r="T253" s="619"/>
      <c r="U253" s="619"/>
      <c r="V253" s="619"/>
      <c r="W253" s="619"/>
      <c r="X253" s="619"/>
      <c r="Y253" s="623"/>
      <c r="Z253" s="623"/>
      <c r="AA253" s="623"/>
    </row>
    <row r="254" spans="3:27" s="613" customFormat="1">
      <c r="C254" s="614"/>
      <c r="K254" s="617"/>
      <c r="L254" s="617"/>
      <c r="N254" s="618"/>
      <c r="O254" s="618"/>
      <c r="P254" s="618"/>
      <c r="Q254" s="619"/>
      <c r="R254" s="619"/>
      <c r="S254" s="619"/>
      <c r="T254" s="619"/>
      <c r="U254" s="619"/>
      <c r="V254" s="619"/>
      <c r="W254" s="619"/>
      <c r="X254" s="619"/>
      <c r="Y254" s="623"/>
      <c r="Z254" s="623"/>
      <c r="AA254" s="623"/>
    </row>
    <row r="255" spans="3:27" s="613" customFormat="1">
      <c r="C255" s="614"/>
      <c r="K255" s="617"/>
      <c r="L255" s="617"/>
      <c r="N255" s="618"/>
      <c r="O255" s="618"/>
      <c r="P255" s="618"/>
      <c r="Q255" s="619"/>
      <c r="R255" s="619"/>
      <c r="S255" s="619"/>
      <c r="T255" s="619"/>
      <c r="U255" s="619"/>
      <c r="V255" s="619"/>
      <c r="W255" s="619"/>
      <c r="X255" s="619"/>
      <c r="Y255" s="623"/>
      <c r="Z255" s="623"/>
      <c r="AA255" s="623"/>
    </row>
    <row r="256" spans="3:27" s="613" customFormat="1">
      <c r="C256" s="614"/>
      <c r="K256" s="617"/>
      <c r="L256" s="617"/>
      <c r="N256" s="618"/>
      <c r="O256" s="618"/>
      <c r="P256" s="618"/>
      <c r="Q256" s="619"/>
      <c r="R256" s="619"/>
      <c r="S256" s="619"/>
      <c r="T256" s="619"/>
      <c r="U256" s="619"/>
      <c r="V256" s="619"/>
      <c r="W256" s="619"/>
      <c r="X256" s="619"/>
      <c r="Y256" s="623"/>
      <c r="Z256" s="623"/>
      <c r="AA256" s="623"/>
    </row>
    <row r="257" spans="3:27" s="613" customFormat="1">
      <c r="C257" s="614"/>
      <c r="K257" s="617"/>
      <c r="L257" s="617"/>
      <c r="N257" s="618"/>
      <c r="O257" s="618"/>
      <c r="P257" s="618"/>
      <c r="Q257" s="619"/>
      <c r="R257" s="619"/>
      <c r="S257" s="619"/>
      <c r="T257" s="619"/>
      <c r="U257" s="619"/>
      <c r="V257" s="619"/>
      <c r="W257" s="619"/>
      <c r="X257" s="619"/>
      <c r="Y257" s="623"/>
      <c r="Z257" s="623"/>
      <c r="AA257" s="623"/>
    </row>
    <row r="258" spans="3:27" s="613" customFormat="1">
      <c r="C258" s="614"/>
      <c r="K258" s="617"/>
      <c r="L258" s="617"/>
      <c r="N258" s="618"/>
      <c r="O258" s="618"/>
      <c r="P258" s="618"/>
      <c r="Q258" s="619"/>
      <c r="R258" s="619"/>
      <c r="S258" s="619"/>
      <c r="T258" s="619"/>
      <c r="U258" s="619"/>
      <c r="V258" s="619"/>
      <c r="W258" s="619"/>
      <c r="X258" s="619"/>
      <c r="Y258" s="623"/>
      <c r="Z258" s="623"/>
      <c r="AA258" s="623"/>
    </row>
    <row r="259" spans="3:27" s="613" customFormat="1">
      <c r="C259" s="614"/>
      <c r="K259" s="617"/>
      <c r="L259" s="617"/>
      <c r="N259" s="618"/>
      <c r="O259" s="618"/>
      <c r="P259" s="618"/>
      <c r="Q259" s="619"/>
      <c r="R259" s="619"/>
      <c r="S259" s="619"/>
      <c r="T259" s="619"/>
      <c r="U259" s="619"/>
      <c r="V259" s="619"/>
      <c r="W259" s="619"/>
      <c r="X259" s="619"/>
      <c r="Y259" s="623"/>
      <c r="Z259" s="623"/>
      <c r="AA259" s="623"/>
    </row>
    <row r="260" spans="3:27" s="613" customFormat="1">
      <c r="C260" s="614"/>
      <c r="K260" s="617"/>
      <c r="L260" s="617"/>
      <c r="N260" s="618"/>
      <c r="O260" s="618"/>
      <c r="P260" s="618"/>
      <c r="Q260" s="619"/>
      <c r="R260" s="619"/>
      <c r="S260" s="619"/>
      <c r="T260" s="619"/>
      <c r="U260" s="619"/>
      <c r="V260" s="619"/>
      <c r="W260" s="619"/>
      <c r="X260" s="619"/>
      <c r="Y260" s="623"/>
      <c r="Z260" s="623"/>
      <c r="AA260" s="623"/>
    </row>
    <row r="261" spans="3:27" s="613" customFormat="1">
      <c r="C261" s="614"/>
      <c r="K261" s="617"/>
      <c r="L261" s="617"/>
      <c r="N261" s="618"/>
      <c r="O261" s="618"/>
      <c r="P261" s="618"/>
      <c r="Q261" s="619"/>
      <c r="R261" s="619"/>
      <c r="S261" s="619"/>
      <c r="T261" s="619"/>
      <c r="U261" s="619"/>
      <c r="V261" s="619"/>
      <c r="W261" s="619"/>
      <c r="X261" s="619"/>
      <c r="Y261" s="623"/>
      <c r="Z261" s="623"/>
      <c r="AA261" s="623"/>
    </row>
    <row r="262" spans="3:27" s="613" customFormat="1">
      <c r="C262" s="614"/>
      <c r="K262" s="617"/>
      <c r="L262" s="617"/>
      <c r="N262" s="618"/>
      <c r="O262" s="618"/>
      <c r="P262" s="618"/>
      <c r="Q262" s="619"/>
      <c r="R262" s="619"/>
      <c r="S262" s="619"/>
      <c r="T262" s="619"/>
      <c r="U262" s="619"/>
      <c r="V262" s="619"/>
      <c r="W262" s="619"/>
      <c r="X262" s="619"/>
      <c r="Y262" s="623"/>
      <c r="Z262" s="623"/>
      <c r="AA262" s="623"/>
    </row>
    <row r="263" spans="3:27" s="613" customFormat="1">
      <c r="C263" s="614"/>
      <c r="K263" s="617"/>
      <c r="L263" s="617"/>
      <c r="N263" s="618"/>
      <c r="O263" s="618"/>
      <c r="P263" s="618"/>
      <c r="Q263" s="619"/>
      <c r="R263" s="619"/>
      <c r="S263" s="619"/>
      <c r="T263" s="619"/>
      <c r="U263" s="619"/>
      <c r="V263" s="619"/>
      <c r="W263" s="619"/>
      <c r="X263" s="619"/>
      <c r="Y263" s="623"/>
      <c r="Z263" s="623"/>
      <c r="AA263" s="623"/>
    </row>
    <row r="264" spans="3:27" s="613" customFormat="1">
      <c r="C264" s="614"/>
      <c r="K264" s="617"/>
      <c r="L264" s="617"/>
      <c r="N264" s="618"/>
      <c r="O264" s="618"/>
      <c r="P264" s="618"/>
      <c r="Q264" s="619"/>
      <c r="R264" s="619"/>
      <c r="S264" s="619"/>
      <c r="T264" s="619"/>
      <c r="U264" s="619"/>
      <c r="V264" s="619"/>
      <c r="W264" s="619"/>
      <c r="X264" s="619"/>
      <c r="Y264" s="623"/>
      <c r="Z264" s="623"/>
      <c r="AA264" s="623"/>
    </row>
    <row r="265" spans="3:27" s="613" customFormat="1">
      <c r="C265" s="614"/>
      <c r="K265" s="617"/>
      <c r="L265" s="617"/>
      <c r="N265" s="618"/>
      <c r="O265" s="618"/>
      <c r="P265" s="618"/>
      <c r="Q265" s="619"/>
      <c r="R265" s="619"/>
      <c r="S265" s="619"/>
      <c r="T265" s="619"/>
      <c r="U265" s="619"/>
      <c r="V265" s="619"/>
      <c r="W265" s="619"/>
      <c r="X265" s="619"/>
      <c r="Y265" s="623"/>
      <c r="Z265" s="623"/>
      <c r="AA265" s="623"/>
    </row>
    <row r="266" spans="3:27" s="613" customFormat="1">
      <c r="C266" s="614"/>
      <c r="K266" s="617"/>
      <c r="L266" s="617"/>
      <c r="N266" s="618"/>
      <c r="O266" s="618"/>
      <c r="P266" s="618"/>
      <c r="Q266" s="619"/>
      <c r="R266" s="619"/>
      <c r="S266" s="619"/>
      <c r="T266" s="619"/>
      <c r="U266" s="619"/>
      <c r="V266" s="619"/>
      <c r="W266" s="619"/>
      <c r="X266" s="619"/>
      <c r="Y266" s="623"/>
      <c r="Z266" s="623"/>
      <c r="AA266" s="623"/>
    </row>
    <row r="267" spans="3:27" s="613" customFormat="1">
      <c r="C267" s="614"/>
      <c r="K267" s="617"/>
      <c r="L267" s="617"/>
      <c r="N267" s="618"/>
      <c r="O267" s="618"/>
      <c r="P267" s="618"/>
      <c r="Q267" s="619"/>
      <c r="R267" s="619"/>
      <c r="S267" s="619"/>
      <c r="T267" s="619"/>
      <c r="U267" s="619"/>
      <c r="V267" s="619"/>
      <c r="W267" s="619"/>
      <c r="X267" s="619"/>
      <c r="Y267" s="623"/>
      <c r="Z267" s="623"/>
      <c r="AA267" s="623"/>
    </row>
    <row r="268" spans="3:27" s="613" customFormat="1">
      <c r="C268" s="614"/>
      <c r="K268" s="617"/>
      <c r="L268" s="617"/>
      <c r="N268" s="618"/>
      <c r="O268" s="618"/>
      <c r="P268" s="618"/>
      <c r="Q268" s="619"/>
      <c r="R268" s="619"/>
      <c r="S268" s="619"/>
      <c r="T268" s="619"/>
      <c r="U268" s="619"/>
      <c r="V268" s="619"/>
      <c r="W268" s="619"/>
      <c r="X268" s="619"/>
      <c r="Y268" s="623"/>
      <c r="Z268" s="623"/>
      <c r="AA268" s="623"/>
    </row>
    <row r="269" spans="3:27" s="613" customFormat="1">
      <c r="C269" s="614"/>
      <c r="K269" s="617"/>
      <c r="L269" s="617"/>
      <c r="N269" s="618"/>
      <c r="O269" s="618"/>
      <c r="P269" s="618"/>
      <c r="Q269" s="619"/>
      <c r="R269" s="619"/>
      <c r="S269" s="619"/>
      <c r="T269" s="619"/>
      <c r="U269" s="619"/>
      <c r="V269" s="619"/>
      <c r="W269" s="619"/>
      <c r="X269" s="619"/>
      <c r="Y269" s="623"/>
      <c r="Z269" s="623"/>
      <c r="AA269" s="623"/>
    </row>
    <row r="270" spans="3:27" s="613" customFormat="1">
      <c r="C270" s="614"/>
      <c r="K270" s="617"/>
      <c r="L270" s="617"/>
      <c r="N270" s="618"/>
      <c r="O270" s="618"/>
      <c r="P270" s="618"/>
      <c r="Q270" s="619"/>
      <c r="R270" s="619"/>
      <c r="S270" s="619"/>
      <c r="T270" s="619"/>
      <c r="U270" s="619"/>
      <c r="V270" s="619"/>
      <c r="W270" s="619"/>
      <c r="X270" s="619"/>
      <c r="Y270" s="623"/>
      <c r="Z270" s="623"/>
      <c r="AA270" s="623"/>
    </row>
    <row r="271" spans="3:27" s="613" customFormat="1">
      <c r="C271" s="614"/>
      <c r="K271" s="617"/>
      <c r="L271" s="617"/>
      <c r="N271" s="618"/>
      <c r="O271" s="618"/>
      <c r="P271" s="618"/>
      <c r="Q271" s="619"/>
      <c r="R271" s="619"/>
      <c r="S271" s="619"/>
      <c r="T271" s="619"/>
      <c r="U271" s="619"/>
      <c r="V271" s="619"/>
      <c r="W271" s="619"/>
      <c r="X271" s="619"/>
      <c r="Y271" s="623"/>
      <c r="Z271" s="623"/>
      <c r="AA271" s="623"/>
    </row>
    <row r="272" spans="3:27" s="613" customFormat="1">
      <c r="C272" s="614"/>
      <c r="K272" s="617"/>
      <c r="L272" s="617"/>
      <c r="N272" s="618"/>
      <c r="O272" s="618"/>
      <c r="P272" s="618"/>
      <c r="Q272" s="619"/>
      <c r="R272" s="619"/>
      <c r="S272" s="619"/>
      <c r="T272" s="619"/>
      <c r="U272" s="619"/>
      <c r="V272" s="619"/>
      <c r="W272" s="619"/>
      <c r="X272" s="619"/>
      <c r="Y272" s="623"/>
      <c r="Z272" s="623"/>
      <c r="AA272" s="623"/>
    </row>
    <row r="273" spans="3:27" s="613" customFormat="1">
      <c r="C273" s="614"/>
      <c r="K273" s="617"/>
      <c r="L273" s="617"/>
      <c r="N273" s="618"/>
      <c r="O273" s="618"/>
      <c r="P273" s="618"/>
      <c r="Q273" s="619"/>
      <c r="R273" s="619"/>
      <c r="S273" s="619"/>
      <c r="T273" s="619"/>
      <c r="U273" s="619"/>
      <c r="V273" s="619"/>
      <c r="W273" s="619"/>
      <c r="X273" s="619"/>
      <c r="Y273" s="623"/>
      <c r="Z273" s="623"/>
      <c r="AA273" s="623"/>
    </row>
    <row r="274" spans="3:27" s="613" customFormat="1">
      <c r="C274" s="614"/>
      <c r="K274" s="617"/>
      <c r="L274" s="617"/>
      <c r="N274" s="618"/>
      <c r="O274" s="618"/>
      <c r="P274" s="618"/>
      <c r="Q274" s="619"/>
      <c r="R274" s="619"/>
      <c r="S274" s="619"/>
      <c r="T274" s="619"/>
      <c r="U274" s="619"/>
      <c r="V274" s="619"/>
      <c r="W274" s="619"/>
      <c r="X274" s="619"/>
      <c r="Y274" s="623"/>
      <c r="Z274" s="623"/>
      <c r="AA274" s="623"/>
    </row>
    <row r="275" spans="3:27" s="613" customFormat="1">
      <c r="C275" s="614"/>
      <c r="K275" s="617"/>
      <c r="L275" s="617"/>
      <c r="N275" s="618"/>
      <c r="O275" s="618"/>
      <c r="P275" s="618"/>
      <c r="Q275" s="619"/>
      <c r="R275" s="619"/>
      <c r="S275" s="619"/>
      <c r="T275" s="619"/>
      <c r="U275" s="619"/>
      <c r="V275" s="619"/>
      <c r="W275" s="619"/>
      <c r="X275" s="619"/>
      <c r="Y275" s="623"/>
      <c r="Z275" s="623"/>
      <c r="AA275" s="623"/>
    </row>
    <row r="276" spans="3:27" s="613" customFormat="1">
      <c r="C276" s="614"/>
      <c r="K276" s="617"/>
      <c r="L276" s="617"/>
      <c r="N276" s="618"/>
      <c r="O276" s="618"/>
      <c r="P276" s="618"/>
      <c r="Q276" s="619"/>
      <c r="R276" s="619"/>
      <c r="S276" s="619"/>
      <c r="T276" s="619"/>
      <c r="U276" s="619"/>
      <c r="V276" s="619"/>
      <c r="W276" s="619"/>
      <c r="X276" s="619"/>
      <c r="Y276" s="623"/>
      <c r="Z276" s="623"/>
      <c r="AA276" s="623"/>
    </row>
    <row r="277" spans="3:27" s="613" customFormat="1">
      <c r="C277" s="614"/>
      <c r="K277" s="617"/>
      <c r="L277" s="617"/>
      <c r="N277" s="618"/>
      <c r="O277" s="618"/>
      <c r="P277" s="618"/>
      <c r="Q277" s="619"/>
      <c r="R277" s="619"/>
      <c r="S277" s="619"/>
      <c r="T277" s="619"/>
      <c r="U277" s="619"/>
      <c r="V277" s="619"/>
      <c r="W277" s="619"/>
      <c r="X277" s="619"/>
      <c r="Y277" s="623"/>
      <c r="Z277" s="623"/>
      <c r="AA277" s="623"/>
    </row>
    <row r="278" spans="3:27" s="613" customFormat="1">
      <c r="C278" s="614"/>
      <c r="K278" s="617"/>
      <c r="L278" s="617"/>
      <c r="N278" s="618"/>
      <c r="O278" s="618"/>
      <c r="P278" s="618"/>
      <c r="Q278" s="619"/>
      <c r="R278" s="619"/>
      <c r="S278" s="619"/>
      <c r="T278" s="619"/>
      <c r="U278" s="619"/>
      <c r="V278" s="619"/>
      <c r="W278" s="619"/>
      <c r="X278" s="619"/>
      <c r="Y278" s="623"/>
      <c r="Z278" s="623"/>
      <c r="AA278" s="623"/>
    </row>
    <row r="279" spans="3:27" s="613" customFormat="1">
      <c r="C279" s="614"/>
      <c r="K279" s="617"/>
      <c r="L279" s="617"/>
      <c r="N279" s="618"/>
      <c r="O279" s="618"/>
      <c r="P279" s="618"/>
      <c r="Q279" s="619"/>
      <c r="R279" s="619"/>
      <c r="S279" s="619"/>
      <c r="T279" s="619"/>
      <c r="U279" s="619"/>
      <c r="V279" s="619"/>
      <c r="W279" s="619"/>
      <c r="X279" s="619"/>
      <c r="Y279" s="623"/>
      <c r="Z279" s="623"/>
      <c r="AA279" s="623"/>
    </row>
    <row r="280" spans="3:27" s="613" customFormat="1">
      <c r="C280" s="614"/>
      <c r="K280" s="617"/>
      <c r="L280" s="617"/>
      <c r="N280" s="618"/>
      <c r="O280" s="618"/>
      <c r="P280" s="618"/>
      <c r="Q280" s="619"/>
      <c r="R280" s="619"/>
      <c r="S280" s="619"/>
      <c r="T280" s="619"/>
      <c r="U280" s="619"/>
      <c r="V280" s="619"/>
      <c r="W280" s="619"/>
      <c r="X280" s="619"/>
      <c r="Y280" s="623"/>
      <c r="Z280" s="623"/>
      <c r="AA280" s="623"/>
    </row>
    <row r="281" spans="3:27" s="613" customFormat="1">
      <c r="C281" s="614"/>
      <c r="K281" s="617"/>
      <c r="L281" s="617"/>
      <c r="N281" s="618"/>
      <c r="O281" s="618"/>
      <c r="P281" s="618"/>
      <c r="Q281" s="619"/>
      <c r="R281" s="619"/>
      <c r="S281" s="619"/>
      <c r="T281" s="619"/>
      <c r="U281" s="619"/>
      <c r="V281" s="619"/>
      <c r="W281" s="619"/>
      <c r="X281" s="619"/>
      <c r="Y281" s="623"/>
      <c r="Z281" s="623"/>
      <c r="AA281" s="623"/>
    </row>
    <row r="282" spans="3:27" s="613" customFormat="1">
      <c r="C282" s="614"/>
      <c r="K282" s="617"/>
      <c r="L282" s="617"/>
      <c r="N282" s="618"/>
      <c r="O282" s="618"/>
      <c r="P282" s="618"/>
      <c r="Q282" s="619"/>
      <c r="R282" s="619"/>
      <c r="S282" s="619"/>
      <c r="T282" s="619"/>
      <c r="U282" s="619"/>
      <c r="V282" s="619"/>
      <c r="W282" s="619"/>
      <c r="X282" s="619"/>
      <c r="Y282" s="623"/>
      <c r="Z282" s="623"/>
      <c r="AA282" s="623"/>
    </row>
    <row r="283" spans="3:27" s="613" customFormat="1">
      <c r="C283" s="614"/>
      <c r="K283" s="617"/>
      <c r="L283" s="617"/>
      <c r="N283" s="618"/>
      <c r="O283" s="618"/>
      <c r="P283" s="618"/>
      <c r="Q283" s="619"/>
      <c r="R283" s="619"/>
      <c r="S283" s="619"/>
      <c r="T283" s="619"/>
      <c r="U283" s="619"/>
      <c r="V283" s="619"/>
      <c r="W283" s="619"/>
      <c r="X283" s="619"/>
      <c r="Y283" s="623"/>
      <c r="Z283" s="623"/>
      <c r="AA283" s="623"/>
    </row>
    <row r="284" spans="3:27" s="613" customFormat="1">
      <c r="C284" s="614"/>
      <c r="K284" s="617"/>
      <c r="L284" s="617"/>
      <c r="N284" s="618"/>
      <c r="O284" s="618"/>
      <c r="P284" s="618"/>
      <c r="Q284" s="619"/>
      <c r="R284" s="619"/>
      <c r="S284" s="619"/>
      <c r="T284" s="619"/>
      <c r="U284" s="619"/>
      <c r="V284" s="619"/>
      <c r="W284" s="619"/>
      <c r="X284" s="619"/>
      <c r="Y284" s="623"/>
      <c r="Z284" s="623"/>
      <c r="AA284" s="623"/>
    </row>
    <row r="285" spans="3:27" s="613" customFormat="1">
      <c r="C285" s="614"/>
      <c r="K285" s="617"/>
      <c r="L285" s="617"/>
      <c r="N285" s="618"/>
      <c r="O285" s="618"/>
      <c r="P285" s="618"/>
      <c r="Q285" s="619"/>
      <c r="R285" s="619"/>
      <c r="S285" s="619"/>
      <c r="T285" s="619"/>
      <c r="U285" s="619"/>
      <c r="V285" s="619"/>
      <c r="W285" s="619"/>
      <c r="X285" s="619"/>
      <c r="Y285" s="623"/>
      <c r="Z285" s="623"/>
      <c r="AA285" s="623"/>
    </row>
    <row r="286" spans="3:27" s="613" customFormat="1">
      <c r="C286" s="614"/>
      <c r="K286" s="617"/>
      <c r="L286" s="617"/>
      <c r="N286" s="618"/>
      <c r="O286" s="618"/>
      <c r="P286" s="618"/>
      <c r="Q286" s="619"/>
      <c r="R286" s="619"/>
      <c r="S286" s="619"/>
      <c r="T286" s="619"/>
      <c r="U286" s="619"/>
      <c r="V286" s="619"/>
      <c r="W286" s="619"/>
      <c r="X286" s="619"/>
      <c r="Y286" s="623"/>
      <c r="Z286" s="623"/>
      <c r="AA286" s="623"/>
    </row>
    <row r="287" spans="3:27" s="613" customFormat="1">
      <c r="C287" s="614"/>
      <c r="K287" s="617"/>
      <c r="L287" s="617"/>
      <c r="N287" s="618"/>
      <c r="O287" s="618"/>
      <c r="P287" s="618"/>
      <c r="Q287" s="619"/>
      <c r="R287" s="619"/>
      <c r="S287" s="619"/>
      <c r="T287" s="619"/>
      <c r="U287" s="619"/>
      <c r="V287" s="619"/>
      <c r="W287" s="619"/>
      <c r="X287" s="619"/>
      <c r="Y287" s="623"/>
      <c r="Z287" s="623"/>
      <c r="AA287" s="623"/>
    </row>
    <row r="288" spans="3:27" s="613" customFormat="1">
      <c r="C288" s="614"/>
      <c r="K288" s="617"/>
      <c r="L288" s="617"/>
      <c r="N288" s="618"/>
      <c r="O288" s="618"/>
      <c r="P288" s="618"/>
      <c r="Q288" s="619"/>
      <c r="R288" s="619"/>
      <c r="S288" s="619"/>
      <c r="T288" s="619"/>
      <c r="U288" s="619"/>
      <c r="V288" s="619"/>
      <c r="W288" s="619"/>
      <c r="X288" s="619"/>
      <c r="Y288" s="623"/>
      <c r="Z288" s="623"/>
      <c r="AA288" s="623"/>
    </row>
    <row r="289" spans="3:27" s="613" customFormat="1">
      <c r="C289" s="614"/>
      <c r="K289" s="617"/>
      <c r="L289" s="617"/>
      <c r="N289" s="618"/>
      <c r="O289" s="618"/>
      <c r="P289" s="618"/>
      <c r="Q289" s="619"/>
      <c r="R289" s="619"/>
      <c r="S289" s="619"/>
      <c r="T289" s="619"/>
      <c r="U289" s="619"/>
      <c r="V289" s="619"/>
      <c r="W289" s="619"/>
      <c r="X289" s="619"/>
      <c r="Y289" s="623"/>
      <c r="Z289" s="623"/>
      <c r="AA289" s="623"/>
    </row>
    <row r="290" spans="3:27" s="613" customFormat="1">
      <c r="C290" s="614"/>
      <c r="K290" s="617"/>
      <c r="L290" s="617"/>
      <c r="N290" s="618"/>
      <c r="O290" s="618"/>
      <c r="P290" s="618"/>
      <c r="Q290" s="619"/>
      <c r="R290" s="619"/>
      <c r="S290" s="619"/>
      <c r="T290" s="619"/>
      <c r="U290" s="619"/>
      <c r="V290" s="619"/>
      <c r="W290" s="619"/>
      <c r="X290" s="619"/>
      <c r="Y290" s="623"/>
      <c r="Z290" s="623"/>
      <c r="AA290" s="623"/>
    </row>
    <row r="291" spans="3:27" s="613" customFormat="1">
      <c r="C291" s="614"/>
      <c r="K291" s="617"/>
      <c r="L291" s="617"/>
      <c r="N291" s="618"/>
      <c r="O291" s="618"/>
      <c r="P291" s="618"/>
      <c r="Q291" s="619"/>
      <c r="R291" s="619"/>
      <c r="S291" s="619"/>
      <c r="T291" s="619"/>
      <c r="U291" s="619"/>
      <c r="V291" s="619"/>
      <c r="W291" s="619"/>
      <c r="X291" s="619"/>
      <c r="Y291" s="623"/>
      <c r="Z291" s="623"/>
      <c r="AA291" s="623"/>
    </row>
    <row r="292" spans="3:27" s="613" customFormat="1">
      <c r="C292" s="614"/>
      <c r="K292" s="617"/>
      <c r="L292" s="617"/>
      <c r="N292" s="618"/>
      <c r="O292" s="618"/>
      <c r="P292" s="618"/>
      <c r="Q292" s="619"/>
      <c r="R292" s="619"/>
      <c r="S292" s="619"/>
      <c r="T292" s="619"/>
      <c r="U292" s="619"/>
      <c r="V292" s="619"/>
      <c r="W292" s="619"/>
      <c r="X292" s="619"/>
      <c r="Y292" s="623"/>
      <c r="Z292" s="623"/>
      <c r="AA292" s="623"/>
    </row>
    <row r="293" spans="3:27" s="613" customFormat="1">
      <c r="C293" s="614"/>
      <c r="K293" s="617"/>
      <c r="L293" s="617"/>
      <c r="N293" s="618"/>
      <c r="O293" s="618"/>
      <c r="P293" s="618"/>
      <c r="Q293" s="619"/>
      <c r="R293" s="619"/>
      <c r="S293" s="619"/>
      <c r="T293" s="619"/>
      <c r="U293" s="619"/>
      <c r="V293" s="619"/>
      <c r="W293" s="619"/>
      <c r="X293" s="619"/>
      <c r="Y293" s="623"/>
      <c r="Z293" s="623"/>
      <c r="AA293" s="623"/>
    </row>
    <row r="294" spans="3:27" s="613" customFormat="1">
      <c r="C294" s="614"/>
      <c r="K294" s="617"/>
      <c r="L294" s="617"/>
      <c r="N294" s="618"/>
      <c r="O294" s="618"/>
      <c r="P294" s="618"/>
      <c r="Q294" s="619"/>
      <c r="R294" s="619"/>
      <c r="S294" s="619"/>
      <c r="T294" s="619"/>
      <c r="U294" s="619"/>
      <c r="V294" s="619"/>
      <c r="W294" s="619"/>
      <c r="X294" s="619"/>
      <c r="Y294" s="623"/>
      <c r="Z294" s="623"/>
      <c r="AA294" s="623"/>
    </row>
    <row r="295" spans="3:27" s="613" customFormat="1">
      <c r="C295" s="614"/>
      <c r="K295" s="617"/>
      <c r="L295" s="617"/>
      <c r="N295" s="618"/>
      <c r="O295" s="618"/>
      <c r="P295" s="618"/>
      <c r="Q295" s="619"/>
      <c r="R295" s="619"/>
      <c r="S295" s="619"/>
      <c r="T295" s="619"/>
      <c r="U295" s="619"/>
      <c r="V295" s="619"/>
      <c r="W295" s="619"/>
      <c r="X295" s="619"/>
      <c r="Y295" s="623"/>
      <c r="Z295" s="623"/>
      <c r="AA295" s="623"/>
    </row>
    <row r="296" spans="3:27" s="613" customFormat="1">
      <c r="C296" s="614"/>
      <c r="K296" s="617"/>
      <c r="L296" s="617"/>
      <c r="N296" s="618"/>
      <c r="O296" s="618"/>
      <c r="P296" s="618"/>
      <c r="Q296" s="619"/>
      <c r="R296" s="619"/>
      <c r="S296" s="619"/>
      <c r="T296" s="619"/>
      <c r="U296" s="619"/>
      <c r="V296" s="619"/>
      <c r="W296" s="619"/>
      <c r="X296" s="619"/>
      <c r="Y296" s="623"/>
      <c r="Z296" s="623"/>
      <c r="AA296" s="623"/>
    </row>
    <row r="297" spans="3:27" s="613" customFormat="1">
      <c r="C297" s="614"/>
      <c r="K297" s="617"/>
      <c r="L297" s="617"/>
      <c r="N297" s="618"/>
      <c r="O297" s="618"/>
      <c r="P297" s="618"/>
      <c r="Q297" s="619"/>
      <c r="R297" s="619"/>
      <c r="S297" s="619"/>
      <c r="T297" s="619"/>
      <c r="U297" s="619"/>
      <c r="V297" s="619"/>
      <c r="W297" s="619"/>
      <c r="X297" s="619"/>
      <c r="Y297" s="623"/>
      <c r="Z297" s="623"/>
      <c r="AA297" s="623"/>
    </row>
    <row r="298" spans="3:27" s="613" customFormat="1">
      <c r="C298" s="614"/>
      <c r="K298" s="617"/>
      <c r="L298" s="617"/>
      <c r="N298" s="618"/>
      <c r="O298" s="618"/>
      <c r="P298" s="618"/>
      <c r="Q298" s="619"/>
      <c r="R298" s="619"/>
      <c r="S298" s="619"/>
      <c r="T298" s="619"/>
      <c r="U298" s="619"/>
      <c r="V298" s="619"/>
      <c r="W298" s="619"/>
      <c r="X298" s="619"/>
      <c r="Y298" s="623"/>
      <c r="Z298" s="623"/>
      <c r="AA298" s="623"/>
    </row>
    <row r="299" spans="3:27" s="613" customFormat="1">
      <c r="C299" s="614"/>
      <c r="K299" s="617"/>
      <c r="L299" s="617"/>
      <c r="N299" s="618"/>
      <c r="O299" s="618"/>
      <c r="P299" s="618"/>
      <c r="Q299" s="619"/>
      <c r="R299" s="619"/>
      <c r="S299" s="619"/>
      <c r="T299" s="619"/>
      <c r="U299" s="619"/>
      <c r="V299" s="619"/>
      <c r="W299" s="619"/>
      <c r="X299" s="619"/>
      <c r="Y299" s="623"/>
      <c r="Z299" s="623"/>
      <c r="AA299" s="623"/>
    </row>
    <row r="300" spans="3:27" s="613" customFormat="1">
      <c r="C300" s="614"/>
      <c r="K300" s="617"/>
      <c r="L300" s="617"/>
      <c r="N300" s="618"/>
      <c r="O300" s="618"/>
      <c r="P300" s="618"/>
      <c r="Q300" s="619"/>
      <c r="R300" s="619"/>
      <c r="S300" s="619"/>
      <c r="T300" s="619"/>
      <c r="U300" s="619"/>
      <c r="V300" s="619"/>
      <c r="W300" s="619"/>
      <c r="X300" s="619"/>
      <c r="Y300" s="623"/>
      <c r="Z300" s="623"/>
      <c r="AA300" s="623"/>
    </row>
    <row r="301" spans="3:27" s="613" customFormat="1">
      <c r="C301" s="614"/>
      <c r="K301" s="617"/>
      <c r="L301" s="617"/>
      <c r="N301" s="618"/>
      <c r="O301" s="618"/>
      <c r="P301" s="618"/>
      <c r="Q301" s="619"/>
      <c r="R301" s="619"/>
      <c r="S301" s="619"/>
      <c r="T301" s="619"/>
      <c r="U301" s="619"/>
      <c r="V301" s="619"/>
      <c r="W301" s="619"/>
      <c r="X301" s="619"/>
      <c r="Y301" s="623"/>
      <c r="Z301" s="623"/>
      <c r="AA301" s="623"/>
    </row>
    <row r="302" spans="3:27" s="613" customFormat="1">
      <c r="C302" s="614"/>
      <c r="K302" s="617"/>
      <c r="L302" s="617"/>
      <c r="N302" s="618"/>
      <c r="O302" s="618"/>
      <c r="P302" s="618"/>
      <c r="Q302" s="619"/>
      <c r="R302" s="619"/>
      <c r="S302" s="619"/>
      <c r="T302" s="619"/>
      <c r="U302" s="619"/>
      <c r="V302" s="619"/>
      <c r="W302" s="619"/>
      <c r="X302" s="619"/>
      <c r="Y302" s="623"/>
      <c r="Z302" s="623"/>
      <c r="AA302" s="623"/>
    </row>
    <row r="303" spans="3:27" s="613" customFormat="1">
      <c r="C303" s="614"/>
      <c r="K303" s="617"/>
      <c r="L303" s="617"/>
      <c r="N303" s="618"/>
      <c r="O303" s="618"/>
      <c r="P303" s="618"/>
      <c r="Q303" s="619"/>
      <c r="R303" s="619"/>
      <c r="S303" s="619"/>
      <c r="T303" s="619"/>
      <c r="U303" s="619"/>
      <c r="V303" s="619"/>
      <c r="W303" s="619"/>
      <c r="X303" s="619"/>
      <c r="Y303" s="623"/>
      <c r="Z303" s="623"/>
      <c r="AA303" s="623"/>
    </row>
    <row r="304" spans="3:27" s="613" customFormat="1">
      <c r="C304" s="614"/>
      <c r="K304" s="617"/>
      <c r="L304" s="617"/>
      <c r="N304" s="618"/>
      <c r="O304" s="618"/>
      <c r="P304" s="618"/>
      <c r="Q304" s="619"/>
      <c r="R304" s="619"/>
      <c r="S304" s="619"/>
      <c r="T304" s="619"/>
      <c r="U304" s="619"/>
      <c r="V304" s="619"/>
      <c r="W304" s="619"/>
      <c r="X304" s="619"/>
      <c r="Y304" s="623"/>
      <c r="Z304" s="623"/>
      <c r="AA304" s="623"/>
    </row>
    <row r="305" spans="3:27" s="613" customFormat="1">
      <c r="C305" s="614"/>
      <c r="K305" s="617"/>
      <c r="L305" s="617"/>
      <c r="N305" s="618"/>
      <c r="O305" s="618"/>
      <c r="P305" s="618"/>
      <c r="Q305" s="619"/>
      <c r="R305" s="619"/>
      <c r="S305" s="619"/>
      <c r="T305" s="619"/>
      <c r="U305" s="619"/>
      <c r="V305" s="619"/>
      <c r="W305" s="619"/>
      <c r="X305" s="619"/>
      <c r="Y305" s="623"/>
      <c r="Z305" s="623"/>
      <c r="AA305" s="623"/>
    </row>
    <row r="306" spans="3:27" s="613" customFormat="1">
      <c r="C306" s="614"/>
      <c r="K306" s="617"/>
      <c r="L306" s="617"/>
      <c r="N306" s="618"/>
      <c r="O306" s="618"/>
      <c r="P306" s="618"/>
      <c r="Q306" s="619"/>
      <c r="R306" s="619"/>
      <c r="S306" s="619"/>
      <c r="T306" s="619"/>
      <c r="U306" s="619"/>
      <c r="V306" s="619"/>
      <c r="W306" s="619"/>
      <c r="X306" s="619"/>
      <c r="Y306" s="623"/>
      <c r="Z306" s="623"/>
      <c r="AA306" s="623"/>
    </row>
    <row r="307" spans="3:27" s="613" customFormat="1">
      <c r="C307" s="614"/>
      <c r="K307" s="617"/>
      <c r="L307" s="617"/>
      <c r="N307" s="618"/>
      <c r="O307" s="618"/>
      <c r="P307" s="618"/>
      <c r="Q307" s="619"/>
      <c r="R307" s="619"/>
      <c r="S307" s="619"/>
      <c r="T307" s="619"/>
      <c r="U307" s="619"/>
      <c r="V307" s="619"/>
      <c r="W307" s="619"/>
      <c r="X307" s="619"/>
      <c r="Y307" s="623"/>
      <c r="Z307" s="623"/>
      <c r="AA307" s="623"/>
    </row>
    <row r="308" spans="3:27" s="613" customFormat="1">
      <c r="C308" s="614"/>
      <c r="K308" s="617"/>
      <c r="L308" s="617"/>
      <c r="N308" s="618"/>
      <c r="O308" s="618"/>
      <c r="P308" s="618"/>
      <c r="Q308" s="619"/>
      <c r="R308" s="619"/>
      <c r="S308" s="619"/>
      <c r="T308" s="619"/>
      <c r="U308" s="619"/>
      <c r="V308" s="619"/>
      <c r="W308" s="619"/>
      <c r="X308" s="619"/>
      <c r="Y308" s="623"/>
      <c r="Z308" s="623"/>
      <c r="AA308" s="623"/>
    </row>
    <row r="309" spans="3:27" s="613" customFormat="1">
      <c r="C309" s="614"/>
      <c r="K309" s="617"/>
      <c r="L309" s="617"/>
      <c r="N309" s="618"/>
      <c r="O309" s="618"/>
      <c r="P309" s="618"/>
      <c r="Q309" s="619"/>
      <c r="R309" s="619"/>
      <c r="S309" s="619"/>
      <c r="T309" s="619"/>
      <c r="U309" s="619"/>
      <c r="V309" s="619"/>
      <c r="W309" s="619"/>
      <c r="X309" s="619"/>
      <c r="Y309" s="623"/>
      <c r="Z309" s="623"/>
      <c r="AA309" s="623"/>
    </row>
    <row r="310" spans="3:27" s="613" customFormat="1">
      <c r="C310" s="614"/>
      <c r="K310" s="617"/>
      <c r="L310" s="617"/>
      <c r="N310" s="618"/>
      <c r="O310" s="618"/>
      <c r="P310" s="618"/>
      <c r="Q310" s="619"/>
      <c r="R310" s="619"/>
      <c r="S310" s="619"/>
      <c r="T310" s="619"/>
      <c r="U310" s="619"/>
      <c r="V310" s="619"/>
      <c r="W310" s="619"/>
      <c r="X310" s="619"/>
      <c r="Y310" s="623"/>
      <c r="Z310" s="623"/>
      <c r="AA310" s="623"/>
    </row>
    <row r="311" spans="3:27" s="613" customFormat="1">
      <c r="C311" s="614"/>
      <c r="K311" s="617"/>
      <c r="L311" s="617"/>
      <c r="N311" s="618"/>
      <c r="O311" s="618"/>
      <c r="P311" s="618"/>
      <c r="Q311" s="619"/>
      <c r="R311" s="619"/>
      <c r="S311" s="619"/>
      <c r="T311" s="619"/>
      <c r="U311" s="619"/>
      <c r="V311" s="619"/>
      <c r="W311" s="619"/>
      <c r="X311" s="619"/>
      <c r="Y311" s="623"/>
      <c r="Z311" s="623"/>
      <c r="AA311" s="623"/>
    </row>
    <row r="312" spans="3:27" s="613" customFormat="1">
      <c r="C312" s="614"/>
      <c r="K312" s="617"/>
      <c r="L312" s="617"/>
      <c r="N312" s="618"/>
      <c r="O312" s="618"/>
      <c r="P312" s="618"/>
      <c r="Q312" s="619"/>
      <c r="R312" s="619"/>
      <c r="S312" s="619"/>
      <c r="T312" s="619"/>
      <c r="U312" s="619"/>
      <c r="V312" s="619"/>
      <c r="W312" s="619"/>
      <c r="X312" s="619"/>
      <c r="Y312" s="623"/>
      <c r="Z312" s="623"/>
      <c r="AA312" s="623"/>
    </row>
    <row r="313" spans="3:27" s="613" customFormat="1">
      <c r="C313" s="614"/>
      <c r="K313" s="617"/>
      <c r="L313" s="617"/>
      <c r="N313" s="618"/>
      <c r="O313" s="618"/>
      <c r="P313" s="618"/>
      <c r="Q313" s="619"/>
      <c r="R313" s="619"/>
      <c r="S313" s="619"/>
      <c r="T313" s="619"/>
      <c r="U313" s="619"/>
      <c r="V313" s="619"/>
      <c r="W313" s="619"/>
      <c r="X313" s="619"/>
      <c r="Y313" s="623"/>
      <c r="Z313" s="623"/>
      <c r="AA313" s="623"/>
    </row>
    <row r="314" spans="3:27" s="613" customFormat="1">
      <c r="C314" s="614"/>
      <c r="K314" s="617"/>
      <c r="L314" s="617"/>
      <c r="N314" s="618"/>
      <c r="O314" s="618"/>
      <c r="P314" s="618"/>
      <c r="Q314" s="619"/>
      <c r="R314" s="619"/>
      <c r="S314" s="619"/>
      <c r="T314" s="619"/>
      <c r="U314" s="619"/>
      <c r="V314" s="619"/>
      <c r="W314" s="619"/>
      <c r="X314" s="619"/>
      <c r="Y314" s="623"/>
      <c r="Z314" s="623"/>
      <c r="AA314" s="623"/>
    </row>
    <row r="315" spans="3:27" s="613" customFormat="1">
      <c r="C315" s="614"/>
      <c r="K315" s="617"/>
      <c r="L315" s="617"/>
      <c r="N315" s="618"/>
      <c r="O315" s="618"/>
      <c r="P315" s="618"/>
      <c r="Q315" s="619"/>
      <c r="R315" s="619"/>
      <c r="S315" s="619"/>
      <c r="T315" s="619"/>
      <c r="U315" s="619"/>
      <c r="V315" s="619"/>
      <c r="W315" s="619"/>
      <c r="X315" s="619"/>
      <c r="Y315" s="623"/>
      <c r="Z315" s="623"/>
      <c r="AA315" s="623"/>
    </row>
  </sheetData>
  <autoFilter ref="A1:Z76" xr:uid="{2E9ACF7D-622E-4E01-B17B-7F05FD7DB9E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34BD-64D6-477C-A214-F9035B655084}">
  <dimension ref="A1:AB75"/>
  <sheetViews>
    <sheetView zoomScale="85" zoomScaleNormal="85" workbookViewId="0">
      <pane ySplit="2" topLeftCell="A3" activePane="bottomLeft" state="frozen"/>
      <selection pane="bottomLeft" activeCell="C1" sqref="C1"/>
    </sheetView>
  </sheetViews>
  <sheetFormatPr defaultColWidth="9.109375" defaultRowHeight="14.4"/>
  <cols>
    <col min="1" max="2" width="9.109375" style="513"/>
    <col min="3" max="3" width="75.5546875" style="513" bestFit="1" customWidth="1"/>
    <col min="4" max="4" width="11.88671875" style="513" customWidth="1"/>
    <col min="5" max="5" width="10.88671875" style="514" customWidth="1"/>
    <col min="6" max="6" width="14.33203125" style="515" customWidth="1"/>
    <col min="7" max="7" width="9.109375" style="515" customWidth="1"/>
    <col min="8" max="9" width="14.33203125" style="515" customWidth="1"/>
    <col min="10" max="10" width="9.109375" style="516" customWidth="1"/>
    <col min="11" max="11" width="19.109375" style="515" customWidth="1"/>
    <col min="12" max="12" width="16" style="516" customWidth="1"/>
    <col min="13" max="13" width="11.5546875" style="515" customWidth="1"/>
    <col min="14" max="15" width="9.109375" style="515" customWidth="1"/>
    <col min="16" max="16" width="11.5546875" style="517" customWidth="1"/>
    <col min="17" max="17" width="10.5546875" style="517" customWidth="1"/>
    <col min="18" max="18" width="12.5546875" style="517" customWidth="1"/>
    <col min="19" max="19" width="11.5546875" style="517" customWidth="1"/>
    <col min="20" max="20" width="10.5546875" style="517" customWidth="1"/>
    <col min="21" max="21" width="14.33203125" style="517" customWidth="1"/>
    <col min="22" max="22" width="10.5546875" style="517" customWidth="1"/>
    <col min="23" max="23" width="17.44140625" style="517" customWidth="1"/>
    <col min="24" max="24" width="13" style="515" customWidth="1"/>
    <col min="25" max="26" width="19.6640625" style="515" bestFit="1" customWidth="1"/>
    <col min="27" max="28" width="9.109375" style="516"/>
    <col min="29" max="16384" width="9.109375" style="513"/>
  </cols>
  <sheetData>
    <row r="1" spans="1:28" ht="15" thickBot="1">
      <c r="A1" s="513" t="s">
        <v>740</v>
      </c>
    </row>
    <row r="2" spans="1:28" ht="73.5" customHeight="1">
      <c r="A2" s="518"/>
      <c r="B2" s="519" t="s">
        <v>132</v>
      </c>
      <c r="C2" s="518" t="s">
        <v>741</v>
      </c>
      <c r="D2" s="520" t="s">
        <v>742</v>
      </c>
      <c r="E2" s="521" t="s">
        <v>743</v>
      </c>
      <c r="F2" s="522" t="s">
        <v>744</v>
      </c>
      <c r="G2" s="522" t="s">
        <v>745</v>
      </c>
      <c r="H2" s="523" t="s">
        <v>746</v>
      </c>
      <c r="I2" s="524" t="s">
        <v>747</v>
      </c>
      <c r="J2" s="525" t="s">
        <v>748</v>
      </c>
      <c r="K2" s="526" t="s">
        <v>749</v>
      </c>
      <c r="L2" s="527" t="s">
        <v>750</v>
      </c>
      <c r="M2" s="528" t="s">
        <v>751</v>
      </c>
      <c r="N2" s="529" t="s">
        <v>752</v>
      </c>
      <c r="O2" s="530" t="s">
        <v>753</v>
      </c>
      <c r="P2" s="531" t="s">
        <v>754</v>
      </c>
      <c r="Q2" s="531" t="s">
        <v>755</v>
      </c>
      <c r="R2" s="531" t="s">
        <v>756</v>
      </c>
      <c r="S2" s="531" t="s">
        <v>757</v>
      </c>
      <c r="T2" s="532" t="s">
        <v>758</v>
      </c>
      <c r="U2" s="533" t="s">
        <v>759</v>
      </c>
      <c r="V2" s="533" t="s">
        <v>760</v>
      </c>
      <c r="W2" s="534" t="s">
        <v>761</v>
      </c>
      <c r="X2" s="535" t="s">
        <v>762</v>
      </c>
      <c r="Y2" s="536" t="s">
        <v>763</v>
      </c>
      <c r="Z2" s="537" t="s">
        <v>764</v>
      </c>
    </row>
    <row r="3" spans="1:28" ht="16.5" customHeight="1">
      <c r="A3" s="513" t="str">
        <f>VLOOKUP(C3,[69]Supplier!$A:$B,2,FALSE)</f>
        <v>SCH001</v>
      </c>
      <c r="B3" s="513">
        <v>10042</v>
      </c>
      <c r="C3" s="513" t="s">
        <v>765</v>
      </c>
      <c r="D3" s="538" t="s">
        <v>766</v>
      </c>
      <c r="E3" s="513">
        <v>6750</v>
      </c>
      <c r="F3" s="539">
        <v>32022</v>
      </c>
      <c r="G3" s="539">
        <v>0</v>
      </c>
      <c r="H3" s="539">
        <v>16011</v>
      </c>
      <c r="I3" s="540">
        <v>16011</v>
      </c>
      <c r="J3" s="541">
        <v>0</v>
      </c>
      <c r="K3" s="542">
        <v>0</v>
      </c>
      <c r="L3" s="543">
        <f t="shared" ref="L3:L66" si="0">H3+K3</f>
        <v>16011</v>
      </c>
      <c r="M3" s="515">
        <v>22</v>
      </c>
      <c r="N3" s="515">
        <v>11</v>
      </c>
      <c r="O3" s="515">
        <v>3450</v>
      </c>
      <c r="P3" s="515">
        <v>20458.5</v>
      </c>
      <c r="Q3" s="515">
        <v>666</v>
      </c>
      <c r="R3" s="515">
        <v>1065</v>
      </c>
      <c r="S3" s="515">
        <v>6315.45</v>
      </c>
      <c r="T3" s="515">
        <v>199.35</v>
      </c>
      <c r="U3" s="544">
        <f t="shared" ref="U3:U66" si="1">(Q3+T3)-V3</f>
        <v>756.45</v>
      </c>
      <c r="V3" s="545">
        <v>108.9</v>
      </c>
      <c r="W3" s="546">
        <f t="shared" ref="W3:W66" si="2">P3+S3+U3+V3</f>
        <v>27639.300000000003</v>
      </c>
      <c r="X3" s="515">
        <v>0</v>
      </c>
      <c r="Y3" s="546">
        <v>11628.3</v>
      </c>
      <c r="Z3" s="546">
        <f t="shared" ref="Z3:Z66" si="3">L3+Y3-X3</f>
        <v>27639.3</v>
      </c>
    </row>
    <row r="4" spans="1:28">
      <c r="A4" s="513" t="str">
        <f>VLOOKUP(C4,[69]Supplier!$A:$B,2,FALSE)</f>
        <v>SCH002</v>
      </c>
      <c r="B4" s="513">
        <v>10043</v>
      </c>
      <c r="C4" s="513" t="s">
        <v>767</v>
      </c>
      <c r="D4" s="538" t="s">
        <v>766</v>
      </c>
      <c r="E4" s="513">
        <v>7095</v>
      </c>
      <c r="F4" s="539">
        <v>33658.68</v>
      </c>
      <c r="G4" s="539">
        <v>0</v>
      </c>
      <c r="H4" s="539">
        <v>16829.34</v>
      </c>
      <c r="I4" s="540">
        <v>16829.34</v>
      </c>
      <c r="J4" s="541">
        <v>7095</v>
      </c>
      <c r="K4" s="542">
        <v>16829.34</v>
      </c>
      <c r="L4" s="543">
        <f t="shared" si="0"/>
        <v>33658.68</v>
      </c>
      <c r="M4" s="515">
        <v>36</v>
      </c>
      <c r="N4" s="515">
        <v>11</v>
      </c>
      <c r="O4" s="515">
        <v>5844</v>
      </c>
      <c r="P4" s="515">
        <v>34654.92</v>
      </c>
      <c r="Q4" s="515">
        <v>2267.2800000000002</v>
      </c>
      <c r="R4" s="515">
        <v>1629</v>
      </c>
      <c r="S4" s="515">
        <v>9659.9699999999993</v>
      </c>
      <c r="T4" s="515">
        <v>439.47</v>
      </c>
      <c r="U4" s="544">
        <f t="shared" si="1"/>
        <v>2172.15</v>
      </c>
      <c r="V4" s="545">
        <v>534.6</v>
      </c>
      <c r="W4" s="546">
        <f t="shared" si="2"/>
        <v>47021.64</v>
      </c>
      <c r="X4" s="515">
        <v>0</v>
      </c>
      <c r="Y4" s="546">
        <v>13362.96</v>
      </c>
      <c r="Z4" s="546">
        <f t="shared" si="3"/>
        <v>47021.64</v>
      </c>
    </row>
    <row r="5" spans="1:28">
      <c r="A5" s="513" t="str">
        <f>VLOOKUP(C5,[69]Supplier!$A:$B,2,FALSE)</f>
        <v>SCH003</v>
      </c>
      <c r="B5" s="513">
        <v>10044</v>
      </c>
      <c r="C5" s="513" t="s">
        <v>768</v>
      </c>
      <c r="D5" s="538" t="s">
        <v>766</v>
      </c>
      <c r="E5" s="513"/>
      <c r="F5" s="539">
        <v>0</v>
      </c>
      <c r="G5" s="539">
        <v>0</v>
      </c>
      <c r="H5" s="539">
        <v>0</v>
      </c>
      <c r="I5" s="540">
        <v>0</v>
      </c>
      <c r="J5" s="541"/>
      <c r="K5" s="542">
        <v>0</v>
      </c>
      <c r="L5" s="543">
        <f t="shared" si="0"/>
        <v>0</v>
      </c>
      <c r="M5" s="515">
        <v>31</v>
      </c>
      <c r="N5" s="515">
        <v>11</v>
      </c>
      <c r="O5" s="515">
        <v>4935</v>
      </c>
      <c r="P5" s="515">
        <v>29264.55</v>
      </c>
      <c r="Q5" s="515">
        <v>1864.35</v>
      </c>
      <c r="R5" s="515">
        <v>0</v>
      </c>
      <c r="S5" s="515">
        <v>0</v>
      </c>
      <c r="T5" s="515">
        <v>0</v>
      </c>
      <c r="U5" s="544">
        <f t="shared" si="1"/>
        <v>1359.4499999999998</v>
      </c>
      <c r="V5" s="547">
        <v>504.90000000000009</v>
      </c>
      <c r="W5" s="546">
        <f t="shared" si="2"/>
        <v>31128.9</v>
      </c>
      <c r="X5" s="515">
        <v>0</v>
      </c>
      <c r="Y5" s="546">
        <v>31128.9</v>
      </c>
      <c r="Z5" s="546">
        <f t="shared" si="3"/>
        <v>31128.9</v>
      </c>
    </row>
    <row r="6" spans="1:28">
      <c r="A6" s="513" t="str">
        <f>VLOOKUP(C6,[69]Supplier!$A:$B,2,FALSE)</f>
        <v>SCH005</v>
      </c>
      <c r="C6" s="513" t="s">
        <v>769</v>
      </c>
      <c r="D6" s="538" t="s">
        <v>770</v>
      </c>
      <c r="E6" s="513">
        <v>23400</v>
      </c>
      <c r="F6" s="539">
        <v>111009.60000000001</v>
      </c>
      <c r="G6" s="539">
        <v>0</v>
      </c>
      <c r="H6" s="539">
        <v>55504.800000000003</v>
      </c>
      <c r="I6" s="540">
        <v>55504.800000000003</v>
      </c>
      <c r="J6" s="541">
        <v>23400</v>
      </c>
      <c r="K6" s="542">
        <v>55504.800000000003</v>
      </c>
      <c r="L6" s="543">
        <f t="shared" si="0"/>
        <v>111009.60000000001</v>
      </c>
      <c r="M6" s="515">
        <v>80</v>
      </c>
      <c r="N6" s="515">
        <v>13</v>
      </c>
      <c r="O6" s="515">
        <v>15330</v>
      </c>
      <c r="P6" s="515">
        <v>90906.9</v>
      </c>
      <c r="Q6" s="515">
        <v>2667.6</v>
      </c>
      <c r="R6" s="515">
        <v>8010</v>
      </c>
      <c r="S6" s="515">
        <v>47499.3</v>
      </c>
      <c r="T6" s="515">
        <v>1295.0999999999999</v>
      </c>
      <c r="U6" s="544">
        <f t="shared" si="1"/>
        <v>3735</v>
      </c>
      <c r="V6" s="547">
        <v>227.70000000000002</v>
      </c>
      <c r="W6" s="546">
        <f t="shared" si="2"/>
        <v>142368.90000000002</v>
      </c>
      <c r="X6" s="515">
        <v>0</v>
      </c>
      <c r="Y6" s="546">
        <v>31359.3</v>
      </c>
      <c r="Z6" s="546">
        <f t="shared" si="3"/>
        <v>142368.9</v>
      </c>
    </row>
    <row r="7" spans="1:28">
      <c r="A7" s="513" t="str">
        <f>VLOOKUP(C7,[69]Supplier!$A:$B,2,FALSE)</f>
        <v>SCH004</v>
      </c>
      <c r="B7" s="513">
        <v>10128</v>
      </c>
      <c r="C7" s="513" t="s">
        <v>771</v>
      </c>
      <c r="D7" s="538" t="s">
        <v>766</v>
      </c>
      <c r="E7" s="513">
        <v>12375</v>
      </c>
      <c r="F7" s="539">
        <v>58707</v>
      </c>
      <c r="G7" s="539">
        <v>0</v>
      </c>
      <c r="H7" s="539">
        <v>29353.5</v>
      </c>
      <c r="I7" s="540">
        <v>29353.5</v>
      </c>
      <c r="J7" s="541">
        <v>12375</v>
      </c>
      <c r="K7" s="542">
        <v>29353.5</v>
      </c>
      <c r="L7" s="543">
        <f t="shared" si="0"/>
        <v>58707</v>
      </c>
      <c r="M7" s="515">
        <v>51</v>
      </c>
      <c r="N7" s="515">
        <v>11</v>
      </c>
      <c r="O7" s="515">
        <v>8415</v>
      </c>
      <c r="P7" s="515">
        <v>49900.95</v>
      </c>
      <c r="Q7" s="515">
        <v>1262.25</v>
      </c>
      <c r="R7" s="515">
        <v>4290</v>
      </c>
      <c r="S7" s="515">
        <v>25439.7</v>
      </c>
      <c r="T7" s="515">
        <v>643.5</v>
      </c>
      <c r="U7" s="544">
        <f t="shared" si="1"/>
        <v>1905.75</v>
      </c>
      <c r="V7" s="545">
        <v>0</v>
      </c>
      <c r="W7" s="546">
        <f t="shared" si="2"/>
        <v>77246.399999999994</v>
      </c>
      <c r="X7" s="515">
        <v>0</v>
      </c>
      <c r="Y7" s="546">
        <v>18539.400000000001</v>
      </c>
      <c r="Z7" s="546">
        <f t="shared" si="3"/>
        <v>77246.399999999994</v>
      </c>
      <c r="AB7" s="513"/>
    </row>
    <row r="8" spans="1:28">
      <c r="A8" s="513" t="str">
        <f>VLOOKUP(C8,[69]Supplier!$A:$B,2,FALSE)</f>
        <v>SCH006</v>
      </c>
      <c r="B8" s="513">
        <v>11278</v>
      </c>
      <c r="C8" s="513" t="s">
        <v>772</v>
      </c>
      <c r="D8" s="538" t="s">
        <v>766</v>
      </c>
      <c r="E8" s="513">
        <v>6105</v>
      </c>
      <c r="F8" s="539">
        <v>28962.12</v>
      </c>
      <c r="G8" s="539">
        <v>0</v>
      </c>
      <c r="H8" s="539">
        <v>14481.06</v>
      </c>
      <c r="I8" s="540">
        <v>14481.06</v>
      </c>
      <c r="J8" s="541">
        <v>6105</v>
      </c>
      <c r="K8" s="542">
        <v>14481.06</v>
      </c>
      <c r="L8" s="543">
        <f t="shared" si="0"/>
        <v>28962.12</v>
      </c>
      <c r="M8" s="515">
        <v>19</v>
      </c>
      <c r="N8" s="515">
        <v>11</v>
      </c>
      <c r="O8" s="515">
        <v>3135</v>
      </c>
      <c r="P8" s="515">
        <v>18590.55</v>
      </c>
      <c r="Q8" s="515">
        <v>509.85</v>
      </c>
      <c r="R8" s="515">
        <v>2970</v>
      </c>
      <c r="S8" s="515">
        <v>17612.099999999999</v>
      </c>
      <c r="T8" s="515">
        <v>485.1</v>
      </c>
      <c r="U8" s="544">
        <f t="shared" si="1"/>
        <v>994.95</v>
      </c>
      <c r="V8" s="547">
        <v>0</v>
      </c>
      <c r="W8" s="546">
        <f t="shared" si="2"/>
        <v>37197.599999999991</v>
      </c>
      <c r="X8" s="515">
        <v>0</v>
      </c>
      <c r="Y8" s="546">
        <v>8235.48</v>
      </c>
      <c r="Z8" s="546">
        <f t="shared" si="3"/>
        <v>37197.599999999999</v>
      </c>
    </row>
    <row r="9" spans="1:28">
      <c r="A9" s="513" t="str">
        <f>VLOOKUP(C9,[69]Supplier!$A:$B,2,FALSE)</f>
        <v>SCH007</v>
      </c>
      <c r="B9" s="513">
        <v>10045</v>
      </c>
      <c r="C9" s="513" t="s">
        <v>773</v>
      </c>
      <c r="D9" s="538" t="s">
        <v>766</v>
      </c>
      <c r="E9" s="513"/>
      <c r="F9" s="539">
        <v>0</v>
      </c>
      <c r="G9" s="539">
        <v>0</v>
      </c>
      <c r="H9" s="539">
        <v>0</v>
      </c>
      <c r="I9" s="540">
        <v>0</v>
      </c>
      <c r="J9" s="541"/>
      <c r="K9" s="542">
        <v>0</v>
      </c>
      <c r="L9" s="543">
        <f t="shared" si="0"/>
        <v>0</v>
      </c>
      <c r="M9" s="515">
        <v>32</v>
      </c>
      <c r="N9" s="515">
        <v>11</v>
      </c>
      <c r="O9" s="515">
        <v>5118</v>
      </c>
      <c r="P9" s="515">
        <v>30349.74</v>
      </c>
      <c r="Q9" s="515">
        <v>1114.2</v>
      </c>
      <c r="R9" s="515">
        <v>825</v>
      </c>
      <c r="S9" s="515">
        <v>4892.25</v>
      </c>
      <c r="T9" s="515">
        <v>163.35</v>
      </c>
      <c r="U9" s="544">
        <f t="shared" si="1"/>
        <v>1168.6499999999999</v>
      </c>
      <c r="V9" s="545">
        <v>108.9</v>
      </c>
      <c r="W9" s="546">
        <f t="shared" si="2"/>
        <v>36519.540000000008</v>
      </c>
      <c r="X9" s="515">
        <v>0</v>
      </c>
      <c r="Y9" s="546">
        <v>36519.54</v>
      </c>
      <c r="Z9" s="546">
        <f t="shared" si="3"/>
        <v>36519.54</v>
      </c>
    </row>
    <row r="10" spans="1:28">
      <c r="A10" s="513" t="str">
        <f>VLOOKUP(C10,[69]Supplier!$A:$B,2,FALSE)</f>
        <v>SCH008</v>
      </c>
      <c r="B10" s="513">
        <v>10115</v>
      </c>
      <c r="C10" s="513" t="s">
        <v>774</v>
      </c>
      <c r="D10" s="538" t="s">
        <v>766</v>
      </c>
      <c r="E10" s="513">
        <v>9570</v>
      </c>
      <c r="F10" s="539">
        <v>45400.08</v>
      </c>
      <c r="G10" s="539">
        <v>0</v>
      </c>
      <c r="H10" s="539">
        <v>22700.04</v>
      </c>
      <c r="I10" s="540">
        <v>22700.04</v>
      </c>
      <c r="J10" s="541">
        <v>9570</v>
      </c>
      <c r="K10" s="542">
        <v>22700.04</v>
      </c>
      <c r="L10" s="543">
        <f t="shared" si="0"/>
        <v>45400.08</v>
      </c>
      <c r="M10" s="515">
        <v>46</v>
      </c>
      <c r="N10" s="515">
        <v>11</v>
      </c>
      <c r="O10" s="515">
        <v>7350</v>
      </c>
      <c r="P10" s="515">
        <v>43585.5</v>
      </c>
      <c r="Q10" s="515">
        <v>2767.2</v>
      </c>
      <c r="R10" s="515">
        <v>2640</v>
      </c>
      <c r="S10" s="515">
        <v>15655.2</v>
      </c>
      <c r="T10" s="515">
        <v>803.55</v>
      </c>
      <c r="U10" s="544">
        <f t="shared" si="1"/>
        <v>3244.05</v>
      </c>
      <c r="V10" s="547">
        <v>326.70000000000005</v>
      </c>
      <c r="W10" s="546">
        <f t="shared" si="2"/>
        <v>62811.45</v>
      </c>
      <c r="X10" s="515">
        <v>0</v>
      </c>
      <c r="Y10" s="546">
        <v>17411.37</v>
      </c>
      <c r="Z10" s="546">
        <f t="shared" si="3"/>
        <v>62811.45</v>
      </c>
      <c r="AB10" s="513"/>
    </row>
    <row r="11" spans="1:28">
      <c r="A11" s="513" t="e">
        <f>VLOOKUP(C11,[69]Supplier!$A:$B,2,FALSE)</f>
        <v>#N/A</v>
      </c>
      <c r="C11" s="513" t="s">
        <v>775</v>
      </c>
      <c r="D11" s="538" t="s">
        <v>337</v>
      </c>
      <c r="E11" s="513">
        <v>10890</v>
      </c>
      <c r="F11" s="539">
        <v>51662.16</v>
      </c>
      <c r="G11" s="539">
        <v>0</v>
      </c>
      <c r="H11" s="539">
        <v>25831.08</v>
      </c>
      <c r="I11" s="540">
        <v>25831.08</v>
      </c>
      <c r="J11" s="541">
        <v>10890</v>
      </c>
      <c r="K11" s="542">
        <v>25831.08</v>
      </c>
      <c r="L11" s="543">
        <f t="shared" si="0"/>
        <v>51662.16</v>
      </c>
      <c r="M11" s="515">
        <v>56</v>
      </c>
      <c r="N11" s="515">
        <v>11</v>
      </c>
      <c r="O11" s="515">
        <v>9150</v>
      </c>
      <c r="P11" s="515">
        <v>54259.5</v>
      </c>
      <c r="Q11" s="515">
        <v>3819.15</v>
      </c>
      <c r="R11" s="515">
        <v>2625</v>
      </c>
      <c r="S11" s="515">
        <v>15566.25</v>
      </c>
      <c r="T11" s="515">
        <v>527.4</v>
      </c>
      <c r="U11" s="544">
        <f t="shared" si="1"/>
        <v>2821.95</v>
      </c>
      <c r="V11" s="545">
        <v>1524.6000000000004</v>
      </c>
      <c r="W11" s="546">
        <f t="shared" si="2"/>
        <v>74172.3</v>
      </c>
      <c r="X11" s="515">
        <v>0</v>
      </c>
      <c r="Y11" s="546">
        <v>22510.14</v>
      </c>
      <c r="Z11" s="546">
        <f t="shared" si="3"/>
        <v>74172.3</v>
      </c>
      <c r="AB11" s="513"/>
    </row>
    <row r="12" spans="1:28" s="548" customFormat="1">
      <c r="A12" s="548" t="str">
        <f>VLOOKUP(C12,[69]Supplier!$A:$B,2,FALSE)</f>
        <v>SCH011</v>
      </c>
      <c r="B12" s="548">
        <v>10135</v>
      </c>
      <c r="C12" s="548" t="s">
        <v>776</v>
      </c>
      <c r="D12" s="549" t="s">
        <v>766</v>
      </c>
      <c r="F12" s="550">
        <v>0</v>
      </c>
      <c r="G12" s="550">
        <v>0</v>
      </c>
      <c r="H12" s="550">
        <v>0</v>
      </c>
      <c r="I12" s="551">
        <v>0</v>
      </c>
      <c r="J12" s="552"/>
      <c r="K12" s="551">
        <v>0</v>
      </c>
      <c r="L12" s="553">
        <f t="shared" si="0"/>
        <v>0</v>
      </c>
      <c r="M12" s="552">
        <v>91</v>
      </c>
      <c r="N12" s="552">
        <v>11</v>
      </c>
      <c r="O12" s="552">
        <v>15015</v>
      </c>
      <c r="P12" s="552">
        <v>89038.95</v>
      </c>
      <c r="Q12" s="552">
        <v>3667.95</v>
      </c>
      <c r="R12" s="552">
        <v>5445</v>
      </c>
      <c r="S12" s="552">
        <v>32288.85</v>
      </c>
      <c r="T12" s="552">
        <v>1133.55</v>
      </c>
      <c r="U12" s="554">
        <f t="shared" si="1"/>
        <v>4257</v>
      </c>
      <c r="V12" s="555">
        <v>544.5</v>
      </c>
      <c r="W12" s="556">
        <f t="shared" si="2"/>
        <v>126129.29999999999</v>
      </c>
      <c r="X12" s="552">
        <v>0</v>
      </c>
      <c r="Y12" s="556">
        <v>126129.3</v>
      </c>
      <c r="Z12" s="556">
        <f t="shared" si="3"/>
        <v>126129.3</v>
      </c>
      <c r="AA12" s="557"/>
      <c r="AB12" s="557"/>
    </row>
    <row r="13" spans="1:28">
      <c r="A13" s="513" t="str">
        <f>VLOOKUP(C13,[69]Supplier!$A:$B,2,FALSE)</f>
        <v>SCH012</v>
      </c>
      <c r="B13" s="513">
        <v>10047</v>
      </c>
      <c r="C13" s="513" t="s">
        <v>777</v>
      </c>
      <c r="D13" s="538" t="s">
        <v>766</v>
      </c>
      <c r="E13" s="513">
        <v>8745</v>
      </c>
      <c r="F13" s="539">
        <v>41486.28</v>
      </c>
      <c r="G13" s="539">
        <v>0</v>
      </c>
      <c r="H13" s="539">
        <v>20743.14</v>
      </c>
      <c r="I13" s="540">
        <v>20743.14</v>
      </c>
      <c r="J13" s="541">
        <v>8745</v>
      </c>
      <c r="K13" s="542">
        <v>20743.14</v>
      </c>
      <c r="L13" s="543">
        <f t="shared" si="0"/>
        <v>41486.28</v>
      </c>
      <c r="M13" s="515">
        <v>43</v>
      </c>
      <c r="N13" s="515">
        <v>11</v>
      </c>
      <c r="O13" s="515">
        <v>7065</v>
      </c>
      <c r="P13" s="515">
        <v>41895.449999999997</v>
      </c>
      <c r="Q13" s="515">
        <v>1208.25</v>
      </c>
      <c r="R13" s="515">
        <v>1785</v>
      </c>
      <c r="S13" s="515">
        <v>10585.05</v>
      </c>
      <c r="T13" s="515">
        <v>267.75</v>
      </c>
      <c r="U13" s="544">
        <f t="shared" si="1"/>
        <v>1367.1</v>
      </c>
      <c r="V13" s="547">
        <v>108.9</v>
      </c>
      <c r="W13" s="546">
        <f t="shared" si="2"/>
        <v>53956.5</v>
      </c>
      <c r="X13" s="515">
        <v>0</v>
      </c>
      <c r="Y13" s="546">
        <v>12470.22</v>
      </c>
      <c r="Z13" s="546">
        <f t="shared" si="3"/>
        <v>53956.5</v>
      </c>
      <c r="AB13" s="513"/>
    </row>
    <row r="14" spans="1:28">
      <c r="A14" s="513" t="str">
        <f>VLOOKUP(C14,[69]Supplier!$A:$B,2,FALSE)</f>
        <v>SCH013</v>
      </c>
      <c r="B14" s="513">
        <v>10048</v>
      </c>
      <c r="C14" s="513" t="s">
        <v>778</v>
      </c>
      <c r="D14" s="538" t="s">
        <v>766</v>
      </c>
      <c r="E14" s="513">
        <v>8085</v>
      </c>
      <c r="F14" s="539">
        <v>38355.24</v>
      </c>
      <c r="G14" s="539">
        <v>0</v>
      </c>
      <c r="H14" s="539">
        <v>19177.62</v>
      </c>
      <c r="I14" s="540">
        <v>19177.62</v>
      </c>
      <c r="J14" s="541">
        <v>8085</v>
      </c>
      <c r="K14" s="542">
        <v>19177.62</v>
      </c>
      <c r="L14" s="543">
        <f t="shared" si="0"/>
        <v>38355.24</v>
      </c>
      <c r="M14" s="515">
        <v>36</v>
      </c>
      <c r="N14" s="515">
        <v>11</v>
      </c>
      <c r="O14" s="515">
        <v>5850</v>
      </c>
      <c r="P14" s="515">
        <v>34690.5</v>
      </c>
      <c r="Q14" s="515">
        <v>1404.9</v>
      </c>
      <c r="R14" s="515">
        <v>2484</v>
      </c>
      <c r="S14" s="515">
        <v>14730.12</v>
      </c>
      <c r="T14" s="515">
        <v>487.8</v>
      </c>
      <c r="U14" s="544">
        <f t="shared" si="1"/>
        <v>1674.9</v>
      </c>
      <c r="V14" s="547">
        <v>217.8</v>
      </c>
      <c r="W14" s="546">
        <f t="shared" si="2"/>
        <v>51313.320000000007</v>
      </c>
      <c r="X14" s="515">
        <v>0</v>
      </c>
      <c r="Y14" s="546">
        <v>12958.08</v>
      </c>
      <c r="Z14" s="546">
        <f t="shared" si="3"/>
        <v>51313.32</v>
      </c>
    </row>
    <row r="15" spans="1:28">
      <c r="A15" s="513" t="str">
        <f>VLOOKUP(C15,[69]Supplier!$A:$B,2,FALSE)</f>
        <v>SCH014</v>
      </c>
      <c r="C15" s="513" t="s">
        <v>779</v>
      </c>
      <c r="D15" s="538" t="s">
        <v>337</v>
      </c>
      <c r="E15" s="513">
        <v>8424</v>
      </c>
      <c r="F15" s="539">
        <v>39963.46</v>
      </c>
      <c r="G15" s="539">
        <v>0</v>
      </c>
      <c r="H15" s="539">
        <v>19981.73</v>
      </c>
      <c r="I15" s="540">
        <v>19981.73</v>
      </c>
      <c r="J15" s="541">
        <v>8424</v>
      </c>
      <c r="K15" s="542">
        <v>19981.73</v>
      </c>
      <c r="L15" s="543">
        <f t="shared" si="0"/>
        <v>39963.46</v>
      </c>
      <c r="M15" s="515">
        <v>41</v>
      </c>
      <c r="N15" s="515">
        <v>11</v>
      </c>
      <c r="O15" s="515">
        <v>6765</v>
      </c>
      <c r="P15" s="515">
        <v>40116.449999999997</v>
      </c>
      <c r="Q15" s="515">
        <v>2955.15</v>
      </c>
      <c r="R15" s="515">
        <v>1815</v>
      </c>
      <c r="S15" s="515">
        <v>10762.95</v>
      </c>
      <c r="T15" s="515">
        <v>589.04999999999995</v>
      </c>
      <c r="U15" s="544">
        <f t="shared" si="1"/>
        <v>2673</v>
      </c>
      <c r="V15" s="545">
        <v>871.19999999999993</v>
      </c>
      <c r="W15" s="546">
        <f t="shared" si="2"/>
        <v>54423.599999999991</v>
      </c>
      <c r="X15" s="515">
        <v>0</v>
      </c>
      <c r="Y15" s="546">
        <v>14460.14</v>
      </c>
      <c r="Z15" s="546">
        <f t="shared" si="3"/>
        <v>54423.6</v>
      </c>
    </row>
    <row r="16" spans="1:28">
      <c r="A16" s="513" t="str">
        <f>VLOOKUP(C16,[69]Supplier!$A:$B,2,FALSE)</f>
        <v>SCH015</v>
      </c>
      <c r="B16" s="513">
        <v>10050</v>
      </c>
      <c r="C16" s="513" t="s">
        <v>780</v>
      </c>
      <c r="D16" s="538" t="s">
        <v>766</v>
      </c>
      <c r="E16" s="513">
        <v>4026</v>
      </c>
      <c r="F16" s="539">
        <v>19099.34</v>
      </c>
      <c r="G16" s="539">
        <v>0</v>
      </c>
      <c r="H16" s="539">
        <v>9549.67</v>
      </c>
      <c r="I16" s="540">
        <v>9549.67</v>
      </c>
      <c r="J16" s="541">
        <v>4026</v>
      </c>
      <c r="K16" s="542">
        <v>9549.67</v>
      </c>
      <c r="L16" s="543">
        <f t="shared" si="0"/>
        <v>19099.34</v>
      </c>
      <c r="M16" s="515">
        <v>18</v>
      </c>
      <c r="N16" s="515">
        <v>11</v>
      </c>
      <c r="O16" s="515">
        <v>2940</v>
      </c>
      <c r="P16" s="515">
        <v>17434.2</v>
      </c>
      <c r="Q16" s="515">
        <v>480.6</v>
      </c>
      <c r="R16" s="515">
        <v>1086</v>
      </c>
      <c r="S16" s="515">
        <v>6439.98</v>
      </c>
      <c r="T16" s="515">
        <v>202.5</v>
      </c>
      <c r="U16" s="544">
        <f t="shared" si="1"/>
        <v>683.1</v>
      </c>
      <c r="V16" s="547">
        <v>0</v>
      </c>
      <c r="W16" s="546">
        <f t="shared" si="2"/>
        <v>24557.279999999999</v>
      </c>
      <c r="X16" s="515">
        <v>0</v>
      </c>
      <c r="Y16" s="546">
        <v>5457.94</v>
      </c>
      <c r="Z16" s="546">
        <f t="shared" si="3"/>
        <v>24557.279999999999</v>
      </c>
    </row>
    <row r="17" spans="1:28">
      <c r="A17" s="513" t="str">
        <f>VLOOKUP(C17,[69]Supplier!$A:$B,2,FALSE)</f>
        <v>SCH016</v>
      </c>
      <c r="C17" s="513" t="s">
        <v>781</v>
      </c>
      <c r="D17" s="538" t="s">
        <v>337</v>
      </c>
      <c r="E17" s="513"/>
      <c r="F17" s="539">
        <v>0</v>
      </c>
      <c r="G17" s="539">
        <v>0</v>
      </c>
      <c r="H17" s="539">
        <v>0</v>
      </c>
      <c r="I17" s="540">
        <v>0</v>
      </c>
      <c r="J17" s="541"/>
      <c r="K17" s="542">
        <v>0</v>
      </c>
      <c r="L17" s="543">
        <f t="shared" si="0"/>
        <v>0</v>
      </c>
      <c r="M17" s="515">
        <v>0</v>
      </c>
      <c r="N17" s="515">
        <v>11</v>
      </c>
      <c r="O17" s="515">
        <v>0</v>
      </c>
      <c r="P17" s="515">
        <v>0</v>
      </c>
      <c r="Q17" s="515">
        <v>0</v>
      </c>
      <c r="R17" s="515">
        <v>0</v>
      </c>
      <c r="S17" s="515">
        <v>0</v>
      </c>
      <c r="T17" s="515">
        <v>0</v>
      </c>
      <c r="U17" s="544">
        <f t="shared" si="1"/>
        <v>0</v>
      </c>
      <c r="V17" s="545">
        <v>0</v>
      </c>
      <c r="W17" s="546">
        <f t="shared" si="2"/>
        <v>0</v>
      </c>
      <c r="X17" s="515">
        <v>0</v>
      </c>
      <c r="Y17" s="546">
        <v>0</v>
      </c>
      <c r="Z17" s="546">
        <f t="shared" si="3"/>
        <v>0</v>
      </c>
      <c r="AB17" s="513"/>
    </row>
    <row r="18" spans="1:28">
      <c r="A18" s="513" t="str">
        <f>VLOOKUP(C18,[69]Supplier!$A:$B,2,FALSE)</f>
        <v>SCH018</v>
      </c>
      <c r="B18" s="513">
        <v>10054</v>
      </c>
      <c r="C18" s="513" t="s">
        <v>782</v>
      </c>
      <c r="D18" s="538" t="s">
        <v>766</v>
      </c>
      <c r="E18" s="513">
        <v>14850</v>
      </c>
      <c r="F18" s="539">
        <v>70448.399999999994</v>
      </c>
      <c r="G18" s="539">
        <v>0</v>
      </c>
      <c r="H18" s="539">
        <v>35224.199999999997</v>
      </c>
      <c r="I18" s="540">
        <v>35224.199999999997</v>
      </c>
      <c r="J18" s="541">
        <v>14850</v>
      </c>
      <c r="K18" s="542">
        <v>35224.199999999997</v>
      </c>
      <c r="L18" s="543">
        <f t="shared" si="0"/>
        <v>70448.399999999994</v>
      </c>
      <c r="M18" s="515">
        <v>80</v>
      </c>
      <c r="N18" s="515">
        <v>11</v>
      </c>
      <c r="O18" s="515">
        <v>12930</v>
      </c>
      <c r="P18" s="515">
        <v>76674.899999999994</v>
      </c>
      <c r="Q18" s="515">
        <v>3498.3</v>
      </c>
      <c r="R18" s="515">
        <v>1785</v>
      </c>
      <c r="S18" s="515">
        <v>10585.05</v>
      </c>
      <c r="T18" s="515">
        <v>426.15</v>
      </c>
      <c r="U18" s="544">
        <f t="shared" si="1"/>
        <v>3924.4500000000003</v>
      </c>
      <c r="V18" s="545">
        <v>0</v>
      </c>
      <c r="W18" s="546">
        <f t="shared" si="2"/>
        <v>91184.4</v>
      </c>
      <c r="X18" s="515">
        <v>0</v>
      </c>
      <c r="Y18" s="546">
        <v>20736</v>
      </c>
      <c r="Z18" s="546">
        <f t="shared" si="3"/>
        <v>91184.4</v>
      </c>
    </row>
    <row r="19" spans="1:28">
      <c r="A19" s="513" t="str">
        <f>VLOOKUP(C19,[69]Supplier!$A:$B,2,FALSE)</f>
        <v>SCH019</v>
      </c>
      <c r="B19" s="513">
        <v>10055</v>
      </c>
      <c r="C19" s="513" t="s">
        <v>783</v>
      </c>
      <c r="D19" s="538" t="s">
        <v>766</v>
      </c>
      <c r="E19" s="513">
        <v>5115</v>
      </c>
      <c r="F19" s="539">
        <v>24265.56</v>
      </c>
      <c r="G19" s="539">
        <v>0</v>
      </c>
      <c r="H19" s="539">
        <v>12132.78</v>
      </c>
      <c r="I19" s="540">
        <v>12132.78</v>
      </c>
      <c r="J19" s="541">
        <v>5115</v>
      </c>
      <c r="K19" s="542">
        <v>12132.78</v>
      </c>
      <c r="L19" s="543">
        <f t="shared" si="0"/>
        <v>24265.56</v>
      </c>
      <c r="M19" s="515">
        <v>33</v>
      </c>
      <c r="N19" s="515">
        <v>11</v>
      </c>
      <c r="O19" s="515">
        <v>5415</v>
      </c>
      <c r="P19" s="515">
        <v>32110.95</v>
      </c>
      <c r="Q19" s="515">
        <v>1930.95</v>
      </c>
      <c r="R19" s="515">
        <v>2805</v>
      </c>
      <c r="S19" s="515">
        <v>16633.650000000001</v>
      </c>
      <c r="T19" s="515">
        <v>618.75</v>
      </c>
      <c r="U19" s="544">
        <f t="shared" si="1"/>
        <v>1787.3999999999999</v>
      </c>
      <c r="V19" s="545">
        <v>762.3</v>
      </c>
      <c r="W19" s="546">
        <f t="shared" si="2"/>
        <v>51294.30000000001</v>
      </c>
      <c r="X19" s="515">
        <v>0</v>
      </c>
      <c r="Y19" s="546">
        <v>27028.74</v>
      </c>
      <c r="Z19" s="546">
        <f t="shared" si="3"/>
        <v>51294.3</v>
      </c>
    </row>
    <row r="20" spans="1:28">
      <c r="A20" s="513" t="e">
        <f>VLOOKUP(C20,[69]Supplier!$A:$B,2,FALSE)</f>
        <v>#N/A</v>
      </c>
      <c r="B20" s="513">
        <v>10059</v>
      </c>
      <c r="C20" s="513" t="s">
        <v>784</v>
      </c>
      <c r="D20" s="538" t="s">
        <v>766</v>
      </c>
      <c r="E20" s="513">
        <v>10230</v>
      </c>
      <c r="F20" s="539">
        <v>48531.12</v>
      </c>
      <c r="G20" s="539">
        <v>0</v>
      </c>
      <c r="H20" s="539">
        <v>24075.96</v>
      </c>
      <c r="I20" s="540">
        <v>24075.96</v>
      </c>
      <c r="J20" s="541">
        <v>10230</v>
      </c>
      <c r="K20" s="542">
        <v>24265.56</v>
      </c>
      <c r="L20" s="543">
        <f t="shared" si="0"/>
        <v>48341.520000000004</v>
      </c>
      <c r="M20" s="515">
        <v>49</v>
      </c>
      <c r="N20" s="515">
        <v>11</v>
      </c>
      <c r="O20" s="515">
        <v>8040</v>
      </c>
      <c r="P20" s="515">
        <v>47677.2</v>
      </c>
      <c r="Q20" s="515">
        <v>3190.35</v>
      </c>
      <c r="R20" s="515">
        <v>2280</v>
      </c>
      <c r="S20" s="515">
        <v>13520.4</v>
      </c>
      <c r="T20" s="515">
        <v>612</v>
      </c>
      <c r="U20" s="544">
        <f t="shared" si="1"/>
        <v>2614.35</v>
      </c>
      <c r="V20" s="545">
        <v>1188</v>
      </c>
      <c r="W20" s="546">
        <f t="shared" si="2"/>
        <v>64999.95</v>
      </c>
      <c r="X20" s="515">
        <v>0</v>
      </c>
      <c r="Y20" s="546">
        <v>16468.830000000002</v>
      </c>
      <c r="Z20" s="546">
        <f t="shared" si="3"/>
        <v>64810.350000000006</v>
      </c>
      <c r="AB20" s="513"/>
    </row>
    <row r="21" spans="1:28">
      <c r="A21" s="513" t="str">
        <f>VLOOKUP(C21,[69]Supplier!$A:$B,2,FALSE)</f>
        <v>SCH022</v>
      </c>
      <c r="B21" s="513">
        <v>10061</v>
      </c>
      <c r="C21" s="513" t="s">
        <v>785</v>
      </c>
      <c r="D21" s="538" t="s">
        <v>766</v>
      </c>
      <c r="E21" s="513"/>
      <c r="F21" s="539">
        <v>0</v>
      </c>
      <c r="G21" s="539">
        <v>0</v>
      </c>
      <c r="H21" s="539">
        <v>0</v>
      </c>
      <c r="I21" s="540">
        <v>0</v>
      </c>
      <c r="J21" s="541"/>
      <c r="K21" s="542">
        <v>0</v>
      </c>
      <c r="L21" s="543">
        <f t="shared" si="0"/>
        <v>0</v>
      </c>
      <c r="M21" s="515">
        <v>39</v>
      </c>
      <c r="N21" s="515">
        <v>11</v>
      </c>
      <c r="O21" s="515">
        <v>6435</v>
      </c>
      <c r="P21" s="515">
        <v>38159.550000000003</v>
      </c>
      <c r="Q21" s="515">
        <v>1598.85</v>
      </c>
      <c r="R21" s="515">
        <v>2310</v>
      </c>
      <c r="S21" s="515">
        <v>13698.3</v>
      </c>
      <c r="T21" s="515">
        <v>465.3</v>
      </c>
      <c r="U21" s="544">
        <f t="shared" si="1"/>
        <v>1628.5500000000002</v>
      </c>
      <c r="V21" s="547">
        <v>435.6</v>
      </c>
      <c r="W21" s="546">
        <f t="shared" si="2"/>
        <v>53922.000000000007</v>
      </c>
      <c r="X21" s="515">
        <v>0</v>
      </c>
      <c r="Y21" s="546">
        <v>53922</v>
      </c>
      <c r="Z21" s="546">
        <f t="shared" si="3"/>
        <v>53922</v>
      </c>
    </row>
    <row r="22" spans="1:28">
      <c r="A22" s="513" t="str">
        <f>VLOOKUP(C22,[69]Supplier!$A:$B,2,FALSE)</f>
        <v>SCH023</v>
      </c>
      <c r="C22" s="513" t="s">
        <v>786</v>
      </c>
      <c r="D22" s="538" t="s">
        <v>770</v>
      </c>
      <c r="E22" s="513">
        <v>17160</v>
      </c>
      <c r="F22" s="539">
        <v>81407.039999999994</v>
      </c>
      <c r="G22" s="539">
        <v>0</v>
      </c>
      <c r="H22" s="539">
        <v>40703.519999999997</v>
      </c>
      <c r="I22" s="540">
        <v>40703.519999999997</v>
      </c>
      <c r="J22" s="541">
        <v>17160</v>
      </c>
      <c r="K22" s="542">
        <v>40703.519999999997</v>
      </c>
      <c r="L22" s="543">
        <f t="shared" si="0"/>
        <v>81407.039999999994</v>
      </c>
      <c r="M22" s="515">
        <v>50</v>
      </c>
      <c r="N22" s="515">
        <v>13</v>
      </c>
      <c r="O22" s="515">
        <v>8250</v>
      </c>
      <c r="P22" s="515">
        <v>48922.5</v>
      </c>
      <c r="Q22" s="515">
        <v>1277.0999999999999</v>
      </c>
      <c r="R22" s="515">
        <v>5925</v>
      </c>
      <c r="S22" s="515">
        <v>35135.25</v>
      </c>
      <c r="T22" s="515">
        <v>928.35</v>
      </c>
      <c r="U22" s="544">
        <f t="shared" si="1"/>
        <v>2205.4499999999998</v>
      </c>
      <c r="V22" s="547">
        <v>0</v>
      </c>
      <c r="W22" s="546">
        <f t="shared" si="2"/>
        <v>86263.2</v>
      </c>
      <c r="X22" s="515">
        <v>0</v>
      </c>
      <c r="Y22" s="546">
        <v>4856.16</v>
      </c>
      <c r="Z22" s="546">
        <f t="shared" si="3"/>
        <v>86263.2</v>
      </c>
    </row>
    <row r="23" spans="1:28">
      <c r="A23" s="513" t="str">
        <f>VLOOKUP(C23,[69]Supplier!$A:$B,2,FALSE)</f>
        <v>SCH024</v>
      </c>
      <c r="B23" s="513">
        <v>10063</v>
      </c>
      <c r="C23" s="513" t="s">
        <v>787</v>
      </c>
      <c r="D23" s="538" t="s">
        <v>766</v>
      </c>
      <c r="E23" s="513">
        <v>6678</v>
      </c>
      <c r="F23" s="539">
        <v>31680.43</v>
      </c>
      <c r="G23" s="539">
        <v>0</v>
      </c>
      <c r="H23" s="539">
        <v>15840.22</v>
      </c>
      <c r="I23" s="540">
        <v>15840.22</v>
      </c>
      <c r="J23" s="541">
        <v>6678</v>
      </c>
      <c r="K23" s="542">
        <v>15840.21</v>
      </c>
      <c r="L23" s="543">
        <f t="shared" si="0"/>
        <v>31680.43</v>
      </c>
      <c r="M23" s="515">
        <v>39</v>
      </c>
      <c r="N23" s="515">
        <v>11</v>
      </c>
      <c r="O23" s="515">
        <v>6390</v>
      </c>
      <c r="P23" s="515">
        <v>37892.699999999997</v>
      </c>
      <c r="Q23" s="515">
        <v>1701</v>
      </c>
      <c r="R23" s="515">
        <v>660</v>
      </c>
      <c r="S23" s="515">
        <v>3913.8</v>
      </c>
      <c r="T23" s="515">
        <v>138.6</v>
      </c>
      <c r="U23" s="544">
        <f t="shared" si="1"/>
        <v>1295.0999999999999</v>
      </c>
      <c r="V23" s="545">
        <v>544.5</v>
      </c>
      <c r="W23" s="546">
        <f t="shared" si="2"/>
        <v>43646.1</v>
      </c>
      <c r="X23" s="515">
        <v>0</v>
      </c>
      <c r="Y23" s="546">
        <v>11965.67</v>
      </c>
      <c r="Z23" s="546">
        <f t="shared" si="3"/>
        <v>43646.1</v>
      </c>
    </row>
    <row r="24" spans="1:28">
      <c r="A24" s="513" t="str">
        <f>VLOOKUP(C24,[69]Supplier!$A:$B,2,FALSE)</f>
        <v>SCH027</v>
      </c>
      <c r="B24" s="513">
        <v>10064</v>
      </c>
      <c r="C24" s="513" t="s">
        <v>788</v>
      </c>
      <c r="D24" s="538" t="s">
        <v>766</v>
      </c>
      <c r="E24" s="513">
        <v>9100</v>
      </c>
      <c r="F24" s="539">
        <v>43170.400000000001</v>
      </c>
      <c r="G24" s="539">
        <v>0</v>
      </c>
      <c r="H24" s="539">
        <v>21585.200000000001</v>
      </c>
      <c r="I24" s="540">
        <v>21585.200000000001</v>
      </c>
      <c r="J24" s="541">
        <v>9100</v>
      </c>
      <c r="K24" s="542">
        <v>21653.599999999999</v>
      </c>
      <c r="L24" s="543">
        <f t="shared" si="0"/>
        <v>43238.8</v>
      </c>
      <c r="M24" s="515">
        <v>48</v>
      </c>
      <c r="N24" s="515">
        <v>10.4</v>
      </c>
      <c r="O24" s="515">
        <v>7263.6</v>
      </c>
      <c r="P24" s="515">
        <v>43073.14</v>
      </c>
      <c r="Q24" s="515">
        <v>2411.8200000000002</v>
      </c>
      <c r="R24" s="515">
        <v>2607</v>
      </c>
      <c r="S24" s="515">
        <v>15459.51</v>
      </c>
      <c r="T24" s="515">
        <v>391.05</v>
      </c>
      <c r="U24" s="544">
        <f t="shared" si="1"/>
        <v>1555.47</v>
      </c>
      <c r="V24" s="547">
        <v>1247.4000000000003</v>
      </c>
      <c r="W24" s="546">
        <f t="shared" si="2"/>
        <v>61335.520000000004</v>
      </c>
      <c r="X24" s="515">
        <v>0</v>
      </c>
      <c r="Y24" s="546">
        <v>18165.12</v>
      </c>
      <c r="Z24" s="546">
        <f t="shared" si="3"/>
        <v>61403.92</v>
      </c>
      <c r="AB24" s="513"/>
    </row>
    <row r="25" spans="1:28">
      <c r="A25" s="513" t="str">
        <f>VLOOKUP(C25,[69]Supplier!$A:$B,2,FALSE)</f>
        <v>SCH028</v>
      </c>
      <c r="C25" s="513" t="s">
        <v>789</v>
      </c>
      <c r="D25" s="538" t="s">
        <v>770</v>
      </c>
      <c r="E25" s="513">
        <v>1980</v>
      </c>
      <c r="F25" s="539">
        <v>9393.1200000000008</v>
      </c>
      <c r="G25" s="539">
        <v>0</v>
      </c>
      <c r="H25" s="539">
        <v>4696.5600000000004</v>
      </c>
      <c r="I25" s="540">
        <v>4696.5600000000004</v>
      </c>
      <c r="J25" s="541">
        <v>1980</v>
      </c>
      <c r="K25" s="542">
        <v>4696.5600000000004</v>
      </c>
      <c r="L25" s="543">
        <f t="shared" si="0"/>
        <v>9393.1200000000008</v>
      </c>
      <c r="M25" s="515">
        <v>11</v>
      </c>
      <c r="N25" s="515">
        <v>11</v>
      </c>
      <c r="O25" s="515">
        <v>1815</v>
      </c>
      <c r="P25" s="515">
        <v>10762.95</v>
      </c>
      <c r="Q25" s="515">
        <v>351.45</v>
      </c>
      <c r="R25" s="515">
        <v>0</v>
      </c>
      <c r="S25" s="515">
        <v>0</v>
      </c>
      <c r="T25" s="515">
        <v>0</v>
      </c>
      <c r="U25" s="544">
        <f t="shared" si="1"/>
        <v>351.45</v>
      </c>
      <c r="V25" s="545">
        <v>0</v>
      </c>
      <c r="W25" s="546">
        <f t="shared" si="2"/>
        <v>11114.400000000001</v>
      </c>
      <c r="X25" s="515">
        <v>0</v>
      </c>
      <c r="Y25" s="546">
        <v>1721.28</v>
      </c>
      <c r="Z25" s="546">
        <f t="shared" si="3"/>
        <v>11114.400000000001</v>
      </c>
    </row>
    <row r="26" spans="1:28">
      <c r="A26" s="513" t="str">
        <f>VLOOKUP(C26,[69]Supplier!$A:$B,2,FALSE)</f>
        <v>SCH029</v>
      </c>
      <c r="B26" s="513">
        <v>10066</v>
      </c>
      <c r="C26" s="513" t="s">
        <v>790</v>
      </c>
      <c r="D26" s="538" t="s">
        <v>766</v>
      </c>
      <c r="E26" s="513">
        <v>19140</v>
      </c>
      <c r="F26" s="539">
        <v>90800.16</v>
      </c>
      <c r="G26" s="539">
        <v>0</v>
      </c>
      <c r="H26" s="539">
        <v>45400.08</v>
      </c>
      <c r="I26" s="540">
        <v>45400.08</v>
      </c>
      <c r="J26" s="541">
        <v>0</v>
      </c>
      <c r="K26" s="542">
        <v>0</v>
      </c>
      <c r="L26" s="543">
        <f t="shared" si="0"/>
        <v>45400.08</v>
      </c>
      <c r="M26" s="515">
        <v>57</v>
      </c>
      <c r="N26" s="515">
        <v>11</v>
      </c>
      <c r="O26" s="515">
        <v>9255</v>
      </c>
      <c r="P26" s="515">
        <v>54882.15</v>
      </c>
      <c r="Q26" s="515">
        <v>1921.95</v>
      </c>
      <c r="R26" s="515">
        <v>3780</v>
      </c>
      <c r="S26" s="515">
        <v>22415.4</v>
      </c>
      <c r="T26" s="515">
        <v>685.8</v>
      </c>
      <c r="U26" s="544">
        <f t="shared" si="1"/>
        <v>2281.0500000000002</v>
      </c>
      <c r="V26" s="547">
        <v>326.70000000000005</v>
      </c>
      <c r="W26" s="546">
        <f t="shared" si="2"/>
        <v>79905.3</v>
      </c>
      <c r="X26" s="515">
        <v>0</v>
      </c>
      <c r="Y26" s="546">
        <v>34505.22</v>
      </c>
      <c r="Z26" s="546">
        <f t="shared" si="3"/>
        <v>79905.3</v>
      </c>
      <c r="AB26" s="513"/>
    </row>
    <row r="27" spans="1:28">
      <c r="A27" s="513" t="str">
        <f>VLOOKUP(C27,[69]Supplier!$A:$B,2,FALSE)</f>
        <v>SCH030</v>
      </c>
      <c r="B27" s="513">
        <v>10069</v>
      </c>
      <c r="C27" s="513" t="s">
        <v>791</v>
      </c>
      <c r="D27" s="538" t="s">
        <v>766</v>
      </c>
      <c r="E27" s="513">
        <v>11220</v>
      </c>
      <c r="F27" s="539">
        <v>53227.68</v>
      </c>
      <c r="G27" s="539">
        <v>0</v>
      </c>
      <c r="H27" s="539">
        <v>26613.84</v>
      </c>
      <c r="I27" s="540">
        <v>26613.84</v>
      </c>
      <c r="J27" s="541">
        <v>11220</v>
      </c>
      <c r="K27" s="542">
        <v>26613.84</v>
      </c>
      <c r="L27" s="543">
        <f t="shared" si="0"/>
        <v>53227.68</v>
      </c>
      <c r="M27" s="515">
        <v>52</v>
      </c>
      <c r="N27" s="515">
        <v>11</v>
      </c>
      <c r="O27" s="515">
        <v>8580</v>
      </c>
      <c r="P27" s="515">
        <v>50879.4</v>
      </c>
      <c r="Q27" s="515">
        <v>3791.7</v>
      </c>
      <c r="R27" s="515">
        <v>2625</v>
      </c>
      <c r="S27" s="515">
        <v>15566.25</v>
      </c>
      <c r="T27" s="515">
        <v>904.95</v>
      </c>
      <c r="U27" s="544">
        <f t="shared" si="1"/>
        <v>3934.3499999999995</v>
      </c>
      <c r="V27" s="545">
        <v>762.3</v>
      </c>
      <c r="W27" s="546">
        <f t="shared" si="2"/>
        <v>71142.3</v>
      </c>
      <c r="X27" s="515">
        <v>0</v>
      </c>
      <c r="Y27" s="546">
        <v>17914.62</v>
      </c>
      <c r="Z27" s="546">
        <f t="shared" si="3"/>
        <v>71142.3</v>
      </c>
    </row>
    <row r="28" spans="1:28" s="548" customFormat="1">
      <c r="A28" s="548" t="str">
        <f>VLOOKUP(C28,[69]Supplier!$A:$B,2,FALSE)</f>
        <v>SCH031</v>
      </c>
      <c r="B28" s="548">
        <v>10135</v>
      </c>
      <c r="C28" s="548" t="s">
        <v>792</v>
      </c>
      <c r="D28" s="549" t="s">
        <v>766</v>
      </c>
      <c r="F28" s="550">
        <v>0</v>
      </c>
      <c r="G28" s="550">
        <v>0</v>
      </c>
      <c r="H28" s="550">
        <v>0</v>
      </c>
      <c r="I28" s="551">
        <v>0</v>
      </c>
      <c r="J28" s="552"/>
      <c r="K28" s="551">
        <v>0</v>
      </c>
      <c r="L28" s="553">
        <f t="shared" si="0"/>
        <v>0</v>
      </c>
      <c r="M28" s="552">
        <v>74</v>
      </c>
      <c r="N28" s="552">
        <v>11</v>
      </c>
      <c r="O28" s="552">
        <v>12210</v>
      </c>
      <c r="P28" s="552">
        <v>72405.3</v>
      </c>
      <c r="Q28" s="552">
        <v>2506.35</v>
      </c>
      <c r="R28" s="552">
        <v>4620</v>
      </c>
      <c r="S28" s="552">
        <v>27396.6</v>
      </c>
      <c r="T28" s="552">
        <v>942.15</v>
      </c>
      <c r="U28" s="554">
        <f t="shared" si="1"/>
        <v>3339.6</v>
      </c>
      <c r="V28" s="555">
        <v>108.9</v>
      </c>
      <c r="W28" s="556">
        <f t="shared" si="2"/>
        <v>103250.4</v>
      </c>
      <c r="X28" s="552">
        <v>0</v>
      </c>
      <c r="Y28" s="556">
        <v>103250.4</v>
      </c>
      <c r="Z28" s="556">
        <f t="shared" si="3"/>
        <v>103250.4</v>
      </c>
      <c r="AA28" s="557"/>
    </row>
    <row r="29" spans="1:28">
      <c r="A29" s="513" t="str">
        <f>VLOOKUP(C29,[69]Supplier!$A:$B,2,FALSE)</f>
        <v>SCH032</v>
      </c>
      <c r="B29" s="513">
        <v>10121</v>
      </c>
      <c r="C29" s="513" t="s">
        <v>793</v>
      </c>
      <c r="D29" s="538" t="s">
        <v>766</v>
      </c>
      <c r="E29" s="513">
        <v>2475</v>
      </c>
      <c r="F29" s="539">
        <v>11741.4</v>
      </c>
      <c r="G29" s="539">
        <v>0</v>
      </c>
      <c r="H29" s="539">
        <v>5870.7</v>
      </c>
      <c r="I29" s="540">
        <v>5870.7</v>
      </c>
      <c r="J29" s="541">
        <v>2475</v>
      </c>
      <c r="K29" s="542">
        <v>5870.7</v>
      </c>
      <c r="L29" s="543">
        <f t="shared" si="0"/>
        <v>11741.4</v>
      </c>
      <c r="M29" s="515">
        <v>17</v>
      </c>
      <c r="N29" s="515">
        <v>11</v>
      </c>
      <c r="O29" s="515">
        <v>2805</v>
      </c>
      <c r="P29" s="515">
        <v>16633.650000000001</v>
      </c>
      <c r="Q29" s="515">
        <v>569.25</v>
      </c>
      <c r="R29" s="515">
        <v>1320</v>
      </c>
      <c r="S29" s="515">
        <v>7827.6</v>
      </c>
      <c r="T29" s="515">
        <v>198</v>
      </c>
      <c r="U29" s="544">
        <f t="shared" si="1"/>
        <v>658.35</v>
      </c>
      <c r="V29" s="545">
        <v>108.9</v>
      </c>
      <c r="W29" s="546">
        <f t="shared" si="2"/>
        <v>25228.5</v>
      </c>
      <c r="X29" s="515">
        <v>0</v>
      </c>
      <c r="Y29" s="546">
        <v>13487.1</v>
      </c>
      <c r="Z29" s="546">
        <f t="shared" si="3"/>
        <v>25228.5</v>
      </c>
      <c r="AB29" s="513"/>
    </row>
    <row r="30" spans="1:28">
      <c r="A30" s="513" t="str">
        <f>VLOOKUP(C30,[69]Supplier!$A:$B,2,FALSE)</f>
        <v>SCH082</v>
      </c>
      <c r="C30" s="513" t="s">
        <v>794</v>
      </c>
      <c r="D30" s="538" t="s">
        <v>770</v>
      </c>
      <c r="E30" s="513"/>
      <c r="F30" s="539">
        <v>0</v>
      </c>
      <c r="G30" s="539">
        <v>0</v>
      </c>
      <c r="H30" s="539">
        <v>0</v>
      </c>
      <c r="I30" s="540">
        <v>0</v>
      </c>
      <c r="J30" s="541"/>
      <c r="K30" s="542">
        <v>0</v>
      </c>
      <c r="L30" s="543">
        <f t="shared" si="0"/>
        <v>0</v>
      </c>
      <c r="M30" s="515">
        <v>16</v>
      </c>
      <c r="N30" s="515">
        <v>11</v>
      </c>
      <c r="O30" s="515">
        <v>2475</v>
      </c>
      <c r="P30" s="515">
        <v>14676.75</v>
      </c>
      <c r="Q30" s="515">
        <v>450.45</v>
      </c>
      <c r="R30" s="515">
        <v>165</v>
      </c>
      <c r="S30" s="515">
        <v>978.45</v>
      </c>
      <c r="T30" s="515">
        <v>24.75</v>
      </c>
      <c r="U30" s="544">
        <f t="shared" si="1"/>
        <v>475.2</v>
      </c>
      <c r="V30" s="545">
        <v>0</v>
      </c>
      <c r="W30" s="546">
        <f t="shared" si="2"/>
        <v>16130.400000000001</v>
      </c>
      <c r="X30" s="515">
        <v>0</v>
      </c>
      <c r="Y30" s="546">
        <v>16130.4</v>
      </c>
      <c r="Z30" s="546">
        <f t="shared" si="3"/>
        <v>16130.4</v>
      </c>
    </row>
    <row r="31" spans="1:28">
      <c r="A31" s="513" t="str">
        <f>VLOOKUP(C31,[69]Supplier!$A:$B,2,FALSE)</f>
        <v>SCH033</v>
      </c>
      <c r="B31" s="513">
        <v>10071</v>
      </c>
      <c r="C31" s="513" t="s">
        <v>795</v>
      </c>
      <c r="D31" s="538" t="s">
        <v>766</v>
      </c>
      <c r="E31" s="513">
        <v>3960</v>
      </c>
      <c r="F31" s="539">
        <v>18786.240000000002</v>
      </c>
      <c r="G31" s="539">
        <v>0</v>
      </c>
      <c r="H31" s="539">
        <v>9393.1200000000008</v>
      </c>
      <c r="I31" s="540">
        <v>9393.1200000000008</v>
      </c>
      <c r="J31" s="541">
        <v>3960</v>
      </c>
      <c r="K31" s="542">
        <v>9393.1200000000008</v>
      </c>
      <c r="L31" s="543">
        <f t="shared" si="0"/>
        <v>18786.240000000002</v>
      </c>
      <c r="M31" s="515">
        <v>19</v>
      </c>
      <c r="N31" s="515">
        <v>11</v>
      </c>
      <c r="O31" s="515">
        <v>3135</v>
      </c>
      <c r="P31" s="515">
        <v>18590.55</v>
      </c>
      <c r="Q31" s="515">
        <v>1024.6500000000001</v>
      </c>
      <c r="R31" s="515">
        <v>825</v>
      </c>
      <c r="S31" s="515">
        <v>4892.25</v>
      </c>
      <c r="T31" s="515">
        <v>202.95</v>
      </c>
      <c r="U31" s="544">
        <f t="shared" si="1"/>
        <v>1118.7</v>
      </c>
      <c r="V31" s="547">
        <v>108.9</v>
      </c>
      <c r="W31" s="546">
        <f t="shared" si="2"/>
        <v>24710.400000000001</v>
      </c>
      <c r="X31" s="515">
        <v>0</v>
      </c>
      <c r="Y31" s="546">
        <v>5924.16</v>
      </c>
      <c r="Z31" s="546">
        <f t="shared" si="3"/>
        <v>24710.400000000001</v>
      </c>
    </row>
    <row r="32" spans="1:28">
      <c r="A32" s="513" t="str">
        <f>VLOOKUP(C32,[69]Supplier!$A:$B,2,FALSE)</f>
        <v>SCH034</v>
      </c>
      <c r="B32" s="513">
        <v>10072</v>
      </c>
      <c r="C32" s="513" t="s">
        <v>796</v>
      </c>
      <c r="D32" s="538" t="s">
        <v>766</v>
      </c>
      <c r="E32" s="513">
        <v>10065</v>
      </c>
      <c r="F32" s="539">
        <v>47748.36</v>
      </c>
      <c r="G32" s="539">
        <v>0</v>
      </c>
      <c r="H32" s="539">
        <v>23874.18</v>
      </c>
      <c r="I32" s="540">
        <v>23874.18</v>
      </c>
      <c r="J32" s="541">
        <v>10065</v>
      </c>
      <c r="K32" s="542">
        <v>23874.18</v>
      </c>
      <c r="L32" s="543">
        <f t="shared" si="0"/>
        <v>47748.36</v>
      </c>
      <c r="M32" s="515">
        <v>45</v>
      </c>
      <c r="N32" s="515">
        <v>11</v>
      </c>
      <c r="O32" s="515">
        <v>7395</v>
      </c>
      <c r="P32" s="515">
        <v>43852.35</v>
      </c>
      <c r="Q32" s="515">
        <v>1604.25</v>
      </c>
      <c r="R32" s="515">
        <v>2610</v>
      </c>
      <c r="S32" s="515">
        <v>15477.3</v>
      </c>
      <c r="T32" s="515">
        <v>431.1</v>
      </c>
      <c r="U32" s="544">
        <f t="shared" si="1"/>
        <v>1817.55</v>
      </c>
      <c r="V32" s="547">
        <v>217.8</v>
      </c>
      <c r="W32" s="546">
        <f t="shared" si="2"/>
        <v>61365</v>
      </c>
      <c r="X32" s="515">
        <v>0</v>
      </c>
      <c r="Y32" s="546">
        <v>13616.64</v>
      </c>
      <c r="Z32" s="546">
        <f t="shared" si="3"/>
        <v>61365</v>
      </c>
    </row>
    <row r="33" spans="1:28">
      <c r="A33" s="513" t="str">
        <f>VLOOKUP(C33,[69]Supplier!$A:$B,2,FALSE)</f>
        <v>SCH035</v>
      </c>
      <c r="B33" s="513">
        <v>10073</v>
      </c>
      <c r="C33" s="513" t="s">
        <v>797</v>
      </c>
      <c r="D33" s="538" t="s">
        <v>766</v>
      </c>
      <c r="E33" s="513">
        <v>3510</v>
      </c>
      <c r="F33" s="539">
        <v>16651.439999999999</v>
      </c>
      <c r="G33" s="539">
        <v>0</v>
      </c>
      <c r="H33" s="539">
        <v>8325.7199999999993</v>
      </c>
      <c r="I33" s="540">
        <v>8325.7199999999993</v>
      </c>
      <c r="J33" s="541">
        <v>3510</v>
      </c>
      <c r="K33" s="542">
        <v>8325.7199999999993</v>
      </c>
      <c r="L33" s="543">
        <f t="shared" si="0"/>
        <v>16651.439999999999</v>
      </c>
      <c r="M33" s="515">
        <v>21</v>
      </c>
      <c r="N33" s="515">
        <v>11</v>
      </c>
      <c r="O33" s="515">
        <v>3450</v>
      </c>
      <c r="P33" s="515">
        <v>20458.5</v>
      </c>
      <c r="Q33" s="515">
        <v>1507.5</v>
      </c>
      <c r="R33" s="515">
        <v>660</v>
      </c>
      <c r="S33" s="515">
        <v>3913.8</v>
      </c>
      <c r="T33" s="515">
        <v>138.6</v>
      </c>
      <c r="U33" s="544">
        <f t="shared" si="1"/>
        <v>893.69999999999993</v>
      </c>
      <c r="V33" s="547">
        <v>752.4</v>
      </c>
      <c r="W33" s="546">
        <f t="shared" si="2"/>
        <v>26018.400000000001</v>
      </c>
      <c r="X33" s="515">
        <v>0</v>
      </c>
      <c r="Y33" s="546">
        <v>9366.9599999999991</v>
      </c>
      <c r="Z33" s="546">
        <f t="shared" si="3"/>
        <v>26018.399999999998</v>
      </c>
    </row>
    <row r="34" spans="1:28">
      <c r="A34" s="513" t="str">
        <f>VLOOKUP(C34,[69]Supplier!$A:$B,2,FALSE)</f>
        <v>SCH036</v>
      </c>
      <c r="C34" s="513" t="s">
        <v>798</v>
      </c>
      <c r="D34" s="538" t="s">
        <v>337</v>
      </c>
      <c r="E34" s="513">
        <v>7095</v>
      </c>
      <c r="F34" s="539">
        <v>33658.68</v>
      </c>
      <c r="G34" s="539">
        <v>0</v>
      </c>
      <c r="H34" s="539">
        <v>16829.34</v>
      </c>
      <c r="I34" s="540">
        <v>16829.34</v>
      </c>
      <c r="J34" s="541">
        <v>7095</v>
      </c>
      <c r="K34" s="542">
        <v>16829.34</v>
      </c>
      <c r="L34" s="543">
        <f t="shared" si="0"/>
        <v>33658.68</v>
      </c>
      <c r="M34" s="515">
        <v>30</v>
      </c>
      <c r="N34" s="515">
        <v>11</v>
      </c>
      <c r="O34" s="515">
        <v>4950</v>
      </c>
      <c r="P34" s="515">
        <v>29353.5</v>
      </c>
      <c r="Q34" s="515">
        <v>821.7</v>
      </c>
      <c r="R34" s="515">
        <v>1815</v>
      </c>
      <c r="S34" s="515">
        <v>10762.95</v>
      </c>
      <c r="T34" s="515">
        <v>351.45</v>
      </c>
      <c r="U34" s="544">
        <f t="shared" si="1"/>
        <v>1173.1500000000001</v>
      </c>
      <c r="V34" s="547">
        <v>0</v>
      </c>
      <c r="W34" s="546">
        <f t="shared" si="2"/>
        <v>41289.599999999999</v>
      </c>
      <c r="X34" s="515">
        <v>0</v>
      </c>
      <c r="Y34" s="546">
        <v>7630.92</v>
      </c>
      <c r="Z34" s="546">
        <f t="shared" si="3"/>
        <v>41289.599999999999</v>
      </c>
    </row>
    <row r="35" spans="1:28">
      <c r="A35" s="513" t="str">
        <f>VLOOKUP(C35,[69]Supplier!$A:$B,2,FALSE)</f>
        <v>SCH037</v>
      </c>
      <c r="C35" s="513" t="s">
        <v>799</v>
      </c>
      <c r="D35" s="538" t="s">
        <v>770</v>
      </c>
      <c r="E35" s="513"/>
      <c r="F35" s="539">
        <v>0</v>
      </c>
      <c r="G35" s="539">
        <v>0</v>
      </c>
      <c r="H35" s="539">
        <v>0</v>
      </c>
      <c r="I35" s="540">
        <v>0</v>
      </c>
      <c r="J35" s="541"/>
      <c r="K35" s="542">
        <v>0</v>
      </c>
      <c r="L35" s="543">
        <f t="shared" si="0"/>
        <v>0</v>
      </c>
      <c r="M35" s="515">
        <v>0</v>
      </c>
      <c r="N35" s="515">
        <v>11</v>
      </c>
      <c r="O35" s="515">
        <v>0</v>
      </c>
      <c r="P35" s="515">
        <v>0</v>
      </c>
      <c r="Q35" s="515">
        <v>0</v>
      </c>
      <c r="R35" s="515">
        <v>0</v>
      </c>
      <c r="S35" s="515">
        <v>0</v>
      </c>
      <c r="T35" s="515">
        <v>0</v>
      </c>
      <c r="U35" s="544">
        <f t="shared" si="1"/>
        <v>0</v>
      </c>
      <c r="V35" s="547">
        <v>0</v>
      </c>
      <c r="W35" s="546">
        <f t="shared" si="2"/>
        <v>0</v>
      </c>
      <c r="X35" s="515">
        <v>0</v>
      </c>
      <c r="Y35" s="546">
        <v>0</v>
      </c>
      <c r="Z35" s="546">
        <f t="shared" si="3"/>
        <v>0</v>
      </c>
      <c r="AB35" s="513"/>
    </row>
    <row r="36" spans="1:28">
      <c r="A36" s="513" t="e">
        <f>VLOOKUP(C36,[69]Supplier!$A:$B,2,FALSE)</f>
        <v>#N/A</v>
      </c>
      <c r="B36" s="513">
        <v>10074</v>
      </c>
      <c r="C36" s="513" t="s">
        <v>800</v>
      </c>
      <c r="D36" s="538" t="s">
        <v>766</v>
      </c>
      <c r="E36" s="513">
        <v>7260</v>
      </c>
      <c r="F36" s="539">
        <v>34441.440000000002</v>
      </c>
      <c r="G36" s="539">
        <v>0</v>
      </c>
      <c r="H36" s="539">
        <v>17220.72</v>
      </c>
      <c r="I36" s="540">
        <v>17220.72</v>
      </c>
      <c r="J36" s="541">
        <v>7260</v>
      </c>
      <c r="K36" s="542">
        <v>17220.72</v>
      </c>
      <c r="L36" s="543">
        <f t="shared" si="0"/>
        <v>34441.440000000002</v>
      </c>
      <c r="M36" s="515">
        <v>45</v>
      </c>
      <c r="N36" s="515">
        <v>11</v>
      </c>
      <c r="O36" s="515">
        <v>7275</v>
      </c>
      <c r="P36" s="515">
        <v>43140.75</v>
      </c>
      <c r="Q36" s="515">
        <v>2145.15</v>
      </c>
      <c r="R36" s="515">
        <v>1755</v>
      </c>
      <c r="S36" s="515">
        <v>10407.15</v>
      </c>
      <c r="T36" s="515">
        <v>454.05</v>
      </c>
      <c r="U36" s="544">
        <f t="shared" si="1"/>
        <v>2272.5</v>
      </c>
      <c r="V36" s="547">
        <v>326.70000000000005</v>
      </c>
      <c r="W36" s="546">
        <f t="shared" si="2"/>
        <v>56147.1</v>
      </c>
      <c r="X36" s="515">
        <v>0</v>
      </c>
      <c r="Y36" s="546">
        <v>21705.66</v>
      </c>
      <c r="Z36" s="546">
        <f t="shared" si="3"/>
        <v>56147.100000000006</v>
      </c>
    </row>
    <row r="37" spans="1:28">
      <c r="A37" s="513" t="str">
        <f>VLOOKUP(C37,[69]Supplier!$A:$B,2,FALSE)</f>
        <v>SCH083</v>
      </c>
      <c r="C37" s="513" t="s">
        <v>801</v>
      </c>
      <c r="D37" s="538" t="s">
        <v>770</v>
      </c>
      <c r="E37" s="513">
        <v>3300</v>
      </c>
      <c r="F37" s="539">
        <v>15655.2</v>
      </c>
      <c r="G37" s="539">
        <v>0</v>
      </c>
      <c r="H37" s="539">
        <v>7827.6</v>
      </c>
      <c r="I37" s="540">
        <v>7827.6</v>
      </c>
      <c r="J37" s="541">
        <v>3300</v>
      </c>
      <c r="K37" s="542">
        <v>7827.6</v>
      </c>
      <c r="L37" s="543">
        <f t="shared" si="0"/>
        <v>15655.2</v>
      </c>
      <c r="M37" s="515">
        <v>20</v>
      </c>
      <c r="N37" s="515">
        <v>11</v>
      </c>
      <c r="O37" s="515">
        <v>3300</v>
      </c>
      <c r="P37" s="515">
        <v>19569</v>
      </c>
      <c r="Q37" s="515">
        <v>495</v>
      </c>
      <c r="R37" s="515">
        <v>0</v>
      </c>
      <c r="S37" s="515">
        <v>0</v>
      </c>
      <c r="T37" s="515">
        <v>0</v>
      </c>
      <c r="U37" s="544">
        <f t="shared" si="1"/>
        <v>495</v>
      </c>
      <c r="V37" s="545">
        <v>0</v>
      </c>
      <c r="W37" s="546">
        <f t="shared" si="2"/>
        <v>20064</v>
      </c>
      <c r="X37" s="515">
        <v>0</v>
      </c>
      <c r="Y37" s="546">
        <v>4408.8</v>
      </c>
      <c r="Z37" s="546">
        <f t="shared" si="3"/>
        <v>20064</v>
      </c>
      <c r="AB37" s="513"/>
    </row>
    <row r="38" spans="1:28">
      <c r="A38" s="513" t="str">
        <f>VLOOKUP(C38,[69]Supplier!$A:$B,2,FALSE)</f>
        <v>SCH039</v>
      </c>
      <c r="B38" s="513">
        <v>10075</v>
      </c>
      <c r="C38" s="513" t="s">
        <v>802</v>
      </c>
      <c r="D38" s="538" t="s">
        <v>766</v>
      </c>
      <c r="E38" s="513">
        <v>6000</v>
      </c>
      <c r="F38" s="539">
        <v>28464</v>
      </c>
      <c r="G38" s="539">
        <v>0</v>
      </c>
      <c r="H38" s="539">
        <v>14232</v>
      </c>
      <c r="I38" s="540">
        <v>14232</v>
      </c>
      <c r="J38" s="541">
        <v>6000</v>
      </c>
      <c r="K38" s="542">
        <v>14232</v>
      </c>
      <c r="L38" s="543">
        <f t="shared" si="0"/>
        <v>28464</v>
      </c>
      <c r="M38" s="515">
        <v>29</v>
      </c>
      <c r="N38" s="515">
        <v>11</v>
      </c>
      <c r="O38" s="515">
        <v>4665</v>
      </c>
      <c r="P38" s="515">
        <v>27663.45</v>
      </c>
      <c r="Q38" s="515">
        <v>1026.45</v>
      </c>
      <c r="R38" s="515">
        <v>1650</v>
      </c>
      <c r="S38" s="515">
        <v>9784.5</v>
      </c>
      <c r="T38" s="515">
        <v>247.5</v>
      </c>
      <c r="U38" s="544">
        <f t="shared" si="1"/>
        <v>947.25</v>
      </c>
      <c r="V38" s="547">
        <v>326.70000000000005</v>
      </c>
      <c r="W38" s="546">
        <f t="shared" si="2"/>
        <v>38721.899999999994</v>
      </c>
      <c r="X38" s="515">
        <v>0</v>
      </c>
      <c r="Y38" s="546">
        <v>10257.9</v>
      </c>
      <c r="Z38" s="546">
        <f t="shared" si="3"/>
        <v>38721.9</v>
      </c>
    </row>
    <row r="39" spans="1:28">
      <c r="A39" s="513" t="str">
        <f>VLOOKUP(C39,[69]Supplier!$A:$B,2,FALSE)</f>
        <v>SCH040</v>
      </c>
      <c r="B39" s="513">
        <v>11093</v>
      </c>
      <c r="C39" s="513" t="s">
        <v>803</v>
      </c>
      <c r="D39" s="538" t="s">
        <v>766</v>
      </c>
      <c r="E39" s="513">
        <v>16995</v>
      </c>
      <c r="F39" s="539">
        <v>80624.28</v>
      </c>
      <c r="G39" s="539">
        <v>0</v>
      </c>
      <c r="H39" s="539">
        <v>40312.14</v>
      </c>
      <c r="I39" s="540">
        <v>40312.14</v>
      </c>
      <c r="J39" s="541">
        <v>16995</v>
      </c>
      <c r="K39" s="542">
        <v>40312.14</v>
      </c>
      <c r="L39" s="543">
        <f t="shared" si="0"/>
        <v>80624.28</v>
      </c>
      <c r="M39" s="515">
        <v>68</v>
      </c>
      <c r="N39" s="515">
        <v>11</v>
      </c>
      <c r="O39" s="515">
        <v>11058</v>
      </c>
      <c r="P39" s="515">
        <v>65573.94</v>
      </c>
      <c r="Q39" s="515">
        <v>3525.57</v>
      </c>
      <c r="R39" s="515">
        <v>3795</v>
      </c>
      <c r="S39" s="515">
        <v>22504.35</v>
      </c>
      <c r="T39" s="515">
        <v>846.45</v>
      </c>
      <c r="U39" s="544">
        <f t="shared" si="1"/>
        <v>3391.9200000000005</v>
      </c>
      <c r="V39" s="545">
        <v>980.09999999999991</v>
      </c>
      <c r="W39" s="546">
        <f t="shared" si="2"/>
        <v>92450.310000000012</v>
      </c>
      <c r="X39" s="515">
        <v>0</v>
      </c>
      <c r="Y39" s="546">
        <v>11826.03</v>
      </c>
      <c r="Z39" s="546">
        <f t="shared" si="3"/>
        <v>92450.31</v>
      </c>
      <c r="AB39" s="513"/>
    </row>
    <row r="40" spans="1:28">
      <c r="A40" s="513" t="str">
        <f>VLOOKUP(C40,[69]Supplier!$A:$B,2,FALSE)</f>
        <v>SCH041</v>
      </c>
      <c r="B40" s="513">
        <v>10125</v>
      </c>
      <c r="C40" s="513" t="s">
        <v>804</v>
      </c>
      <c r="D40" s="538" t="s">
        <v>766</v>
      </c>
      <c r="E40" s="513">
        <v>6220</v>
      </c>
      <c r="F40" s="539">
        <v>29507.68</v>
      </c>
      <c r="G40" s="539">
        <v>0</v>
      </c>
      <c r="H40" s="539">
        <v>14753.84</v>
      </c>
      <c r="I40" s="540">
        <v>14753.84</v>
      </c>
      <c r="J40" s="541">
        <v>6220</v>
      </c>
      <c r="K40" s="542">
        <v>14753.84</v>
      </c>
      <c r="L40" s="543">
        <f t="shared" si="0"/>
        <v>29507.68</v>
      </c>
      <c r="M40" s="515">
        <v>26</v>
      </c>
      <c r="N40" s="515">
        <v>11</v>
      </c>
      <c r="O40" s="515">
        <v>4290</v>
      </c>
      <c r="P40" s="515">
        <v>25439.7</v>
      </c>
      <c r="Q40" s="515">
        <v>643.5</v>
      </c>
      <c r="R40" s="515">
        <v>1650</v>
      </c>
      <c r="S40" s="515">
        <v>9784.5</v>
      </c>
      <c r="T40" s="515">
        <v>247.5</v>
      </c>
      <c r="U40" s="544">
        <f t="shared" si="1"/>
        <v>891</v>
      </c>
      <c r="V40" s="547">
        <v>0</v>
      </c>
      <c r="W40" s="546">
        <f t="shared" si="2"/>
        <v>36115.199999999997</v>
      </c>
      <c r="X40" s="515">
        <v>0</v>
      </c>
      <c r="Y40" s="546">
        <v>6607.52</v>
      </c>
      <c r="Z40" s="546">
        <f t="shared" si="3"/>
        <v>36115.199999999997</v>
      </c>
    </row>
    <row r="41" spans="1:28">
      <c r="A41" s="513" t="str">
        <f>VLOOKUP(C41,[69]Supplier!$A:$B,2,FALSE)</f>
        <v>SCH042</v>
      </c>
      <c r="B41" s="513">
        <v>10126</v>
      </c>
      <c r="C41" s="513" t="s">
        <v>805</v>
      </c>
      <c r="D41" s="538" t="s">
        <v>766</v>
      </c>
      <c r="E41" s="513">
        <v>7425</v>
      </c>
      <c r="F41" s="539">
        <v>35224.199999999997</v>
      </c>
      <c r="G41" s="539">
        <v>0</v>
      </c>
      <c r="H41" s="539">
        <v>17612.099999999999</v>
      </c>
      <c r="I41" s="540">
        <v>17612.099999999999</v>
      </c>
      <c r="J41" s="541">
        <v>7425</v>
      </c>
      <c r="K41" s="542">
        <v>17612.099999999999</v>
      </c>
      <c r="L41" s="543">
        <f t="shared" si="0"/>
        <v>35224.199999999997</v>
      </c>
      <c r="M41" s="515">
        <v>29</v>
      </c>
      <c r="N41" s="515">
        <v>12</v>
      </c>
      <c r="O41" s="515">
        <v>4785</v>
      </c>
      <c r="P41" s="515">
        <v>28375.05</v>
      </c>
      <c r="Q41" s="515">
        <v>757.35</v>
      </c>
      <c r="R41" s="515">
        <v>2640</v>
      </c>
      <c r="S41" s="515">
        <v>15655.2</v>
      </c>
      <c r="T41" s="515">
        <v>396</v>
      </c>
      <c r="U41" s="544">
        <f t="shared" si="1"/>
        <v>1153.3499999999999</v>
      </c>
      <c r="V41" s="547">
        <v>0</v>
      </c>
      <c r="W41" s="546">
        <f t="shared" si="2"/>
        <v>45183.6</v>
      </c>
      <c r="X41" s="515">
        <v>0</v>
      </c>
      <c r="Y41" s="546">
        <v>9959.4</v>
      </c>
      <c r="Z41" s="546">
        <f t="shared" si="3"/>
        <v>45183.6</v>
      </c>
      <c r="AB41" s="513"/>
    </row>
    <row r="42" spans="1:28">
      <c r="A42" s="513" t="str">
        <f>VLOOKUP(C42,[69]Supplier!$A:$B,2,FALSE)</f>
        <v>SCH043</v>
      </c>
      <c r="B42" s="513">
        <v>10114</v>
      </c>
      <c r="C42" s="513" t="s">
        <v>806</v>
      </c>
      <c r="D42" s="538" t="s">
        <v>766</v>
      </c>
      <c r="E42" s="513">
        <v>8250</v>
      </c>
      <c r="F42" s="539">
        <v>39138</v>
      </c>
      <c r="G42" s="539">
        <v>0</v>
      </c>
      <c r="H42" s="539">
        <v>19569</v>
      </c>
      <c r="I42" s="540">
        <v>19569</v>
      </c>
      <c r="J42" s="541">
        <v>8250</v>
      </c>
      <c r="K42" s="542">
        <v>19569</v>
      </c>
      <c r="L42" s="543">
        <f t="shared" si="0"/>
        <v>39138</v>
      </c>
      <c r="M42" s="515">
        <v>49</v>
      </c>
      <c r="N42" s="515">
        <v>11</v>
      </c>
      <c r="O42" s="515">
        <v>8085</v>
      </c>
      <c r="P42" s="515">
        <v>47944.05</v>
      </c>
      <c r="Q42" s="515">
        <v>1291.95</v>
      </c>
      <c r="R42" s="515">
        <v>0</v>
      </c>
      <c r="S42" s="515">
        <v>0</v>
      </c>
      <c r="T42" s="515">
        <v>0</v>
      </c>
      <c r="U42" s="544">
        <f t="shared" si="1"/>
        <v>1291.95</v>
      </c>
      <c r="V42" s="547">
        <v>0</v>
      </c>
      <c r="W42" s="546">
        <f t="shared" si="2"/>
        <v>49236</v>
      </c>
      <c r="X42" s="515">
        <v>0</v>
      </c>
      <c r="Y42" s="546">
        <v>10098</v>
      </c>
      <c r="Z42" s="546">
        <f t="shared" si="3"/>
        <v>49236</v>
      </c>
    </row>
    <row r="43" spans="1:28">
      <c r="A43" s="513" t="str">
        <f>VLOOKUP(C43,[69]Supplier!$A:$B,2,FALSE)</f>
        <v>SCH044</v>
      </c>
      <c r="C43" s="558" t="s">
        <v>807</v>
      </c>
      <c r="D43" s="538" t="s">
        <v>808</v>
      </c>
      <c r="E43" s="513">
        <v>8745</v>
      </c>
      <c r="F43" s="539">
        <v>41486.28</v>
      </c>
      <c r="G43" s="539">
        <v>0</v>
      </c>
      <c r="H43" s="539">
        <v>20743.14</v>
      </c>
      <c r="I43" s="540">
        <v>20743.14</v>
      </c>
      <c r="J43" s="541">
        <v>8745</v>
      </c>
      <c r="K43" s="542">
        <v>20743.14</v>
      </c>
      <c r="L43" s="543">
        <f t="shared" si="0"/>
        <v>41486.28</v>
      </c>
      <c r="M43" s="515">
        <v>42</v>
      </c>
      <c r="N43" s="515">
        <v>11</v>
      </c>
      <c r="O43" s="515">
        <v>6930</v>
      </c>
      <c r="P43" s="515">
        <v>41094.9</v>
      </c>
      <c r="Q43" s="515">
        <v>1994.85</v>
      </c>
      <c r="R43" s="515">
        <v>1650</v>
      </c>
      <c r="S43" s="515">
        <v>9784.5</v>
      </c>
      <c r="T43" s="515">
        <v>405.9</v>
      </c>
      <c r="U43" s="544">
        <f t="shared" si="1"/>
        <v>1856.25</v>
      </c>
      <c r="V43" s="547">
        <v>544.5</v>
      </c>
      <c r="W43" s="546">
        <f t="shared" si="2"/>
        <v>53280.15</v>
      </c>
      <c r="X43" s="515">
        <v>0</v>
      </c>
      <c r="Y43" s="546">
        <v>11793.87</v>
      </c>
      <c r="Z43" s="546">
        <f t="shared" si="3"/>
        <v>53280.15</v>
      </c>
    </row>
    <row r="44" spans="1:28" s="548" customFormat="1">
      <c r="A44" s="548" t="str">
        <f>VLOOKUP(C44,[69]Supplier!$A:$B,2,FALSE)</f>
        <v>SCH045</v>
      </c>
      <c r="B44" s="548">
        <v>10132</v>
      </c>
      <c r="C44" s="548" t="s">
        <v>809</v>
      </c>
      <c r="D44" s="549" t="s">
        <v>766</v>
      </c>
      <c r="E44" s="548">
        <v>16995</v>
      </c>
      <c r="F44" s="550">
        <v>80624.28</v>
      </c>
      <c r="G44" s="550">
        <v>0</v>
      </c>
      <c r="H44" s="550">
        <v>40312.14</v>
      </c>
      <c r="I44" s="551">
        <v>40312.14</v>
      </c>
      <c r="J44" s="552">
        <v>16995</v>
      </c>
      <c r="K44" s="551">
        <v>40312.14</v>
      </c>
      <c r="L44" s="553">
        <f t="shared" si="0"/>
        <v>80624.28</v>
      </c>
      <c r="M44" s="552">
        <v>78</v>
      </c>
      <c r="N44" s="552">
        <v>11</v>
      </c>
      <c r="O44" s="552">
        <v>12705</v>
      </c>
      <c r="P44" s="552">
        <v>75340.649999999994</v>
      </c>
      <c r="Q44" s="552">
        <v>2232.4499999999998</v>
      </c>
      <c r="R44" s="552">
        <v>4455</v>
      </c>
      <c r="S44" s="552">
        <v>26418.15</v>
      </c>
      <c r="T44" s="552">
        <v>668.25</v>
      </c>
      <c r="U44" s="554">
        <f t="shared" si="1"/>
        <v>2574</v>
      </c>
      <c r="V44" s="555">
        <v>326.70000000000005</v>
      </c>
      <c r="W44" s="556">
        <f t="shared" si="2"/>
        <v>104659.49999999999</v>
      </c>
      <c r="X44" s="552">
        <v>0</v>
      </c>
      <c r="Y44" s="556">
        <v>24035.22</v>
      </c>
      <c r="Z44" s="556">
        <f t="shared" si="3"/>
        <v>104659.5</v>
      </c>
      <c r="AA44" s="557"/>
    </row>
    <row r="45" spans="1:28">
      <c r="A45" s="513" t="str">
        <f>VLOOKUP(C45,[69]Supplier!$A:$B,2,FALSE)</f>
        <v>SCH046</v>
      </c>
      <c r="C45" s="513" t="s">
        <v>810</v>
      </c>
      <c r="D45" s="538" t="s">
        <v>770</v>
      </c>
      <c r="E45" s="513">
        <v>12090</v>
      </c>
      <c r="F45" s="539">
        <v>57354.96</v>
      </c>
      <c r="G45" s="539">
        <v>0</v>
      </c>
      <c r="H45" s="539">
        <v>28677.48</v>
      </c>
      <c r="I45" s="540">
        <v>28677.48</v>
      </c>
      <c r="J45" s="541">
        <v>12090</v>
      </c>
      <c r="K45" s="542">
        <v>28677.48</v>
      </c>
      <c r="L45" s="543">
        <f t="shared" si="0"/>
        <v>57354.96</v>
      </c>
      <c r="M45" s="515">
        <v>62</v>
      </c>
      <c r="N45" s="515">
        <v>11</v>
      </c>
      <c r="O45" s="515">
        <v>10230</v>
      </c>
      <c r="P45" s="515">
        <v>60663.9</v>
      </c>
      <c r="Q45" s="515">
        <v>1692.9</v>
      </c>
      <c r="R45" s="515">
        <v>3465</v>
      </c>
      <c r="S45" s="515">
        <v>20547.45</v>
      </c>
      <c r="T45" s="515">
        <v>598.95000000000005</v>
      </c>
      <c r="U45" s="544">
        <f t="shared" si="1"/>
        <v>2291.8500000000004</v>
      </c>
      <c r="V45" s="545">
        <v>0</v>
      </c>
      <c r="W45" s="546">
        <f t="shared" si="2"/>
        <v>83503.200000000012</v>
      </c>
      <c r="X45" s="515">
        <v>0</v>
      </c>
      <c r="Y45" s="546">
        <v>26148.240000000002</v>
      </c>
      <c r="Z45" s="546">
        <f t="shared" si="3"/>
        <v>83503.199999999997</v>
      </c>
    </row>
    <row r="46" spans="1:28">
      <c r="A46" s="513" t="str">
        <f>VLOOKUP(C46,[69]Supplier!$A:$B,2,FALSE)</f>
        <v>SCH047</v>
      </c>
      <c r="C46" s="513" t="s">
        <v>811</v>
      </c>
      <c r="D46" s="538"/>
      <c r="E46" s="513"/>
      <c r="F46" s="539">
        <v>0</v>
      </c>
      <c r="G46" s="539">
        <v>0</v>
      </c>
      <c r="H46" s="539">
        <v>0</v>
      </c>
      <c r="I46" s="540">
        <v>0</v>
      </c>
      <c r="J46" s="541"/>
      <c r="K46" s="542">
        <v>0</v>
      </c>
      <c r="L46" s="543">
        <f t="shared" si="0"/>
        <v>0</v>
      </c>
      <c r="M46" s="515">
        <v>18</v>
      </c>
      <c r="N46" s="515">
        <v>11</v>
      </c>
      <c r="O46" s="515">
        <v>2940</v>
      </c>
      <c r="P46" s="515">
        <v>17434.2</v>
      </c>
      <c r="Q46" s="515">
        <v>926.1</v>
      </c>
      <c r="R46" s="515">
        <v>1155</v>
      </c>
      <c r="S46" s="515">
        <v>6849.15</v>
      </c>
      <c r="T46" s="515">
        <v>252.45</v>
      </c>
      <c r="U46" s="544">
        <f t="shared" si="1"/>
        <v>851.84999999999991</v>
      </c>
      <c r="V46" s="547">
        <v>326.70000000000005</v>
      </c>
      <c r="W46" s="546">
        <f t="shared" si="2"/>
        <v>25461.899999999998</v>
      </c>
      <c r="X46" s="515">
        <v>202.5</v>
      </c>
      <c r="Y46" s="546">
        <v>25664.1</v>
      </c>
      <c r="Z46" s="546">
        <v>25664.1</v>
      </c>
      <c r="AB46" s="513"/>
    </row>
    <row r="47" spans="1:28">
      <c r="A47" s="513" t="str">
        <f>VLOOKUP(C47,[69]Supplier!$A:$B,2,FALSE)</f>
        <v>SCH048</v>
      </c>
      <c r="B47" s="513">
        <v>10113</v>
      </c>
      <c r="C47" s="513" t="s">
        <v>812</v>
      </c>
      <c r="D47" s="538" t="s">
        <v>766</v>
      </c>
      <c r="E47" s="513"/>
      <c r="F47" s="539">
        <v>0</v>
      </c>
      <c r="G47" s="539">
        <v>0</v>
      </c>
      <c r="H47" s="539">
        <v>0</v>
      </c>
      <c r="I47" s="540">
        <v>0</v>
      </c>
      <c r="J47" s="541"/>
      <c r="K47" s="542">
        <v>0</v>
      </c>
      <c r="L47" s="543">
        <f t="shared" si="0"/>
        <v>0</v>
      </c>
      <c r="M47" s="515">
        <v>27</v>
      </c>
      <c r="N47" s="515">
        <v>11</v>
      </c>
      <c r="O47" s="515">
        <v>4455</v>
      </c>
      <c r="P47" s="515">
        <v>26418.15</v>
      </c>
      <c r="Q47" s="515">
        <v>668.25</v>
      </c>
      <c r="R47" s="515">
        <v>2640</v>
      </c>
      <c r="S47" s="515">
        <v>15655.2</v>
      </c>
      <c r="T47" s="515">
        <v>396</v>
      </c>
      <c r="U47" s="544">
        <f t="shared" si="1"/>
        <v>1064.25</v>
      </c>
      <c r="V47" s="545">
        <v>0</v>
      </c>
      <c r="W47" s="546">
        <f t="shared" si="2"/>
        <v>43137.600000000006</v>
      </c>
      <c r="X47" s="515">
        <v>0</v>
      </c>
      <c r="Y47" s="546">
        <v>43137.599999999999</v>
      </c>
      <c r="Z47" s="546">
        <f t="shared" si="3"/>
        <v>43137.599999999999</v>
      </c>
    </row>
    <row r="48" spans="1:28">
      <c r="A48" s="513" t="str">
        <f>VLOOKUP(C48,[69]Supplier!$A:$B,2,FALSE)</f>
        <v>SCH049</v>
      </c>
      <c r="B48" s="513">
        <v>10082</v>
      </c>
      <c r="C48" s="513" t="s">
        <v>813</v>
      </c>
      <c r="D48" s="538" t="s">
        <v>766</v>
      </c>
      <c r="E48" s="513">
        <v>8085</v>
      </c>
      <c r="F48" s="539">
        <v>38355.24</v>
      </c>
      <c r="G48" s="539">
        <v>0</v>
      </c>
      <c r="H48" s="539">
        <v>19177.62</v>
      </c>
      <c r="I48" s="540">
        <v>19177.62</v>
      </c>
      <c r="J48" s="541">
        <v>8085</v>
      </c>
      <c r="K48" s="542">
        <v>19177.62</v>
      </c>
      <c r="L48" s="543">
        <f t="shared" si="0"/>
        <v>38355.24</v>
      </c>
      <c r="M48" s="515">
        <v>36</v>
      </c>
      <c r="N48" s="515">
        <v>11</v>
      </c>
      <c r="O48" s="515">
        <v>5918</v>
      </c>
      <c r="P48" s="515">
        <v>35093.74</v>
      </c>
      <c r="Q48" s="515">
        <v>927.3</v>
      </c>
      <c r="R48" s="515">
        <v>1485</v>
      </c>
      <c r="S48" s="515">
        <v>8806.0499999999993</v>
      </c>
      <c r="T48" s="515">
        <v>222.75</v>
      </c>
      <c r="U48" s="544">
        <f t="shared" si="1"/>
        <v>1150.05</v>
      </c>
      <c r="V48" s="547">
        <v>0</v>
      </c>
      <c r="W48" s="546">
        <f t="shared" si="2"/>
        <v>45049.84</v>
      </c>
      <c r="X48" s="515">
        <v>0</v>
      </c>
      <c r="Y48" s="546">
        <v>6694.6</v>
      </c>
      <c r="Z48" s="546">
        <f t="shared" si="3"/>
        <v>45049.84</v>
      </c>
    </row>
    <row r="49" spans="1:28">
      <c r="A49" s="513" t="str">
        <f>VLOOKUP(C49,[69]Supplier!$A:$B,2,FALSE)</f>
        <v>SCH052</v>
      </c>
      <c r="B49" s="513">
        <v>10085</v>
      </c>
      <c r="C49" s="513" t="s">
        <v>814</v>
      </c>
      <c r="D49" s="538" t="s">
        <v>766</v>
      </c>
      <c r="E49" s="513">
        <v>7095</v>
      </c>
      <c r="F49" s="539">
        <v>33658.68</v>
      </c>
      <c r="G49" s="539">
        <v>0</v>
      </c>
      <c r="H49" s="539">
        <v>16829.34</v>
      </c>
      <c r="I49" s="540">
        <v>16829.34</v>
      </c>
      <c r="J49" s="541">
        <v>7095</v>
      </c>
      <c r="K49" s="542">
        <v>16829.34</v>
      </c>
      <c r="L49" s="543">
        <f t="shared" si="0"/>
        <v>33658.68</v>
      </c>
      <c r="M49" s="515">
        <v>31</v>
      </c>
      <c r="N49" s="515">
        <v>11</v>
      </c>
      <c r="O49" s="515">
        <v>5115</v>
      </c>
      <c r="P49" s="515">
        <v>30331.95</v>
      </c>
      <c r="Q49" s="515">
        <v>1004.85</v>
      </c>
      <c r="R49" s="515">
        <v>1980</v>
      </c>
      <c r="S49" s="515">
        <v>11741.4</v>
      </c>
      <c r="T49" s="515">
        <v>415.8</v>
      </c>
      <c r="U49" s="544">
        <f t="shared" si="1"/>
        <v>1420.65</v>
      </c>
      <c r="V49" s="547">
        <v>0</v>
      </c>
      <c r="W49" s="546">
        <f t="shared" si="2"/>
        <v>43494</v>
      </c>
      <c r="X49" s="515">
        <v>0</v>
      </c>
      <c r="Y49" s="546">
        <v>9835.32</v>
      </c>
      <c r="Z49" s="546">
        <f t="shared" si="3"/>
        <v>43494</v>
      </c>
    </row>
    <row r="50" spans="1:28">
      <c r="A50" s="513" t="str">
        <f>VLOOKUP(C50,[69]Supplier!$A:$B,2,FALSE)</f>
        <v>SCH053</v>
      </c>
      <c r="C50" s="513" t="s">
        <v>815</v>
      </c>
      <c r="D50" s="538" t="s">
        <v>337</v>
      </c>
      <c r="E50" s="513">
        <v>13860</v>
      </c>
      <c r="F50" s="539">
        <v>65751.839999999997</v>
      </c>
      <c r="G50" s="539">
        <v>0</v>
      </c>
      <c r="H50" s="539">
        <v>32875.919999999998</v>
      </c>
      <c r="I50" s="540">
        <v>32875.919999999998</v>
      </c>
      <c r="J50" s="541">
        <v>13860</v>
      </c>
      <c r="K50" s="542">
        <v>32875.919999999998</v>
      </c>
      <c r="L50" s="543">
        <f t="shared" si="0"/>
        <v>65751.839999999997</v>
      </c>
      <c r="M50" s="515">
        <v>66</v>
      </c>
      <c r="N50" s="515">
        <v>11</v>
      </c>
      <c r="O50" s="515">
        <v>10890</v>
      </c>
      <c r="P50" s="515">
        <v>64577.7</v>
      </c>
      <c r="Q50" s="515">
        <v>3583.8</v>
      </c>
      <c r="R50" s="515">
        <v>2970</v>
      </c>
      <c r="S50" s="515">
        <v>17612.099999999999</v>
      </c>
      <c r="T50" s="515">
        <v>603.9</v>
      </c>
      <c r="U50" s="544">
        <f t="shared" si="1"/>
        <v>2989.7999999999997</v>
      </c>
      <c r="V50" s="547">
        <v>1197.9000000000001</v>
      </c>
      <c r="W50" s="546">
        <f t="shared" si="2"/>
        <v>86377.499999999985</v>
      </c>
      <c r="X50" s="515">
        <v>0</v>
      </c>
      <c r="Y50" s="546">
        <v>20625.66</v>
      </c>
      <c r="Z50" s="546">
        <f t="shared" si="3"/>
        <v>86377.5</v>
      </c>
    </row>
    <row r="51" spans="1:28">
      <c r="A51" s="513" t="str">
        <f>VLOOKUP(C51,[69]Supplier!$A:$B,2,FALSE)</f>
        <v>SCH056</v>
      </c>
      <c r="C51" s="513" t="s">
        <v>816</v>
      </c>
      <c r="D51" s="538" t="s">
        <v>770</v>
      </c>
      <c r="E51" s="513">
        <v>12045</v>
      </c>
      <c r="F51" s="539">
        <v>57141.48</v>
      </c>
      <c r="G51" s="539">
        <v>0</v>
      </c>
      <c r="H51" s="539">
        <v>28570.74</v>
      </c>
      <c r="I51" s="540">
        <v>28570.74</v>
      </c>
      <c r="J51" s="541">
        <v>12045</v>
      </c>
      <c r="K51" s="542">
        <v>28570.74</v>
      </c>
      <c r="L51" s="543">
        <f t="shared" si="0"/>
        <v>57141.48</v>
      </c>
      <c r="M51" s="515">
        <v>54</v>
      </c>
      <c r="N51" s="515">
        <v>11</v>
      </c>
      <c r="O51" s="515">
        <v>8910</v>
      </c>
      <c r="P51" s="515">
        <v>52836.3</v>
      </c>
      <c r="Q51" s="515">
        <v>1593.9</v>
      </c>
      <c r="R51" s="515">
        <v>3300</v>
      </c>
      <c r="S51" s="515">
        <v>19569</v>
      </c>
      <c r="T51" s="515">
        <v>534.6</v>
      </c>
      <c r="U51" s="544">
        <f t="shared" si="1"/>
        <v>1910.7</v>
      </c>
      <c r="V51" s="547">
        <v>217.8</v>
      </c>
      <c r="W51" s="546">
        <f t="shared" si="2"/>
        <v>74533.8</v>
      </c>
      <c r="X51" s="515">
        <v>0</v>
      </c>
      <c r="Y51" s="546">
        <v>17392.32</v>
      </c>
      <c r="Z51" s="546">
        <f t="shared" si="3"/>
        <v>74533.8</v>
      </c>
    </row>
    <row r="52" spans="1:28">
      <c r="A52" s="513" t="str">
        <f>VLOOKUP(C52,[69]Supplier!$A:$B,2,FALSE)</f>
        <v>SCH057</v>
      </c>
      <c r="B52" s="513">
        <v>10086</v>
      </c>
      <c r="C52" s="513" t="s">
        <v>817</v>
      </c>
      <c r="D52" s="538" t="s">
        <v>766</v>
      </c>
      <c r="E52" s="513">
        <v>3825</v>
      </c>
      <c r="F52" s="539">
        <v>18145.8</v>
      </c>
      <c r="G52" s="539">
        <v>0</v>
      </c>
      <c r="H52" s="539">
        <v>9072.9</v>
      </c>
      <c r="I52" s="540">
        <v>9072.9</v>
      </c>
      <c r="J52" s="541">
        <v>3825</v>
      </c>
      <c r="K52" s="542">
        <v>9072.9</v>
      </c>
      <c r="L52" s="543">
        <f t="shared" si="0"/>
        <v>18145.8</v>
      </c>
      <c r="M52" s="515">
        <v>37</v>
      </c>
      <c r="N52" s="515">
        <v>11</v>
      </c>
      <c r="O52" s="515">
        <v>6045</v>
      </c>
      <c r="P52" s="515">
        <v>35846.85</v>
      </c>
      <c r="Q52" s="515">
        <v>1055.25</v>
      </c>
      <c r="R52" s="515">
        <v>1635</v>
      </c>
      <c r="S52" s="515">
        <v>9695.5499999999993</v>
      </c>
      <c r="T52" s="515">
        <v>284.85000000000002</v>
      </c>
      <c r="U52" s="544">
        <f t="shared" si="1"/>
        <v>1231.1999999999998</v>
      </c>
      <c r="V52" s="547">
        <v>108.9</v>
      </c>
      <c r="W52" s="546">
        <f t="shared" si="2"/>
        <v>46882.499999999993</v>
      </c>
      <c r="X52" s="515">
        <v>0</v>
      </c>
      <c r="Y52" s="546">
        <v>28736.7</v>
      </c>
      <c r="Z52" s="546">
        <f t="shared" si="3"/>
        <v>46882.5</v>
      </c>
    </row>
    <row r="53" spans="1:28">
      <c r="A53" s="513" t="str">
        <f>VLOOKUP(C53,[69]Supplier!$A:$B,2,FALSE)</f>
        <v>SCH059</v>
      </c>
      <c r="B53" s="513">
        <v>10112</v>
      </c>
      <c r="C53" s="513" t="s">
        <v>818</v>
      </c>
      <c r="D53" s="538" t="s">
        <v>766</v>
      </c>
      <c r="E53" s="513">
        <v>5610</v>
      </c>
      <c r="F53" s="539">
        <v>26613.84</v>
      </c>
      <c r="G53" s="539">
        <v>0</v>
      </c>
      <c r="H53" s="539">
        <v>13306.92</v>
      </c>
      <c r="I53" s="540">
        <v>13306.92</v>
      </c>
      <c r="J53" s="541">
        <v>5610</v>
      </c>
      <c r="K53" s="542">
        <v>13306.92</v>
      </c>
      <c r="L53" s="543">
        <f t="shared" si="0"/>
        <v>26613.84</v>
      </c>
      <c r="M53" s="515">
        <v>22</v>
      </c>
      <c r="N53" s="515">
        <v>11</v>
      </c>
      <c r="O53" s="515">
        <v>3600</v>
      </c>
      <c r="P53" s="515">
        <v>21348</v>
      </c>
      <c r="Q53" s="515">
        <v>540</v>
      </c>
      <c r="R53" s="515">
        <v>1980</v>
      </c>
      <c r="S53" s="515">
        <v>11741.4</v>
      </c>
      <c r="T53" s="515">
        <v>297</v>
      </c>
      <c r="U53" s="544">
        <f t="shared" si="1"/>
        <v>837</v>
      </c>
      <c r="V53" s="547">
        <v>0</v>
      </c>
      <c r="W53" s="546">
        <f t="shared" si="2"/>
        <v>33926.400000000001</v>
      </c>
      <c r="X53" s="515">
        <v>0</v>
      </c>
      <c r="Y53" s="546">
        <v>7312.56</v>
      </c>
      <c r="Z53" s="546">
        <f t="shared" si="3"/>
        <v>33926.400000000001</v>
      </c>
    </row>
    <row r="54" spans="1:28">
      <c r="A54" s="513" t="str">
        <f>VLOOKUP(C54,[69]Supplier!$A:$B,2,FALSE)</f>
        <v>SCH060</v>
      </c>
      <c r="B54" s="513">
        <v>10087</v>
      </c>
      <c r="C54" s="513" t="s">
        <v>819</v>
      </c>
      <c r="D54" s="538" t="s">
        <v>766</v>
      </c>
      <c r="E54" s="513">
        <v>6765</v>
      </c>
      <c r="F54" s="539">
        <v>32093.16</v>
      </c>
      <c r="G54" s="539">
        <v>0</v>
      </c>
      <c r="H54" s="539">
        <v>16046.58</v>
      </c>
      <c r="I54" s="540">
        <v>16046.58</v>
      </c>
      <c r="J54" s="541">
        <v>6765</v>
      </c>
      <c r="K54" s="542">
        <v>16046.58</v>
      </c>
      <c r="L54" s="543">
        <f t="shared" si="0"/>
        <v>32093.16</v>
      </c>
      <c r="M54" s="515">
        <v>29</v>
      </c>
      <c r="N54" s="515">
        <v>11</v>
      </c>
      <c r="O54" s="515">
        <v>4785</v>
      </c>
      <c r="P54" s="515">
        <v>28375.05</v>
      </c>
      <c r="Q54" s="515">
        <v>2064.15</v>
      </c>
      <c r="R54" s="515">
        <v>1485</v>
      </c>
      <c r="S54" s="515">
        <v>8806.0499999999993</v>
      </c>
      <c r="T54" s="515">
        <v>420.75</v>
      </c>
      <c r="U54" s="544">
        <f t="shared" si="1"/>
        <v>1613.7000000000003</v>
      </c>
      <c r="V54" s="547">
        <v>871.19999999999993</v>
      </c>
      <c r="W54" s="546">
        <f t="shared" si="2"/>
        <v>39665.999999999993</v>
      </c>
      <c r="X54" s="515">
        <v>0</v>
      </c>
      <c r="Y54" s="546">
        <v>7572.84</v>
      </c>
      <c r="Z54" s="546">
        <f t="shared" si="3"/>
        <v>39666</v>
      </c>
    </row>
    <row r="55" spans="1:28">
      <c r="A55" s="513" t="str">
        <f>VLOOKUP(C55,[69]Supplier!$A:$B,2,FALSE)</f>
        <v>SCH083</v>
      </c>
      <c r="C55" s="513" t="s">
        <v>820</v>
      </c>
      <c r="D55" s="538" t="s">
        <v>770</v>
      </c>
      <c r="E55" s="513">
        <v>4290</v>
      </c>
      <c r="F55" s="539">
        <v>20351.759999999998</v>
      </c>
      <c r="G55" s="539">
        <v>0</v>
      </c>
      <c r="H55" s="539">
        <v>10175.879999999999</v>
      </c>
      <c r="I55" s="540">
        <v>10175.879999999999</v>
      </c>
      <c r="J55" s="541">
        <v>4290</v>
      </c>
      <c r="K55" s="542">
        <v>10175.879999999999</v>
      </c>
      <c r="L55" s="543">
        <f t="shared" si="0"/>
        <v>20351.759999999998</v>
      </c>
      <c r="M55" s="515">
        <v>32</v>
      </c>
      <c r="N55" s="515">
        <v>11</v>
      </c>
      <c r="O55" s="515">
        <v>5280</v>
      </c>
      <c r="P55" s="515">
        <v>31310.400000000001</v>
      </c>
      <c r="Q55" s="515">
        <v>1069.2</v>
      </c>
      <c r="R55" s="515">
        <v>660</v>
      </c>
      <c r="S55" s="515">
        <v>3913.8</v>
      </c>
      <c r="T55" s="515">
        <v>138.6</v>
      </c>
      <c r="U55" s="544">
        <f t="shared" si="1"/>
        <v>1207.8</v>
      </c>
      <c r="V55" s="545">
        <v>0</v>
      </c>
      <c r="W55" s="546">
        <f t="shared" si="2"/>
        <v>36432.000000000007</v>
      </c>
      <c r="X55" s="515">
        <v>0</v>
      </c>
      <c r="Y55" s="546">
        <v>16080.24</v>
      </c>
      <c r="Z55" s="546">
        <f t="shared" si="3"/>
        <v>36432</v>
      </c>
    </row>
    <row r="56" spans="1:28">
      <c r="A56" s="513" t="str">
        <f>VLOOKUP(C56,[69]Supplier!$A:$B,2,FALSE)</f>
        <v>SCH061</v>
      </c>
      <c r="B56" s="513">
        <v>10088</v>
      </c>
      <c r="C56" s="513" t="s">
        <v>821</v>
      </c>
      <c r="D56" s="538" t="s">
        <v>766</v>
      </c>
      <c r="E56" s="513">
        <v>9000</v>
      </c>
      <c r="F56" s="539">
        <v>42696</v>
      </c>
      <c r="G56" s="539">
        <v>0</v>
      </c>
      <c r="H56" s="539">
        <v>21348</v>
      </c>
      <c r="I56" s="540">
        <v>21348</v>
      </c>
      <c r="J56" s="541">
        <v>9000</v>
      </c>
      <c r="K56" s="542">
        <v>21348</v>
      </c>
      <c r="L56" s="543">
        <f t="shared" si="0"/>
        <v>42696</v>
      </c>
      <c r="M56" s="515">
        <v>46</v>
      </c>
      <c r="N56" s="515">
        <v>11</v>
      </c>
      <c r="O56" s="515">
        <v>7506</v>
      </c>
      <c r="P56" s="515">
        <v>44510.58</v>
      </c>
      <c r="Q56" s="515">
        <v>1395.18</v>
      </c>
      <c r="R56" s="515">
        <v>2358</v>
      </c>
      <c r="S56" s="515">
        <v>13982.94</v>
      </c>
      <c r="T56" s="515">
        <v>384.22</v>
      </c>
      <c r="U56" s="544">
        <f t="shared" si="1"/>
        <v>1779.4</v>
      </c>
      <c r="V56" s="547">
        <v>0</v>
      </c>
      <c r="W56" s="546">
        <f t="shared" si="2"/>
        <v>60272.920000000006</v>
      </c>
      <c r="X56" s="515">
        <v>0</v>
      </c>
      <c r="Y56" s="546">
        <v>17576.919999999998</v>
      </c>
      <c r="Z56" s="546">
        <f t="shared" si="3"/>
        <v>60272.92</v>
      </c>
    </row>
    <row r="57" spans="1:28">
      <c r="A57" s="513" t="str">
        <f>VLOOKUP(C57,[69]Supplier!$A:$B,2,FALSE)</f>
        <v>SCH062</v>
      </c>
      <c r="B57" s="513">
        <v>10089</v>
      </c>
      <c r="C57" s="513" t="s">
        <v>822</v>
      </c>
      <c r="D57" s="538" t="s">
        <v>766</v>
      </c>
      <c r="E57" s="513">
        <v>6105</v>
      </c>
      <c r="F57" s="539">
        <v>28962.12</v>
      </c>
      <c r="G57" s="539">
        <v>0</v>
      </c>
      <c r="H57" s="539">
        <v>14481.06</v>
      </c>
      <c r="I57" s="540">
        <v>14481.06</v>
      </c>
      <c r="J57" s="541">
        <v>6105</v>
      </c>
      <c r="K57" s="542">
        <v>14481.06</v>
      </c>
      <c r="L57" s="543">
        <f t="shared" si="0"/>
        <v>28962.12</v>
      </c>
      <c r="M57" s="515">
        <v>23</v>
      </c>
      <c r="N57" s="515">
        <v>11</v>
      </c>
      <c r="O57" s="515">
        <v>3795</v>
      </c>
      <c r="P57" s="515">
        <v>22504.35</v>
      </c>
      <c r="Q57" s="515">
        <v>569.25</v>
      </c>
      <c r="R57" s="515">
        <v>2310</v>
      </c>
      <c r="S57" s="515">
        <v>13698.3</v>
      </c>
      <c r="T57" s="515">
        <v>346.5</v>
      </c>
      <c r="U57" s="544">
        <f t="shared" si="1"/>
        <v>915.75</v>
      </c>
      <c r="V57" s="545">
        <v>0</v>
      </c>
      <c r="W57" s="546">
        <f t="shared" si="2"/>
        <v>37118.399999999994</v>
      </c>
      <c r="X57" s="515">
        <v>0</v>
      </c>
      <c r="Y57" s="546">
        <v>8156.28</v>
      </c>
      <c r="Z57" s="546">
        <f t="shared" si="3"/>
        <v>37118.400000000001</v>
      </c>
    </row>
    <row r="58" spans="1:28">
      <c r="A58" s="513" t="e">
        <f>VLOOKUP(C58,[69]Supplier!$A:$B,2,FALSE)</f>
        <v>#N/A</v>
      </c>
      <c r="B58" s="513">
        <v>10116</v>
      </c>
      <c r="C58" s="513" t="s">
        <v>823</v>
      </c>
      <c r="D58" s="538" t="s">
        <v>766</v>
      </c>
      <c r="E58" s="513">
        <v>3900</v>
      </c>
      <c r="F58" s="539">
        <v>18501.599999999999</v>
      </c>
      <c r="G58" s="539">
        <v>0</v>
      </c>
      <c r="H58" s="539">
        <v>9250.7999999999993</v>
      </c>
      <c r="I58" s="540">
        <v>9250.7999999999993</v>
      </c>
      <c r="J58" s="541">
        <v>3900</v>
      </c>
      <c r="K58" s="542">
        <v>9250.7999999999993</v>
      </c>
      <c r="L58" s="543">
        <f t="shared" si="0"/>
        <v>18501.599999999999</v>
      </c>
      <c r="M58" s="515">
        <v>17</v>
      </c>
      <c r="N58" s="515">
        <v>10.4</v>
      </c>
      <c r="O58" s="515">
        <v>2625</v>
      </c>
      <c r="P58" s="515">
        <v>15566.25</v>
      </c>
      <c r="Q58" s="515">
        <v>393.75</v>
      </c>
      <c r="R58" s="515">
        <v>618</v>
      </c>
      <c r="S58" s="515">
        <v>3664.74</v>
      </c>
      <c r="T58" s="515">
        <v>92.7</v>
      </c>
      <c r="U58" s="544">
        <f t="shared" si="1"/>
        <v>486.45</v>
      </c>
      <c r="V58" s="547">
        <v>0</v>
      </c>
      <c r="W58" s="546">
        <f t="shared" si="2"/>
        <v>19717.439999999999</v>
      </c>
      <c r="X58" s="515">
        <v>0</v>
      </c>
      <c r="Y58" s="546">
        <v>1215.8399999999999</v>
      </c>
      <c r="Z58" s="546">
        <f t="shared" si="3"/>
        <v>19717.439999999999</v>
      </c>
    </row>
    <row r="59" spans="1:28">
      <c r="A59" s="513" t="str">
        <f>VLOOKUP(C59,[69]Supplier!$A:$B,2,FALSE)</f>
        <v>SCH064</v>
      </c>
      <c r="B59" s="513">
        <v>10107</v>
      </c>
      <c r="C59" s="513" t="s">
        <v>824</v>
      </c>
      <c r="D59" s="538" t="s">
        <v>766</v>
      </c>
      <c r="E59" s="513">
        <v>7095</v>
      </c>
      <c r="F59" s="539">
        <v>33658.68</v>
      </c>
      <c r="G59" s="539">
        <v>0</v>
      </c>
      <c r="H59" s="539">
        <v>16829.34</v>
      </c>
      <c r="I59" s="540">
        <v>16829.34</v>
      </c>
      <c r="J59" s="541">
        <v>7095</v>
      </c>
      <c r="K59" s="542">
        <v>16829.34</v>
      </c>
      <c r="L59" s="543">
        <f t="shared" si="0"/>
        <v>33658.68</v>
      </c>
      <c r="M59" s="515">
        <v>39</v>
      </c>
      <c r="N59" s="515">
        <v>11</v>
      </c>
      <c r="O59" s="515">
        <v>6306</v>
      </c>
      <c r="P59" s="515">
        <v>37394.58</v>
      </c>
      <c r="Q59" s="515">
        <v>2659.32</v>
      </c>
      <c r="R59" s="515">
        <v>1606</v>
      </c>
      <c r="S59" s="515">
        <v>9523.58</v>
      </c>
      <c r="T59" s="515">
        <v>359.7</v>
      </c>
      <c r="U59" s="544">
        <f t="shared" si="1"/>
        <v>1971.6000000000001</v>
      </c>
      <c r="V59" s="547">
        <v>1047.4199999999998</v>
      </c>
      <c r="W59" s="546">
        <f t="shared" si="2"/>
        <v>49937.18</v>
      </c>
      <c r="X59" s="515">
        <v>0</v>
      </c>
      <c r="Y59" s="546">
        <v>16278.5</v>
      </c>
      <c r="Z59" s="546">
        <f t="shared" si="3"/>
        <v>49937.18</v>
      </c>
    </row>
    <row r="60" spans="1:28" s="548" customFormat="1">
      <c r="A60" s="548" t="str">
        <f>VLOOKUP(C60,[69]Supplier!$A:$B,2,FALSE)</f>
        <v>SCH065</v>
      </c>
      <c r="B60" s="548">
        <v>10135</v>
      </c>
      <c r="C60" s="548" t="s">
        <v>825</v>
      </c>
      <c r="D60" s="549" t="s">
        <v>766</v>
      </c>
      <c r="F60" s="550">
        <v>0</v>
      </c>
      <c r="G60" s="550">
        <v>0</v>
      </c>
      <c r="H60" s="550">
        <v>0</v>
      </c>
      <c r="I60" s="551">
        <v>0</v>
      </c>
      <c r="J60" s="552"/>
      <c r="K60" s="551">
        <v>0</v>
      </c>
      <c r="L60" s="553">
        <f t="shared" si="0"/>
        <v>0</v>
      </c>
      <c r="M60" s="552">
        <v>86</v>
      </c>
      <c r="N60" s="552">
        <v>11</v>
      </c>
      <c r="O60" s="552">
        <v>14190</v>
      </c>
      <c r="P60" s="552">
        <v>84146.7</v>
      </c>
      <c r="Q60" s="552">
        <v>3564</v>
      </c>
      <c r="R60" s="552">
        <v>5445</v>
      </c>
      <c r="S60" s="552">
        <v>32288.85</v>
      </c>
      <c r="T60" s="552">
        <v>1133.55</v>
      </c>
      <c r="U60" s="554">
        <f t="shared" si="1"/>
        <v>4370.8500000000004</v>
      </c>
      <c r="V60" s="555">
        <v>326.70000000000005</v>
      </c>
      <c r="W60" s="556">
        <f t="shared" si="2"/>
        <v>121133.09999999999</v>
      </c>
      <c r="X60" s="552">
        <v>0</v>
      </c>
      <c r="Y60" s="556">
        <v>121133.1</v>
      </c>
      <c r="Z60" s="556">
        <f t="shared" si="3"/>
        <v>121133.1</v>
      </c>
      <c r="AA60" s="557"/>
      <c r="AB60" s="557"/>
    </row>
    <row r="61" spans="1:28">
      <c r="A61" s="513" t="str">
        <f>VLOOKUP(C61,[69]Supplier!$A:$B,2,FALSE)</f>
        <v>SCH084</v>
      </c>
      <c r="C61" s="558" t="s">
        <v>826</v>
      </c>
      <c r="D61" s="559"/>
      <c r="E61" s="513">
        <v>2835</v>
      </c>
      <c r="F61" s="539">
        <v>13449.24</v>
      </c>
      <c r="G61" s="539">
        <v>0</v>
      </c>
      <c r="H61" s="539">
        <v>6724.62</v>
      </c>
      <c r="I61" s="540">
        <v>6724.62</v>
      </c>
      <c r="J61" s="541">
        <v>2835</v>
      </c>
      <c r="K61" s="542">
        <v>7819.02</v>
      </c>
      <c r="L61" s="543">
        <f t="shared" si="0"/>
        <v>14543.64</v>
      </c>
      <c r="M61" s="515">
        <v>10</v>
      </c>
      <c r="N61" s="515">
        <v>11</v>
      </c>
      <c r="O61" s="515">
        <v>1650</v>
      </c>
      <c r="P61" s="515">
        <v>9784.5</v>
      </c>
      <c r="Q61" s="515">
        <v>485.1</v>
      </c>
      <c r="R61" s="515">
        <v>825</v>
      </c>
      <c r="S61" s="515">
        <v>4892.25</v>
      </c>
      <c r="T61" s="515">
        <v>202.95</v>
      </c>
      <c r="U61" s="544">
        <f t="shared" si="1"/>
        <v>688.05</v>
      </c>
      <c r="V61" s="547">
        <v>0</v>
      </c>
      <c r="W61" s="546">
        <f t="shared" si="2"/>
        <v>15364.8</v>
      </c>
      <c r="X61" s="515">
        <v>0</v>
      </c>
      <c r="Y61" s="546">
        <v>1915.56</v>
      </c>
      <c r="Z61" s="546">
        <f t="shared" si="3"/>
        <v>16459.2</v>
      </c>
    </row>
    <row r="62" spans="1:28">
      <c r="A62" s="513" t="str">
        <f>VLOOKUP(C62,[69]Supplier!$A:$B,2,FALSE)</f>
        <v>SCH066</v>
      </c>
      <c r="B62" s="513">
        <v>10698</v>
      </c>
      <c r="C62" s="513" t="s">
        <v>827</v>
      </c>
      <c r="D62" s="538" t="s">
        <v>766</v>
      </c>
      <c r="E62" s="513"/>
      <c r="F62" s="539">
        <v>0</v>
      </c>
      <c r="G62" s="539">
        <v>0</v>
      </c>
      <c r="H62" s="539">
        <v>0</v>
      </c>
      <c r="I62" s="540">
        <v>0</v>
      </c>
      <c r="J62" s="541"/>
      <c r="K62" s="542">
        <v>0</v>
      </c>
      <c r="L62" s="543">
        <f t="shared" si="0"/>
        <v>0</v>
      </c>
      <c r="M62" s="515">
        <v>33</v>
      </c>
      <c r="N62" s="515">
        <v>11</v>
      </c>
      <c r="O62" s="515">
        <v>5445</v>
      </c>
      <c r="P62" s="515">
        <v>32288.85</v>
      </c>
      <c r="Q62" s="515">
        <v>1321.65</v>
      </c>
      <c r="R62" s="515">
        <v>1650</v>
      </c>
      <c r="S62" s="515">
        <v>9784.5</v>
      </c>
      <c r="T62" s="515">
        <v>366.3</v>
      </c>
      <c r="U62" s="544">
        <f t="shared" si="1"/>
        <v>1579.05</v>
      </c>
      <c r="V62" s="547">
        <v>108.9</v>
      </c>
      <c r="W62" s="546">
        <f t="shared" si="2"/>
        <v>43761.3</v>
      </c>
      <c r="X62" s="515">
        <v>0</v>
      </c>
      <c r="Y62" s="546">
        <v>43761.3</v>
      </c>
      <c r="Z62" s="546">
        <f t="shared" si="3"/>
        <v>43761.3</v>
      </c>
    </row>
    <row r="63" spans="1:28">
      <c r="A63" s="513" t="str">
        <f>VLOOKUP(C63,[69]Supplier!$A:$B,2,FALSE)</f>
        <v>SCH068</v>
      </c>
      <c r="B63" s="513">
        <v>10092</v>
      </c>
      <c r="C63" s="513" t="s">
        <v>828</v>
      </c>
      <c r="D63" s="538" t="s">
        <v>766</v>
      </c>
      <c r="E63" s="513">
        <v>9900</v>
      </c>
      <c r="F63" s="539">
        <v>46965.599999999999</v>
      </c>
      <c r="G63" s="539">
        <v>0</v>
      </c>
      <c r="H63" s="539">
        <v>23482.799999999999</v>
      </c>
      <c r="I63" s="540">
        <v>23482.799999999999</v>
      </c>
      <c r="J63" s="541">
        <v>9900</v>
      </c>
      <c r="K63" s="542">
        <v>23482.799999999999</v>
      </c>
      <c r="L63" s="543">
        <f t="shared" si="0"/>
        <v>46965.599999999999</v>
      </c>
      <c r="M63" s="515">
        <v>44</v>
      </c>
      <c r="N63" s="515">
        <v>12</v>
      </c>
      <c r="O63" s="515">
        <v>7755</v>
      </c>
      <c r="P63" s="515">
        <v>45987.15</v>
      </c>
      <c r="Q63" s="515">
        <v>1606.05</v>
      </c>
      <c r="R63" s="515">
        <v>3360</v>
      </c>
      <c r="S63" s="515">
        <v>19924.8</v>
      </c>
      <c r="T63" s="515">
        <v>504</v>
      </c>
      <c r="U63" s="544">
        <f t="shared" si="1"/>
        <v>1753.65</v>
      </c>
      <c r="V63" s="545">
        <v>356.40000000000003</v>
      </c>
      <c r="W63" s="546">
        <f t="shared" si="2"/>
        <v>68021.999999999985</v>
      </c>
      <c r="X63" s="515">
        <v>0</v>
      </c>
      <c r="Y63" s="546">
        <v>21056.400000000001</v>
      </c>
      <c r="Z63" s="546">
        <f t="shared" si="3"/>
        <v>68022</v>
      </c>
      <c r="AB63" s="513"/>
    </row>
    <row r="64" spans="1:28">
      <c r="A64" s="513" t="str">
        <f>VLOOKUP(C64,[69]Supplier!$A:$B,2,FALSE)</f>
        <v>SCH069</v>
      </c>
      <c r="B64" s="513">
        <v>10094</v>
      </c>
      <c r="C64" s="513" t="s">
        <v>829</v>
      </c>
      <c r="D64" s="538" t="s">
        <v>766</v>
      </c>
      <c r="E64" s="513">
        <v>4290</v>
      </c>
      <c r="F64" s="539">
        <v>20351.759999999998</v>
      </c>
      <c r="G64" s="539">
        <v>0</v>
      </c>
      <c r="H64" s="539">
        <v>10175.879999999999</v>
      </c>
      <c r="I64" s="540">
        <v>10175.879999999999</v>
      </c>
      <c r="J64" s="541">
        <v>4290</v>
      </c>
      <c r="K64" s="542">
        <v>10175.879999999999</v>
      </c>
      <c r="L64" s="543">
        <f t="shared" si="0"/>
        <v>20351.759999999998</v>
      </c>
      <c r="M64" s="515">
        <v>21</v>
      </c>
      <c r="N64" s="515">
        <v>11</v>
      </c>
      <c r="O64" s="515">
        <v>3390</v>
      </c>
      <c r="P64" s="515">
        <v>20102.7</v>
      </c>
      <c r="Q64" s="515">
        <v>1332</v>
      </c>
      <c r="R64" s="515">
        <v>1485</v>
      </c>
      <c r="S64" s="515">
        <v>8806.0499999999993</v>
      </c>
      <c r="T64" s="515">
        <v>499.95</v>
      </c>
      <c r="U64" s="544">
        <f t="shared" si="1"/>
        <v>1505.25</v>
      </c>
      <c r="V64" s="545">
        <v>326.70000000000005</v>
      </c>
      <c r="W64" s="546">
        <f t="shared" si="2"/>
        <v>30740.7</v>
      </c>
      <c r="X64" s="515">
        <v>0</v>
      </c>
      <c r="Y64" s="546">
        <v>10388.94</v>
      </c>
      <c r="Z64" s="546">
        <f t="shared" si="3"/>
        <v>30740.699999999997</v>
      </c>
      <c r="AB64" s="513"/>
    </row>
    <row r="65" spans="1:28">
      <c r="A65" s="513" t="str">
        <f>VLOOKUP(C65,[69]Supplier!$A:$B,2,FALSE)</f>
        <v>SCH070</v>
      </c>
      <c r="C65" s="513" t="s">
        <v>830</v>
      </c>
      <c r="D65" s="538" t="s">
        <v>337</v>
      </c>
      <c r="E65" s="513">
        <v>5115</v>
      </c>
      <c r="F65" s="539">
        <v>24265.56</v>
      </c>
      <c r="G65" s="539">
        <v>0</v>
      </c>
      <c r="H65" s="539">
        <v>12132.78</v>
      </c>
      <c r="I65" s="540">
        <v>12132.78</v>
      </c>
      <c r="J65" s="541">
        <v>5115</v>
      </c>
      <c r="K65" s="542">
        <v>12132.78</v>
      </c>
      <c r="L65" s="543">
        <f t="shared" si="0"/>
        <v>24265.56</v>
      </c>
      <c r="M65" s="515">
        <v>27</v>
      </c>
      <c r="N65" s="515">
        <v>11</v>
      </c>
      <c r="O65" s="515">
        <v>4290</v>
      </c>
      <c r="P65" s="515">
        <v>25439.7</v>
      </c>
      <c r="Q65" s="515">
        <v>1490.4</v>
      </c>
      <c r="R65" s="515">
        <v>825</v>
      </c>
      <c r="S65" s="515">
        <v>4892.25</v>
      </c>
      <c r="T65" s="515">
        <v>202.95</v>
      </c>
      <c r="U65" s="544">
        <f t="shared" si="1"/>
        <v>1148.8500000000001</v>
      </c>
      <c r="V65" s="545">
        <v>544.5</v>
      </c>
      <c r="W65" s="546">
        <f t="shared" si="2"/>
        <v>32025.3</v>
      </c>
      <c r="X65" s="515">
        <v>0</v>
      </c>
      <c r="Y65" s="546">
        <v>7759.74</v>
      </c>
      <c r="Z65" s="546">
        <f t="shared" si="3"/>
        <v>32025.300000000003</v>
      </c>
      <c r="AB65" s="513"/>
    </row>
    <row r="66" spans="1:28">
      <c r="A66" s="513" t="str">
        <f>VLOOKUP(C66,[69]Supplier!$A:$B,2,FALSE)</f>
        <v>SCH071</v>
      </c>
      <c r="B66" s="513">
        <v>10097</v>
      </c>
      <c r="C66" s="513" t="s">
        <v>831</v>
      </c>
      <c r="D66" s="538" t="s">
        <v>766</v>
      </c>
      <c r="E66" s="513">
        <v>6930</v>
      </c>
      <c r="F66" s="539">
        <v>32875.919999999998</v>
      </c>
      <c r="G66" s="539">
        <v>0</v>
      </c>
      <c r="H66" s="539">
        <v>16437.96</v>
      </c>
      <c r="I66" s="540">
        <v>16437.96</v>
      </c>
      <c r="J66" s="541">
        <v>6930</v>
      </c>
      <c r="K66" s="542">
        <v>16437.96</v>
      </c>
      <c r="L66" s="543">
        <f t="shared" si="0"/>
        <v>32875.919999999998</v>
      </c>
      <c r="M66" s="515">
        <v>44</v>
      </c>
      <c r="N66" s="515">
        <v>11</v>
      </c>
      <c r="O66" s="515">
        <v>7230</v>
      </c>
      <c r="P66" s="515">
        <v>42873.9</v>
      </c>
      <c r="Q66" s="515">
        <v>2490.3000000000002</v>
      </c>
      <c r="R66" s="515">
        <v>1155</v>
      </c>
      <c r="S66" s="515">
        <v>6849.15</v>
      </c>
      <c r="T66" s="515">
        <v>331.65</v>
      </c>
      <c r="U66" s="544">
        <f t="shared" si="1"/>
        <v>2168.5500000000002</v>
      </c>
      <c r="V66" s="545">
        <v>653.4</v>
      </c>
      <c r="W66" s="546">
        <f t="shared" si="2"/>
        <v>52545.000000000007</v>
      </c>
      <c r="X66" s="515">
        <v>0</v>
      </c>
      <c r="Y66" s="546">
        <v>19669.080000000002</v>
      </c>
      <c r="Z66" s="546">
        <f t="shared" si="3"/>
        <v>52545</v>
      </c>
    </row>
    <row r="67" spans="1:28">
      <c r="A67" s="513" t="str">
        <f>VLOOKUP(C67,[69]Supplier!$A:$B,2,FALSE)</f>
        <v>SCH072</v>
      </c>
      <c r="C67" s="513" t="s">
        <v>832</v>
      </c>
      <c r="D67" s="538" t="s">
        <v>337</v>
      </c>
      <c r="E67" s="513">
        <v>11595</v>
      </c>
      <c r="F67" s="539">
        <v>55006.68</v>
      </c>
      <c r="G67" s="539">
        <v>0</v>
      </c>
      <c r="H67" s="539">
        <v>27503.34</v>
      </c>
      <c r="I67" s="540">
        <v>27503.34</v>
      </c>
      <c r="J67" s="541">
        <v>11595</v>
      </c>
      <c r="K67" s="542">
        <v>27503.34</v>
      </c>
      <c r="L67" s="543">
        <f t="shared" ref="L67:L71" si="4">H67+K67</f>
        <v>55006.68</v>
      </c>
      <c r="M67" s="515">
        <v>54</v>
      </c>
      <c r="N67" s="515">
        <v>12</v>
      </c>
      <c r="O67" s="515">
        <v>8745</v>
      </c>
      <c r="P67" s="515">
        <v>51857.85</v>
      </c>
      <c r="Q67" s="515">
        <v>2252.25</v>
      </c>
      <c r="R67" s="515">
        <v>3390</v>
      </c>
      <c r="S67" s="515">
        <v>20102.7</v>
      </c>
      <c r="T67" s="515">
        <v>886.5</v>
      </c>
      <c r="U67" s="544">
        <f t="shared" ref="U67:U73" si="5">(Q67+T67)-V67</f>
        <v>3029.85</v>
      </c>
      <c r="V67" s="545">
        <v>108.9</v>
      </c>
      <c r="W67" s="546">
        <f t="shared" ref="W67:W73" si="6">P67+S67+U67+V67</f>
        <v>75099.3</v>
      </c>
      <c r="X67" s="515">
        <v>0</v>
      </c>
      <c r="Y67" s="546">
        <v>20092.62</v>
      </c>
      <c r="Z67" s="546">
        <f t="shared" ref="Z67:Z71" si="7">L67+Y67-X67</f>
        <v>75099.3</v>
      </c>
    </row>
    <row r="68" spans="1:28">
      <c r="A68" s="513" t="str">
        <f>VLOOKUP(C68,[69]Supplier!$A:$B,2,FALSE)</f>
        <v>SCH073</v>
      </c>
      <c r="B68" s="513">
        <v>10127</v>
      </c>
      <c r="C68" s="513" t="s">
        <v>833</v>
      </c>
      <c r="D68" s="538" t="s">
        <v>766</v>
      </c>
      <c r="E68" s="513">
        <v>20955</v>
      </c>
      <c r="F68" s="539">
        <v>99410.52</v>
      </c>
      <c r="G68" s="539">
        <v>0</v>
      </c>
      <c r="H68" s="539">
        <v>49705.26</v>
      </c>
      <c r="I68" s="540">
        <v>49705.26</v>
      </c>
      <c r="J68" s="541">
        <v>20955</v>
      </c>
      <c r="K68" s="542">
        <v>49705.26</v>
      </c>
      <c r="L68" s="543">
        <f t="shared" si="4"/>
        <v>99410.52</v>
      </c>
      <c r="M68" s="515">
        <v>104</v>
      </c>
      <c r="N68" s="515">
        <v>11</v>
      </c>
      <c r="O68" s="515">
        <v>17160</v>
      </c>
      <c r="P68" s="515">
        <v>101758.8</v>
      </c>
      <c r="Q68" s="515">
        <v>7632.9</v>
      </c>
      <c r="R68" s="515">
        <v>3795</v>
      </c>
      <c r="S68" s="515">
        <v>22504.35</v>
      </c>
      <c r="T68" s="515">
        <v>1174.8</v>
      </c>
      <c r="U68" s="544">
        <f t="shared" si="5"/>
        <v>7391.9999999999982</v>
      </c>
      <c r="V68" s="547">
        <v>1415.7000000000003</v>
      </c>
      <c r="W68" s="546">
        <f t="shared" si="6"/>
        <v>133070.85</v>
      </c>
      <c r="X68" s="515">
        <v>0</v>
      </c>
      <c r="Y68" s="546">
        <v>33660.33</v>
      </c>
      <c r="Z68" s="546">
        <f t="shared" si="7"/>
        <v>133070.85</v>
      </c>
      <c r="AB68" s="513"/>
    </row>
    <row r="69" spans="1:28">
      <c r="A69" s="513" t="str">
        <f>VLOOKUP(C69,[69]Supplier!$A:$B,2,FALSE)</f>
        <v>SCH075</v>
      </c>
      <c r="B69" s="513">
        <v>10101</v>
      </c>
      <c r="C69" s="513" t="s">
        <v>834</v>
      </c>
      <c r="D69" s="538" t="s">
        <v>766</v>
      </c>
      <c r="E69" s="513">
        <v>3000</v>
      </c>
      <c r="F69" s="539">
        <v>14232</v>
      </c>
      <c r="G69" s="539">
        <v>0</v>
      </c>
      <c r="H69" s="539">
        <v>7116</v>
      </c>
      <c r="I69" s="540">
        <v>7116</v>
      </c>
      <c r="J69" s="541">
        <v>3000</v>
      </c>
      <c r="K69" s="542">
        <v>7116</v>
      </c>
      <c r="L69" s="543">
        <f t="shared" si="4"/>
        <v>14232</v>
      </c>
      <c r="M69" s="515">
        <v>25</v>
      </c>
      <c r="N69" s="515">
        <v>11</v>
      </c>
      <c r="O69" s="515">
        <v>4125</v>
      </c>
      <c r="P69" s="515">
        <v>24461.25</v>
      </c>
      <c r="Q69" s="515">
        <v>806.85</v>
      </c>
      <c r="R69" s="515">
        <v>330</v>
      </c>
      <c r="S69" s="515">
        <v>1956.9</v>
      </c>
      <c r="T69" s="515">
        <v>49.5</v>
      </c>
      <c r="U69" s="544">
        <f t="shared" si="5"/>
        <v>747.45</v>
      </c>
      <c r="V69" s="545">
        <v>108.9</v>
      </c>
      <c r="W69" s="546">
        <f t="shared" si="6"/>
        <v>27274.500000000004</v>
      </c>
      <c r="X69" s="515">
        <v>0</v>
      </c>
      <c r="Y69" s="546">
        <v>13042.5</v>
      </c>
      <c r="Z69" s="546">
        <f t="shared" si="7"/>
        <v>27274.5</v>
      </c>
    </row>
    <row r="70" spans="1:28">
      <c r="A70" s="513" t="e">
        <f>VLOOKUP(C70,[69]Supplier!$A:$B,2,FALSE)</f>
        <v>#N/A</v>
      </c>
      <c r="B70" s="513">
        <v>10103</v>
      </c>
      <c r="C70" s="513" t="s">
        <v>835</v>
      </c>
      <c r="D70" s="538" t="s">
        <v>766</v>
      </c>
      <c r="E70" s="513"/>
      <c r="F70" s="539">
        <v>0</v>
      </c>
      <c r="G70" s="539">
        <v>0</v>
      </c>
      <c r="H70" s="539">
        <v>0</v>
      </c>
      <c r="I70" s="540">
        <v>0</v>
      </c>
      <c r="J70" s="541"/>
      <c r="K70" s="542">
        <v>0</v>
      </c>
      <c r="L70" s="543">
        <f t="shared" si="4"/>
        <v>0</v>
      </c>
      <c r="M70" s="515">
        <v>31</v>
      </c>
      <c r="N70" s="515">
        <v>11</v>
      </c>
      <c r="O70" s="515">
        <v>4980</v>
      </c>
      <c r="P70" s="515">
        <v>29531.4</v>
      </c>
      <c r="Q70" s="515">
        <v>1864.65</v>
      </c>
      <c r="R70" s="515">
        <v>1545</v>
      </c>
      <c r="S70" s="515">
        <v>9161.85</v>
      </c>
      <c r="T70" s="515">
        <v>416.1</v>
      </c>
      <c r="U70" s="544">
        <f t="shared" si="5"/>
        <v>1736.25</v>
      </c>
      <c r="V70" s="545">
        <v>544.5</v>
      </c>
      <c r="W70" s="546">
        <f t="shared" si="6"/>
        <v>40974</v>
      </c>
      <c r="X70" s="515">
        <v>0</v>
      </c>
      <c r="Y70" s="546">
        <v>40974</v>
      </c>
      <c r="Z70" s="546">
        <f t="shared" si="7"/>
        <v>40974</v>
      </c>
    </row>
    <row r="71" spans="1:28">
      <c r="A71" s="513" t="str">
        <f>VLOOKUP(C71,[69]Supplier!$A:$B,2,FALSE)</f>
        <v>SCH079</v>
      </c>
      <c r="B71" s="513">
        <v>10124</v>
      </c>
      <c r="C71" s="513" t="s">
        <v>836</v>
      </c>
      <c r="D71" s="538" t="s">
        <v>766</v>
      </c>
      <c r="E71" s="513"/>
      <c r="F71" s="539">
        <v>0</v>
      </c>
      <c r="G71" s="539">
        <v>0</v>
      </c>
      <c r="H71" s="539">
        <v>0</v>
      </c>
      <c r="I71" s="540">
        <v>0</v>
      </c>
      <c r="J71" s="541"/>
      <c r="K71" s="542">
        <v>0</v>
      </c>
      <c r="L71" s="543">
        <f t="shared" si="4"/>
        <v>0</v>
      </c>
      <c r="M71" s="515">
        <v>21</v>
      </c>
      <c r="N71" s="515">
        <v>11</v>
      </c>
      <c r="O71" s="515">
        <v>3375</v>
      </c>
      <c r="P71" s="515">
        <v>20013.75</v>
      </c>
      <c r="Q71" s="515">
        <v>831.15</v>
      </c>
      <c r="R71" s="515">
        <v>0</v>
      </c>
      <c r="S71" s="515">
        <v>0</v>
      </c>
      <c r="T71" s="515">
        <v>0</v>
      </c>
      <c r="U71" s="544">
        <f t="shared" si="5"/>
        <v>722.25</v>
      </c>
      <c r="V71" s="545">
        <v>108.9</v>
      </c>
      <c r="W71" s="546">
        <f t="shared" si="6"/>
        <v>20844.900000000001</v>
      </c>
      <c r="X71" s="515">
        <v>0</v>
      </c>
      <c r="Y71" s="546">
        <v>20844.900000000001</v>
      </c>
      <c r="Z71" s="546">
        <f t="shared" si="7"/>
        <v>20844.900000000001</v>
      </c>
    </row>
    <row r="72" spans="1:28">
      <c r="A72" s="513" t="str">
        <f>VLOOKUP(C72,[69]Supplier!$A:$B,2,FALSE)</f>
        <v>SCH080</v>
      </c>
      <c r="B72" s="513">
        <v>10105</v>
      </c>
      <c r="C72" s="513" t="s">
        <v>837</v>
      </c>
      <c r="D72" s="538" t="s">
        <v>766</v>
      </c>
      <c r="E72" s="560">
        <v>12045</v>
      </c>
      <c r="F72" s="539">
        <v>57141.48</v>
      </c>
      <c r="G72" s="539">
        <v>0</v>
      </c>
      <c r="H72" s="539">
        <v>28570.74</v>
      </c>
      <c r="I72" s="540">
        <v>28570.74</v>
      </c>
      <c r="J72" s="561">
        <v>12045</v>
      </c>
      <c r="K72" s="542">
        <v>28570.74</v>
      </c>
      <c r="L72" s="543">
        <f>H72+K72</f>
        <v>57141.48</v>
      </c>
      <c r="M72" s="515">
        <v>55</v>
      </c>
      <c r="N72" s="515">
        <v>11</v>
      </c>
      <c r="O72" s="515">
        <v>8955</v>
      </c>
      <c r="P72" s="515">
        <v>53103.15</v>
      </c>
      <c r="Q72" s="515">
        <v>3739.95</v>
      </c>
      <c r="R72" s="515">
        <v>3180</v>
      </c>
      <c r="S72" s="515">
        <v>18857.400000000001</v>
      </c>
      <c r="T72" s="515">
        <v>923.4</v>
      </c>
      <c r="U72" s="544">
        <f t="shared" si="5"/>
        <v>3465.4499999999994</v>
      </c>
      <c r="V72" s="547">
        <v>1197.9000000000001</v>
      </c>
      <c r="W72" s="546">
        <f t="shared" si="6"/>
        <v>76623.899999999994</v>
      </c>
      <c r="X72" s="515">
        <v>0</v>
      </c>
      <c r="Y72" s="546">
        <v>19482.419999999998</v>
      </c>
      <c r="Z72" s="546">
        <f>L72+Y72-X72</f>
        <v>76623.899999999994</v>
      </c>
      <c r="AB72" s="513"/>
    </row>
    <row r="73" spans="1:28" ht="15" thickBot="1">
      <c r="A73" s="513" t="str">
        <f>VLOOKUP(C73,[69]Supplier!$A:$B,2,FALSE)</f>
        <v>SCH081</v>
      </c>
      <c r="B73" s="513">
        <v>10123</v>
      </c>
      <c r="C73" s="513" t="s">
        <v>838</v>
      </c>
      <c r="D73" s="562" t="s">
        <v>766</v>
      </c>
      <c r="E73" s="563"/>
      <c r="F73" s="564">
        <v>0</v>
      </c>
      <c r="G73" s="564">
        <v>0</v>
      </c>
      <c r="H73" s="564">
        <v>0</v>
      </c>
      <c r="I73" s="565">
        <v>0</v>
      </c>
      <c r="J73" s="566"/>
      <c r="K73" s="567">
        <v>0</v>
      </c>
      <c r="L73" s="568">
        <f>H73+K73</f>
        <v>0</v>
      </c>
      <c r="M73" s="569">
        <v>27</v>
      </c>
      <c r="N73" s="515">
        <v>11</v>
      </c>
      <c r="O73" s="515">
        <v>4455</v>
      </c>
      <c r="P73" s="517">
        <v>26418.15</v>
      </c>
      <c r="Q73" s="517">
        <v>1767.15</v>
      </c>
      <c r="R73" s="517">
        <v>990</v>
      </c>
      <c r="S73" s="517">
        <v>5870.7</v>
      </c>
      <c r="T73" s="517">
        <v>346.5</v>
      </c>
      <c r="U73" s="544">
        <f t="shared" si="5"/>
        <v>2004.75</v>
      </c>
      <c r="V73" s="547">
        <v>108.9</v>
      </c>
      <c r="W73" s="546">
        <f t="shared" si="6"/>
        <v>34402.500000000007</v>
      </c>
      <c r="X73" s="515">
        <v>0</v>
      </c>
      <c r="Y73" s="546">
        <v>34402.5</v>
      </c>
      <c r="Z73" s="546">
        <f>L73+Y73-X73</f>
        <v>34402.5</v>
      </c>
    </row>
    <row r="75" spans="1:28" ht="18">
      <c r="I75" s="570">
        <f>SUM(I3:I73)</f>
        <v>1151803.0400000003</v>
      </c>
      <c r="K75" s="546">
        <f>SUM(K3:K73)</f>
        <v>1091744.3500000001</v>
      </c>
      <c r="L75" s="570">
        <f>SUM(L3:L73)</f>
        <v>2243547.39</v>
      </c>
      <c r="U75" s="517">
        <f t="shared" ref="U75:Z75" si="8">SUM(U3:U73)</f>
        <v>128774.89000000001</v>
      </c>
      <c r="V75" s="571">
        <f t="shared" si="8"/>
        <v>23827.320000000014</v>
      </c>
      <c r="W75" s="571">
        <f t="shared" si="8"/>
        <v>3752536.7899999991</v>
      </c>
      <c r="X75" s="571">
        <f t="shared" si="8"/>
        <v>202.5</v>
      </c>
      <c r="Y75" s="572">
        <f t="shared" si="8"/>
        <v>1510164.8000000003</v>
      </c>
      <c r="Z75" s="572">
        <f t="shared" si="8"/>
        <v>3753712.1899999995</v>
      </c>
    </row>
  </sheetData>
  <pageMargins left="0.7" right="0.7" top="0.75" bottom="0.75" header="0.3" footer="0.3"/>
  <pageSetup paperSize="9" orientation="portrait" r:id="rId1"/>
  <drawing r:id="rId2"/>
  <legacyDrawing r:id="rId3"/>
</worksheet>
</file>

<file path=docMetadata/LabelInfo.xml><?xml version="1.0" encoding="utf-8"?>
<clbl:labelList xmlns:clbl="http://schemas.microsoft.com/office/2020/mipLabelMetadata">
  <clbl:label id="{ccdf8477-5183-4317-8e8b-f69ff0053fb7}" enabled="1" method="Standard" siteId="{1ba468b9-1414-4675-be4f-53c478ad47b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Benchmarking Ratio's Comparison</vt:lpstr>
      <vt:lpstr>All Schools Data view only</vt:lpstr>
      <vt:lpstr>CFR20232024_BenchMarkDataReport</vt:lpstr>
      <vt:lpstr>CFR20242025_BenchMarkDataReport</vt:lpstr>
      <vt:lpstr>Pupil on roll 24-25</vt:lpstr>
      <vt:lpstr>Sheet1</vt:lpstr>
      <vt:lpstr>Pupils on roll 23-24</vt:lpstr>
      <vt:lpstr>FEE 34 Spring 24 - 25</vt:lpstr>
      <vt:lpstr>FEE3Spr 23 - 24</vt:lpstr>
      <vt:lpstr>CFR20222023_BenchMarkDataReport</vt:lpstr>
      <vt:lpstr>Pupil Nos BenchmarkData 21-22</vt:lpstr>
      <vt:lpstr>Barnet Pupil Premium Nos 22-23</vt:lpstr>
      <vt:lpstr>CFR20212022_BenchMarkDataReport</vt:lpstr>
      <vt:lpstr>BARNET SCHS PUPIL PREMIUM Nos</vt:lpstr>
      <vt:lpstr>Jan 20 Census Count of pupils </vt:lpstr>
      <vt:lpstr>Payments to schs by CFR 20-21</vt:lpstr>
      <vt:lpstr>2014-15 CFR</vt:lpstr>
      <vt:lpstr>Pupil Premium 2020-21 DfE data</vt:lpstr>
      <vt:lpstr>Total Funding for Schools</vt:lpstr>
      <vt:lpstr>ak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Claudette</dc:creator>
  <cp:lastModifiedBy>Phelan, Daniel (LBB)</cp:lastModifiedBy>
  <cp:lastPrinted>2017-09-08T10:08:57Z</cp:lastPrinted>
  <dcterms:created xsi:type="dcterms:W3CDTF">2010-07-19T14:31:41Z</dcterms:created>
  <dcterms:modified xsi:type="dcterms:W3CDTF">2025-09-23T08:46:36Z</dcterms:modified>
</cp:coreProperties>
</file>